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ml.chartshapes+xml"/>
  <Override PartName="/xl/charts/chart3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5.xml" ContentType="application/vnd.openxmlformats-officedocument.drawingml.chartshap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120" yWindow="12" windowWidth="14952" windowHeight="8448" firstSheet="31" activeTab="36"/>
  </bookViews>
  <sheets>
    <sheet name="圖1" sheetId="52" r:id="rId1"/>
    <sheet name="圖2" sheetId="53" r:id="rId2"/>
    <sheet name="收支餘絀預計表-總" sheetId="39" r:id="rId3"/>
    <sheet name="收支餘絀預計表說明" sheetId="40" r:id="rId4"/>
    <sheet name="餘絀撥補預計表" sheetId="24" r:id="rId5"/>
    <sheet name="現金流量預計表-總" sheetId="30" r:id="rId6"/>
    <sheet name="投融資業務收入明細表" sheetId="16" r:id="rId7"/>
    <sheet name="保險收入明細表" sheetId="46" r:id="rId8"/>
    <sheet name="其他業務收入明細表" sheetId="1" r:id="rId9"/>
    <sheet name="業務外收入明細表" sheetId="2" r:id="rId10"/>
    <sheet name="投融資業務成本明細表" sheetId="17" r:id="rId11"/>
    <sheet name="投融資業務成本說明" sheetId="3" r:id="rId12"/>
    <sheet name="保險成本明細表" sheetId="28" r:id="rId13"/>
    <sheet name="保險成本說明" sheetId="6" r:id="rId14"/>
    <sheet name="其他業務成本明細表" sheetId="19" r:id="rId15"/>
    <sheet name="其他業務成本說明" sheetId="7" r:id="rId16"/>
    <sheet name="業務外費用明細表" sheetId="20" r:id="rId17"/>
    <sheet name="業務外費用說明" sheetId="9" r:id="rId18"/>
    <sheet name="基金數額增減明細表" sheetId="31" r:id="rId19"/>
    <sheet name="平衡表-總" sheetId="29" r:id="rId20"/>
    <sheet name="5年來主要營運項目分析表" sheetId="41" r:id="rId21"/>
    <sheet name="各項費用彙計表" sheetId="42" r:id="rId22"/>
    <sheet name="各項費用彙計表 (單位)" sheetId="49" r:id="rId23"/>
    <sheet name="不動產投資收入分析表" sheetId="10" r:id="rId24"/>
    <sheet name="保費收入分析表" sheetId="47" r:id="rId25"/>
    <sheet name="保費收入分析表(附表)" sheetId="51" r:id="rId26"/>
    <sheet name="保險給付分析表" sheetId="67" r:id="rId27"/>
    <sheet name="雜項業務成本分析-職災保護" sheetId="43" r:id="rId28"/>
    <sheet name="收支餘絀預計表-勞" sheetId="54" r:id="rId29"/>
    <sheet name="現金流量預計表-勞" sheetId="55" r:id="rId30"/>
    <sheet name="預計平衡表-勞" sheetId="56" r:id="rId31"/>
    <sheet name="收支餘絀預計表-就" sheetId="58" r:id="rId32"/>
    <sheet name="現金流量預計表-就" sheetId="59" r:id="rId33"/>
    <sheet name="預計平衡表-就" sheetId="60" r:id="rId34"/>
    <sheet name="收支餘絀預計表-農" sheetId="61" r:id="rId35"/>
    <sheet name="現金流量預計表-農" sheetId="62" r:id="rId36"/>
    <sheet name="預計平衡表-農" sheetId="63" r:id="rId37"/>
    <sheet name="收支餘絀預計表-職災 " sheetId="64" r:id="rId38"/>
    <sheet name="現金流量預計表-職" sheetId="66" r:id="rId39"/>
    <sheet name="預計平衡表-職" sheetId="65" r:id="rId40"/>
    <sheet name="Sheet4" sheetId="57" r:id="rId41"/>
  </sheets>
  <externalReferences>
    <externalReference r:id="rId42"/>
  </externalReferences>
  <definedNames>
    <definedName name="_R" localSheetId="25">#REF!</definedName>
    <definedName name="_R" localSheetId="26">#REF!</definedName>
    <definedName name="_R" localSheetId="38">#REF!</definedName>
    <definedName name="_R">#REF!</definedName>
    <definedName name="a" localSheetId="25">#REF!</definedName>
    <definedName name="a" localSheetId="26">#REF!</definedName>
    <definedName name="a">#REF!</definedName>
    <definedName name="aa" localSheetId="25">#REF!</definedName>
    <definedName name="aa" localSheetId="26">#REF!</definedName>
    <definedName name="aa">#REF!</definedName>
    <definedName name="aaaa" localSheetId="25">#REF!</definedName>
    <definedName name="aaaa" localSheetId="26">#REF!</definedName>
    <definedName name="aaaa">#REF!</definedName>
    <definedName name="abcd" localSheetId="25">#REF!</definedName>
    <definedName name="abcd" localSheetId="26">#REF!</definedName>
    <definedName name="abcd">#REF!</definedName>
    <definedName name="K" localSheetId="25">#REF!</definedName>
    <definedName name="K" localSheetId="26">#REF!</definedName>
    <definedName name="K" localSheetId="38">#REF!</definedName>
    <definedName name="K">#REF!</definedName>
    <definedName name="_xlnm.Print_Area" localSheetId="20">'5年來主要營運項目分析表'!$A$1:$F$41</definedName>
    <definedName name="_xlnm.Print_Area" localSheetId="28">'收支餘絀預計表-勞'!$A$1:$I$102</definedName>
    <definedName name="_xlnm.Print_Area" localSheetId="31">'收支餘絀預計表-就'!$A$1:$I$53</definedName>
    <definedName name="_xlnm.Print_Area" localSheetId="34">'收支餘絀預計表-農'!$A$1:$I$31</definedName>
    <definedName name="_xlnm.Print_Area" localSheetId="3">收支餘絀預計表說明!$A$1:$C$24</definedName>
    <definedName name="_xlnm.Print_Area" localSheetId="2">'收支餘絀預計表-總'!$A$1:$I$133</definedName>
    <definedName name="_xlnm.Print_Area" localSheetId="37">'收支餘絀預計表-職災 '!$A$1:$I$52</definedName>
    <definedName name="_xlnm.Print_Area" localSheetId="8">其他業務收入明細表!$A$1:$C$28</definedName>
    <definedName name="_xlnm.Print_Area" localSheetId="26">保險給付分析表!$A$1:$E$136</definedName>
    <definedName name="_xlnm.Print_Area" localSheetId="9">業務外收入明細表!$A$1:$C$47</definedName>
    <definedName name="_xlnm.Print_Area" localSheetId="16">業務外費用明細表!$A$1:$D$29</definedName>
    <definedName name="_xlnm.Print_Area" localSheetId="17">業務外費用說明!$A$1:$C$25</definedName>
    <definedName name="_xlnm.Print_Area" localSheetId="36">'預計平衡表-農'!$A$1:$E$53</definedName>
    <definedName name="_xlnm.Print_Area" localSheetId="0">圖1!$A$1:$D$27</definedName>
    <definedName name="_xlnm.Print_Area" localSheetId="1">圖2!$A$1:$F$24</definedName>
    <definedName name="_xlnm.Print_Area" localSheetId="27">'雜項業務成本分析-職災保護'!$A$1:$E$25</definedName>
    <definedName name="_xlnm.Print_Titles" localSheetId="19">'平衡表-總'!$1:$8</definedName>
    <definedName name="_xlnm.Print_Titles" localSheetId="21">各項費用彙計表!$1:$7</definedName>
    <definedName name="_xlnm.Print_Titles" localSheetId="22">'各項費用彙計表 (單位)'!$1:$7</definedName>
    <definedName name="_xlnm.Print_Titles" localSheetId="28">'收支餘絀預計表-勞'!$1:$7</definedName>
    <definedName name="_xlnm.Print_Titles" localSheetId="31">'收支餘絀預計表-就'!$1:$7</definedName>
    <definedName name="_xlnm.Print_Titles" localSheetId="34">'收支餘絀預計表-農'!$1:$6</definedName>
    <definedName name="_xlnm.Print_Titles" localSheetId="2">'收支餘絀預計表-總'!$1:$7</definedName>
    <definedName name="_xlnm.Print_Titles" localSheetId="37">'收支餘絀預計表-職災 '!$1:$7</definedName>
    <definedName name="_xlnm.Print_Titles" localSheetId="10">投融資業務成本明細表!$1:$6</definedName>
    <definedName name="_xlnm.Print_Titles" localSheetId="11">投融資業務成本說明!$1:$6</definedName>
    <definedName name="_xlnm.Print_Titles" localSheetId="6">投融資業務收入明細表!$1:$8</definedName>
    <definedName name="_xlnm.Print_Titles" localSheetId="24">保費收入分析表!$1:$8</definedName>
    <definedName name="_xlnm.Print_Titles" localSheetId="25">'保費收入分析表(附表)'!$1:$8</definedName>
    <definedName name="_xlnm.Print_Titles" localSheetId="12">保險成本明細表!$1:$6</definedName>
    <definedName name="_xlnm.Print_Titles" localSheetId="13">保險成本說明!$1:$6</definedName>
    <definedName name="_xlnm.Print_Titles" localSheetId="26">保險給付分析表!$1:$6</definedName>
    <definedName name="_xlnm.Print_Titles" localSheetId="9">業務外收入明細表!$1:$8</definedName>
    <definedName name="_xlnm.Print_Titles" localSheetId="30">'預計平衡表-勞'!$1:$8</definedName>
    <definedName name="_xlnm.Print_Titles" localSheetId="33">'預計平衡表-就'!$1:$8</definedName>
    <definedName name="_xlnm.Print_Titles" localSheetId="36">'預計平衡表-農'!$1:$8</definedName>
    <definedName name="_xlnm.Print_Titles" localSheetId="39">'預計平衡表-職'!$1:$8</definedName>
    <definedName name="_xlnm.Print_Titles" localSheetId="27">'雜項業務成本分析-職災保護'!$1:$6</definedName>
    <definedName name="S" localSheetId="25">#REF!</definedName>
    <definedName name="S" localSheetId="26">#REF!</definedName>
    <definedName name="S" localSheetId="38">#REF!</definedName>
    <definedName name="S">#REF!</definedName>
    <definedName name="Sigma" localSheetId="25">#REF!</definedName>
    <definedName name="Sigma" localSheetId="26">#REF!</definedName>
    <definedName name="Sigma" localSheetId="38">#REF!</definedName>
    <definedName name="Sigma">#REF!</definedName>
    <definedName name="T" localSheetId="25">#REF!</definedName>
    <definedName name="T" localSheetId="26">#REF!</definedName>
    <definedName name="T" localSheetId="38">#REF!</definedName>
    <definedName name="T">#REF!</definedName>
    <definedName name="昌" localSheetId="25">#REF!</definedName>
    <definedName name="昌" localSheetId="26">#REF!</definedName>
    <definedName name="昌">#REF!</definedName>
    <definedName name="原住民" localSheetId="25">#REF!</definedName>
    <definedName name="原住民" localSheetId="26">#REF!</definedName>
    <definedName name="原住民">#REF!</definedName>
    <definedName name="原住民1" localSheetId="25">#REF!</definedName>
    <definedName name="原住民1" localSheetId="26">#REF!</definedName>
    <definedName name="原住民1">#REF!</definedName>
    <definedName name="圖" localSheetId="25">#REF!</definedName>
    <definedName name="圖" localSheetId="26">#REF!</definedName>
    <definedName name="圖">#REF!</definedName>
  </definedNames>
  <calcPr calcId="145621"/>
  <fileRecoveryPr autoRecover="0"/>
</workbook>
</file>

<file path=xl/calcChain.xml><?xml version="1.0" encoding="utf-8"?>
<calcChain xmlns="http://schemas.openxmlformats.org/spreadsheetml/2006/main">
  <c r="D12" i="66" l="1"/>
  <c r="F27" i="42" l="1"/>
  <c r="F26" i="42" l="1"/>
  <c r="E14" i="42"/>
  <c r="D79" i="39"/>
  <c r="D77" i="39"/>
  <c r="D59" i="39"/>
  <c r="D44" i="39"/>
  <c r="F22" i="58" l="1"/>
  <c r="F21" i="58"/>
  <c r="F58" i="54"/>
  <c r="F43" i="54"/>
  <c r="B27" i="42"/>
  <c r="B26" i="42"/>
  <c r="B14" i="42" l="1"/>
  <c r="E17" i="41"/>
  <c r="B31" i="28"/>
  <c r="B28" i="28"/>
  <c r="B17" i="28"/>
  <c r="B14" i="17"/>
  <c r="F79" i="39"/>
  <c r="F81" i="39"/>
  <c r="F75" i="39"/>
  <c r="F59" i="39"/>
  <c r="D123" i="67" l="1"/>
  <c r="D118" i="67"/>
  <c r="D111" i="67"/>
  <c r="D106" i="67"/>
  <c r="D97" i="67"/>
  <c r="D96" i="67" s="1"/>
  <c r="D95" i="67" s="1"/>
  <c r="D88" i="67"/>
  <c r="D83" i="67"/>
  <c r="D82" i="67" s="1"/>
  <c r="D79" i="67"/>
  <c r="D78" i="67" s="1"/>
  <c r="D77" i="67" s="1"/>
  <c r="D73" i="67"/>
  <c r="D72" i="67" s="1"/>
  <c r="D67" i="67"/>
  <c r="D63" i="67"/>
  <c r="D59" i="67"/>
  <c r="D57" i="67" s="1"/>
  <c r="D50" i="67"/>
  <c r="D49" i="67"/>
  <c r="D44" i="67"/>
  <c r="D42" i="67"/>
  <c r="D36" i="67"/>
  <c r="D31" i="67"/>
  <c r="D30" i="67" s="1"/>
  <c r="D26" i="67"/>
  <c r="D25" i="67" s="1"/>
  <c r="D21" i="67"/>
  <c r="D19" i="67" s="1"/>
  <c r="D16" i="67"/>
  <c r="D62" i="67" l="1"/>
  <c r="D105" i="67"/>
  <c r="D104" i="67" s="1"/>
  <c r="D56" i="67"/>
  <c r="D14" i="67"/>
  <c r="D10" i="67" s="1"/>
  <c r="D13" i="67"/>
  <c r="D9" i="67" l="1"/>
  <c r="D8" i="67" s="1"/>
  <c r="D7" i="67" s="1"/>
  <c r="D12" i="67"/>
  <c r="D42" i="29"/>
  <c r="B11" i="66"/>
  <c r="B15" i="66" s="1"/>
  <c r="B16" i="66" s="1"/>
  <c r="B18" i="66" s="1"/>
  <c r="D10" i="65"/>
  <c r="D9" i="65" s="1"/>
  <c r="D30" i="65" s="1"/>
  <c r="E12" i="65"/>
  <c r="D14" i="65"/>
  <c r="D33" i="65"/>
  <c r="D35" i="65"/>
  <c r="E39" i="65"/>
  <c r="E38" i="65" s="1"/>
  <c r="C40" i="65"/>
  <c r="C39" i="65" s="1"/>
  <c r="C38" i="65" s="1"/>
  <c r="D40" i="65"/>
  <c r="D39" i="65" s="1"/>
  <c r="D38" i="65" s="1"/>
  <c r="K8" i="64"/>
  <c r="B9" i="64"/>
  <c r="F9" i="64"/>
  <c r="K9" i="64"/>
  <c r="B10" i="64"/>
  <c r="D10" i="64"/>
  <c r="D9" i="64" s="1"/>
  <c r="F10" i="64"/>
  <c r="H10" i="64"/>
  <c r="I10" i="64" s="1"/>
  <c r="K10" i="64"/>
  <c r="B11" i="64"/>
  <c r="H11" i="64"/>
  <c r="I11" i="64" s="1"/>
  <c r="K11" i="64"/>
  <c r="B12" i="64"/>
  <c r="H12" i="64"/>
  <c r="I12" i="64" s="1"/>
  <c r="K12" i="64"/>
  <c r="B13" i="64"/>
  <c r="K13" i="64"/>
  <c r="B14" i="64"/>
  <c r="D14" i="64"/>
  <c r="D13" i="64" s="1"/>
  <c r="F14" i="64"/>
  <c r="F13" i="64" s="1"/>
  <c r="K14" i="64"/>
  <c r="B15" i="64"/>
  <c r="H15" i="64"/>
  <c r="I15" i="64" s="1"/>
  <c r="K15" i="64"/>
  <c r="B16" i="64"/>
  <c r="H16" i="64"/>
  <c r="K16" i="64"/>
  <c r="K17" i="64"/>
  <c r="A18" i="64"/>
  <c r="B18" i="64" s="1"/>
  <c r="D18" i="64"/>
  <c r="F18" i="64"/>
  <c r="H18" i="64" s="1"/>
  <c r="I18" i="64" s="1"/>
  <c r="K18" i="64"/>
  <c r="B19" i="64"/>
  <c r="H19" i="64"/>
  <c r="I19" i="64" s="1"/>
  <c r="K19" i="64"/>
  <c r="B20" i="64"/>
  <c r="D20" i="64"/>
  <c r="D17" i="64" s="1"/>
  <c r="F20" i="64"/>
  <c r="F17" i="64" s="1"/>
  <c r="H20" i="64"/>
  <c r="I20" i="64" s="1"/>
  <c r="K20" i="64"/>
  <c r="B21" i="64"/>
  <c r="H21" i="64"/>
  <c r="K21" i="64"/>
  <c r="B22" i="64"/>
  <c r="H22" i="64"/>
  <c r="I22" i="64" s="1"/>
  <c r="K22" i="64"/>
  <c r="B23" i="64"/>
  <c r="K23" i="64"/>
  <c r="B24" i="64"/>
  <c r="K24" i="64"/>
  <c r="B25" i="64"/>
  <c r="D25" i="64"/>
  <c r="F25" i="64"/>
  <c r="F24" i="64" s="1"/>
  <c r="K25" i="64"/>
  <c r="B26" i="64"/>
  <c r="H26" i="64"/>
  <c r="I26" i="64" s="1"/>
  <c r="I25" i="64" s="1"/>
  <c r="K26" i="64"/>
  <c r="B27" i="64"/>
  <c r="D27" i="64"/>
  <c r="F27" i="64"/>
  <c r="H27" i="64"/>
  <c r="K27" i="64"/>
  <c r="B28" i="64"/>
  <c r="H28" i="64"/>
  <c r="K28" i="64"/>
  <c r="B29" i="64"/>
  <c r="D29" i="64"/>
  <c r="F29" i="64"/>
  <c r="H29" i="64"/>
  <c r="I29" i="64" s="1"/>
  <c r="K29" i="64"/>
  <c r="B30" i="64"/>
  <c r="H30" i="64"/>
  <c r="K30" i="64"/>
  <c r="B31" i="64"/>
  <c r="H31" i="64"/>
  <c r="I31" i="64"/>
  <c r="K31" i="64"/>
  <c r="B32" i="64"/>
  <c r="K32" i="64"/>
  <c r="B33" i="64"/>
  <c r="D33" i="64"/>
  <c r="D32" i="64" s="1"/>
  <c r="F33" i="64"/>
  <c r="F32" i="64" s="1"/>
  <c r="K33" i="64"/>
  <c r="B34" i="64"/>
  <c r="H34" i="64"/>
  <c r="I34" i="64"/>
  <c r="K34" i="64"/>
  <c r="A36" i="64"/>
  <c r="B36" i="64" s="1"/>
  <c r="D36" i="64"/>
  <c r="H36" i="64" s="1"/>
  <c r="F36" i="64"/>
  <c r="K36" i="64"/>
  <c r="A37" i="64"/>
  <c r="B37" i="64" s="1"/>
  <c r="D37" i="64"/>
  <c r="F37" i="64"/>
  <c r="B38" i="64"/>
  <c r="K38" i="64"/>
  <c r="B39" i="64"/>
  <c r="D39" i="64"/>
  <c r="D43" i="64" s="1"/>
  <c r="H43" i="64" s="1"/>
  <c r="H39" i="64"/>
  <c r="K39" i="64"/>
  <c r="B40" i="64"/>
  <c r="K40" i="64"/>
  <c r="B41" i="64"/>
  <c r="H41" i="64"/>
  <c r="K41" i="64"/>
  <c r="B42" i="64"/>
  <c r="H42" i="64"/>
  <c r="K42" i="64"/>
  <c r="A43" i="64"/>
  <c r="K43" i="64" s="1"/>
  <c r="B44" i="64"/>
  <c r="H44" i="64"/>
  <c r="K44" i="64"/>
  <c r="B45" i="64"/>
  <c r="H45" i="64"/>
  <c r="K45" i="64"/>
  <c r="B46" i="64"/>
  <c r="K46" i="64"/>
  <c r="E34" i="65" l="1"/>
  <c r="E33" i="65" s="1"/>
  <c r="E11" i="65"/>
  <c r="E37" i="65"/>
  <c r="D35" i="64"/>
  <c r="D46" i="64" s="1"/>
  <c r="H33" i="64"/>
  <c r="I33" i="64" s="1"/>
  <c r="E13" i="65"/>
  <c r="H37" i="64"/>
  <c r="E36" i="65"/>
  <c r="E35" i="65" s="1"/>
  <c r="H14" i="64"/>
  <c r="I14" i="64" s="1"/>
  <c r="E15" i="65"/>
  <c r="E14" i="65" s="1"/>
  <c r="D8" i="64"/>
  <c r="E10" i="64" s="1"/>
  <c r="H13" i="64"/>
  <c r="I13" i="64" s="1"/>
  <c r="L13" i="64"/>
  <c r="D32" i="65"/>
  <c r="L27" i="64"/>
  <c r="G14" i="64"/>
  <c r="H9" i="64"/>
  <c r="I9" i="64" s="1"/>
  <c r="E32" i="64"/>
  <c r="H32" i="64"/>
  <c r="I32" i="64" s="1"/>
  <c r="L32" i="64"/>
  <c r="F23" i="64"/>
  <c r="M24" i="64"/>
  <c r="H17" i="64"/>
  <c r="I17" i="64" s="1"/>
  <c r="G17" i="64"/>
  <c r="D38" i="64"/>
  <c r="L43" i="64"/>
  <c r="E43" i="64"/>
  <c r="D40" i="64"/>
  <c r="K37" i="64"/>
  <c r="M27" i="64"/>
  <c r="L14" i="64"/>
  <c r="L10" i="64"/>
  <c r="F8" i="64"/>
  <c r="M32" i="64" s="1"/>
  <c r="F35" i="64"/>
  <c r="A35" i="64"/>
  <c r="D24" i="64"/>
  <c r="C35" i="65"/>
  <c r="C33" i="65"/>
  <c r="C14" i="65"/>
  <c r="C10" i="65"/>
  <c r="B43" i="64"/>
  <c r="M37" i="64"/>
  <c r="G37" i="64"/>
  <c r="G25" i="64"/>
  <c r="E14" i="64"/>
  <c r="G13" i="64"/>
  <c r="G9" i="64"/>
  <c r="M25" i="64"/>
  <c r="H25" i="64"/>
  <c r="L17" i="64" l="1"/>
  <c r="E17" i="64"/>
  <c r="E29" i="64"/>
  <c r="E27" i="64"/>
  <c r="E25" i="64"/>
  <c r="L25" i="64"/>
  <c r="E35" i="64"/>
  <c r="E36" i="64"/>
  <c r="E37" i="64"/>
  <c r="L35" i="64"/>
  <c r="L29" i="64"/>
  <c r="E9" i="64"/>
  <c r="L36" i="64"/>
  <c r="L9" i="64"/>
  <c r="E13" i="64"/>
  <c r="D54" i="65"/>
  <c r="E32" i="65"/>
  <c r="E54" i="65" s="1"/>
  <c r="C32" i="65"/>
  <c r="C9" i="65"/>
  <c r="C30" i="65" s="1"/>
  <c r="E10" i="65"/>
  <c r="E9" i="65" s="1"/>
  <c r="E30" i="65" s="1"/>
  <c r="G24" i="64"/>
  <c r="G27" i="64"/>
  <c r="G32" i="64"/>
  <c r="D23" i="64"/>
  <c r="E24" i="64"/>
  <c r="H24" i="64"/>
  <c r="I24" i="64" s="1"/>
  <c r="L24" i="64"/>
  <c r="B35" i="64"/>
  <c r="K35" i="64"/>
  <c r="H40" i="64"/>
  <c r="E40" i="64"/>
  <c r="L40" i="64"/>
  <c r="G29" i="64"/>
  <c r="H38" i="64"/>
  <c r="E38" i="64"/>
  <c r="L38" i="64"/>
  <c r="G18" i="64"/>
  <c r="G19" i="64"/>
  <c r="M26" i="64"/>
  <c r="G28" i="64"/>
  <c r="M28" i="64"/>
  <c r="G31" i="64"/>
  <c r="G33" i="64"/>
  <c r="G34" i="64"/>
  <c r="G45" i="64"/>
  <c r="M45" i="64"/>
  <c r="M46" i="64"/>
  <c r="M20" i="64"/>
  <c r="G26" i="64"/>
  <c r="G38" i="64"/>
  <c r="M38" i="64"/>
  <c r="G39" i="64"/>
  <c r="M39" i="64"/>
  <c r="G40" i="64"/>
  <c r="M40" i="64"/>
  <c r="M8" i="64"/>
  <c r="M10" i="64"/>
  <c r="M11" i="64"/>
  <c r="M12" i="64"/>
  <c r="M14" i="64"/>
  <c r="M15" i="64"/>
  <c r="G20" i="64"/>
  <c r="G21" i="64"/>
  <c r="M21" i="64"/>
  <c r="M22" i="64"/>
  <c r="M29" i="64"/>
  <c r="G41" i="64"/>
  <c r="M41" i="64"/>
  <c r="G43" i="64"/>
  <c r="G11" i="64"/>
  <c r="G12" i="64"/>
  <c r="G15" i="64"/>
  <c r="G16" i="64"/>
  <c r="M16" i="64"/>
  <c r="M19" i="64"/>
  <c r="G22" i="64"/>
  <c r="G30" i="64"/>
  <c r="M30" i="64"/>
  <c r="M31" i="64"/>
  <c r="M33" i="64"/>
  <c r="M34" i="64"/>
  <c r="G42" i="64"/>
  <c r="M42" i="64"/>
  <c r="G44" i="64"/>
  <c r="M44" i="64"/>
  <c r="G46" i="64"/>
  <c r="M43" i="64"/>
  <c r="E46" i="64"/>
  <c r="L46" i="64"/>
  <c r="H46" i="64"/>
  <c r="E11" i="64"/>
  <c r="E12" i="64"/>
  <c r="E15" i="64"/>
  <c r="E16" i="64"/>
  <c r="L16" i="64"/>
  <c r="L18" i="64"/>
  <c r="L19" i="64"/>
  <c r="E20" i="64"/>
  <c r="E22" i="64"/>
  <c r="E30" i="64"/>
  <c r="L30" i="64"/>
  <c r="L31" i="64"/>
  <c r="L33" i="64"/>
  <c r="L34" i="64"/>
  <c r="E42" i="64"/>
  <c r="L42" i="64"/>
  <c r="E44" i="64"/>
  <c r="L44" i="64"/>
  <c r="E19" i="64"/>
  <c r="L26" i="64"/>
  <c r="E28" i="64"/>
  <c r="L28" i="64"/>
  <c r="E31" i="64"/>
  <c r="E34" i="64"/>
  <c r="E45" i="64"/>
  <c r="L45" i="64"/>
  <c r="H8" i="64"/>
  <c r="I8" i="64" s="1"/>
  <c r="E18" i="64"/>
  <c r="L20" i="64"/>
  <c r="E26" i="64"/>
  <c r="E33" i="64"/>
  <c r="L37" i="64"/>
  <c r="E39" i="64"/>
  <c r="L39" i="64"/>
  <c r="L8" i="64"/>
  <c r="L11" i="64"/>
  <c r="L12" i="64"/>
  <c r="L15" i="64"/>
  <c r="E21" i="64"/>
  <c r="L21" i="64"/>
  <c r="L22" i="64"/>
  <c r="E41" i="64"/>
  <c r="L41" i="64"/>
  <c r="M18" i="64"/>
  <c r="M36" i="64"/>
  <c r="G10" i="64"/>
  <c r="M13" i="64"/>
  <c r="G35" i="64"/>
  <c r="M35" i="64"/>
  <c r="M23" i="64"/>
  <c r="G23" i="64"/>
  <c r="M9" i="64"/>
  <c r="M17" i="64"/>
  <c r="G36" i="64"/>
  <c r="H35" i="64"/>
  <c r="C54" i="65" l="1"/>
  <c r="H23" i="64"/>
  <c r="I23" i="64" s="1"/>
  <c r="L23" i="64"/>
  <c r="E23" i="64"/>
  <c r="D40" i="63" l="1"/>
  <c r="D39" i="63" s="1"/>
  <c r="A40" i="63"/>
  <c r="A39" i="63" s="1"/>
  <c r="E40" i="63"/>
  <c r="E39" i="63" s="1"/>
  <c r="C40" i="63"/>
  <c r="C39" i="63" s="1"/>
  <c r="D37" i="63"/>
  <c r="C37" i="63"/>
  <c r="E35" i="63"/>
  <c r="C33" i="63"/>
  <c r="D13" i="63"/>
  <c r="A30" i="63"/>
  <c r="B17" i="62"/>
  <c r="B11" i="62"/>
  <c r="B14" i="62" s="1"/>
  <c r="B18" i="62" s="1"/>
  <c r="B20" i="62" s="1"/>
  <c r="K29" i="61"/>
  <c r="A29" i="61"/>
  <c r="B29" i="61" s="1"/>
  <c r="K28" i="61"/>
  <c r="B28" i="61"/>
  <c r="K27" i="61"/>
  <c r="H27" i="61"/>
  <c r="I27" i="61" s="1"/>
  <c r="B27" i="61"/>
  <c r="K26" i="61"/>
  <c r="H26" i="61"/>
  <c r="I26" i="61" s="1"/>
  <c r="B26" i="61"/>
  <c r="K25" i="61"/>
  <c r="F25" i="61"/>
  <c r="F22" i="61" s="1"/>
  <c r="D25" i="61"/>
  <c r="B25" i="61"/>
  <c r="K24" i="61"/>
  <c r="H24" i="61"/>
  <c r="I24" i="61" s="1"/>
  <c r="B24" i="61"/>
  <c r="K23" i="61"/>
  <c r="F23" i="61"/>
  <c r="D23" i="61"/>
  <c r="B23" i="61"/>
  <c r="K22" i="61"/>
  <c r="B22" i="61"/>
  <c r="K21" i="61"/>
  <c r="B21" i="61"/>
  <c r="K20" i="61"/>
  <c r="H20" i="61"/>
  <c r="I20" i="61" s="1"/>
  <c r="B20" i="61"/>
  <c r="K19" i="61"/>
  <c r="F19" i="61"/>
  <c r="D19" i="61"/>
  <c r="B19" i="61"/>
  <c r="K18" i="61"/>
  <c r="H18" i="61"/>
  <c r="I18" i="61" s="1"/>
  <c r="B18" i="61"/>
  <c r="K17" i="61"/>
  <c r="H17" i="61"/>
  <c r="I17" i="61" s="1"/>
  <c r="B17" i="61"/>
  <c r="K16" i="61"/>
  <c r="F16" i="61"/>
  <c r="F15" i="61" s="1"/>
  <c r="D16" i="61"/>
  <c r="B16" i="61"/>
  <c r="K15" i="61"/>
  <c r="B15" i="61"/>
  <c r="K14" i="61"/>
  <c r="H14" i="61"/>
  <c r="I14" i="61" s="1"/>
  <c r="B14" i="61"/>
  <c r="K13" i="61"/>
  <c r="F13" i="61"/>
  <c r="D13" i="61"/>
  <c r="B13" i="61"/>
  <c r="K12" i="61"/>
  <c r="H12" i="61"/>
  <c r="I12" i="61" s="1"/>
  <c r="B12" i="61"/>
  <c r="K11" i="61"/>
  <c r="F11" i="61"/>
  <c r="D11" i="61"/>
  <c r="B11" i="61"/>
  <c r="K10" i="61"/>
  <c r="H10" i="61"/>
  <c r="B10" i="61"/>
  <c r="K9" i="61"/>
  <c r="F9" i="61"/>
  <c r="D9" i="61"/>
  <c r="B9" i="61"/>
  <c r="K8" i="61"/>
  <c r="D39" i="60"/>
  <c r="D38" i="60" s="1"/>
  <c r="D37" i="60" s="1"/>
  <c r="C39" i="60"/>
  <c r="C38" i="60" s="1"/>
  <c r="C37" i="60" s="1"/>
  <c r="E38" i="60"/>
  <c r="E37" i="60" s="1"/>
  <c r="D35" i="60"/>
  <c r="D34" i="60"/>
  <c r="E33" i="60"/>
  <c r="E32" i="60"/>
  <c r="D31" i="60"/>
  <c r="D18" i="60"/>
  <c r="D16" i="60"/>
  <c r="E17" i="60"/>
  <c r="E16" i="60" s="1"/>
  <c r="E15" i="60"/>
  <c r="E14" i="60" s="1"/>
  <c r="D14" i="60"/>
  <c r="E13" i="60"/>
  <c r="B24" i="59"/>
  <c r="B21" i="59"/>
  <c r="B11" i="59"/>
  <c r="B16" i="59" s="1"/>
  <c r="B25" i="59" s="1"/>
  <c r="B27" i="59" s="1"/>
  <c r="A37" i="58"/>
  <c r="K37" i="58" s="1"/>
  <c r="K36" i="58"/>
  <c r="B36" i="58"/>
  <c r="K35" i="58"/>
  <c r="H35" i="58"/>
  <c r="I35" i="58" s="1"/>
  <c r="B35" i="58"/>
  <c r="K34" i="58"/>
  <c r="F34" i="58"/>
  <c r="D34" i="58"/>
  <c r="B34" i="58"/>
  <c r="K33" i="58"/>
  <c r="F33" i="58"/>
  <c r="B33" i="58"/>
  <c r="K32" i="58"/>
  <c r="H32" i="58"/>
  <c r="I32" i="58" s="1"/>
  <c r="B32" i="58"/>
  <c r="K31" i="58"/>
  <c r="H31" i="58"/>
  <c r="I31" i="58" s="1"/>
  <c r="B31" i="58"/>
  <c r="K30" i="58"/>
  <c r="F30" i="58"/>
  <c r="D30" i="58"/>
  <c r="B30" i="58"/>
  <c r="K29" i="58"/>
  <c r="H29" i="58"/>
  <c r="I29" i="58" s="1"/>
  <c r="B29" i="58"/>
  <c r="K28" i="58"/>
  <c r="F28" i="58"/>
  <c r="D28" i="58"/>
  <c r="B28" i="58"/>
  <c r="K27" i="58"/>
  <c r="F27" i="58"/>
  <c r="D27" i="58"/>
  <c r="B27" i="58"/>
  <c r="K26" i="58"/>
  <c r="B26" i="58"/>
  <c r="K25" i="58"/>
  <c r="H25" i="58"/>
  <c r="I25" i="58" s="1"/>
  <c r="B25" i="58"/>
  <c r="K24" i="58"/>
  <c r="F24" i="58"/>
  <c r="D24" i="58"/>
  <c r="B24" i="58"/>
  <c r="K23" i="58"/>
  <c r="H23" i="58"/>
  <c r="I23" i="58" s="1"/>
  <c r="B23" i="58"/>
  <c r="K22" i="58"/>
  <c r="H22" i="58"/>
  <c r="I22" i="58" s="1"/>
  <c r="B22" i="58"/>
  <c r="K21" i="58"/>
  <c r="H21" i="58"/>
  <c r="I21" i="58" s="1"/>
  <c r="B21" i="58"/>
  <c r="K20" i="58"/>
  <c r="F20" i="58"/>
  <c r="D20" i="58"/>
  <c r="H20" i="58" s="1"/>
  <c r="I20" i="58" s="1"/>
  <c r="B20" i="58"/>
  <c r="K19" i="58"/>
  <c r="H19" i="58"/>
  <c r="I19" i="58" s="1"/>
  <c r="B19" i="58"/>
  <c r="K18" i="58"/>
  <c r="H18" i="58"/>
  <c r="B18" i="58"/>
  <c r="K17" i="58"/>
  <c r="F17" i="58"/>
  <c r="D17" i="58"/>
  <c r="H17" i="58" s="1"/>
  <c r="I17" i="58" s="1"/>
  <c r="B17" i="58"/>
  <c r="K16" i="58"/>
  <c r="B16" i="58"/>
  <c r="K15" i="58"/>
  <c r="H15" i="58"/>
  <c r="B15" i="58"/>
  <c r="K14" i="58"/>
  <c r="H14" i="58"/>
  <c r="I14" i="58" s="1"/>
  <c r="B14" i="58"/>
  <c r="K13" i="58"/>
  <c r="F13" i="58"/>
  <c r="F8" i="58" s="1"/>
  <c r="M29" i="58" s="1"/>
  <c r="D13" i="58"/>
  <c r="H13" i="58" s="1"/>
  <c r="I13" i="58" s="1"/>
  <c r="B13" i="58"/>
  <c r="K12" i="58"/>
  <c r="H12" i="58"/>
  <c r="I12" i="58" s="1"/>
  <c r="B12" i="58"/>
  <c r="K11" i="58"/>
  <c r="H11" i="58"/>
  <c r="I11" i="58" s="1"/>
  <c r="B11" i="58"/>
  <c r="K10" i="58"/>
  <c r="H10" i="58"/>
  <c r="B10" i="58"/>
  <c r="K9" i="58"/>
  <c r="F9" i="58"/>
  <c r="D9" i="58"/>
  <c r="B9" i="58"/>
  <c r="K8" i="58"/>
  <c r="D30" i="60" l="1"/>
  <c r="D51" i="60"/>
  <c r="D8" i="58"/>
  <c r="M33" i="58"/>
  <c r="C16" i="60"/>
  <c r="D10" i="63"/>
  <c r="D9" i="63" s="1"/>
  <c r="D30" i="63" s="1"/>
  <c r="G24" i="58"/>
  <c r="M17" i="58"/>
  <c r="G27" i="58"/>
  <c r="E11" i="60"/>
  <c r="E36" i="60"/>
  <c r="E12" i="63"/>
  <c r="M20" i="58"/>
  <c r="G34" i="58"/>
  <c r="L30" i="58"/>
  <c r="F16" i="58"/>
  <c r="G16" i="58" s="1"/>
  <c r="G30" i="58"/>
  <c r="D10" i="60"/>
  <c r="C34" i="60"/>
  <c r="D33" i="63"/>
  <c r="C32" i="63"/>
  <c r="C53" i="63" s="1"/>
  <c r="M13" i="58"/>
  <c r="D16" i="58"/>
  <c r="L16" i="58" s="1"/>
  <c r="G25" i="61"/>
  <c r="M28" i="58"/>
  <c r="M9" i="58"/>
  <c r="H28" i="58"/>
  <c r="I28" i="58" s="1"/>
  <c r="D33" i="58"/>
  <c r="H33" i="58" s="1"/>
  <c r="I33" i="58" s="1"/>
  <c r="E19" i="60"/>
  <c r="E18" i="60" s="1"/>
  <c r="F8" i="61"/>
  <c r="E14" i="63"/>
  <c r="E13" i="63" s="1"/>
  <c r="E12" i="60"/>
  <c r="E10" i="60" s="1"/>
  <c r="E35" i="60"/>
  <c r="C13" i="63"/>
  <c r="E34" i="63"/>
  <c r="E38" i="63"/>
  <c r="E37" i="63" s="1"/>
  <c r="C31" i="60"/>
  <c r="C10" i="63"/>
  <c r="C10" i="60"/>
  <c r="C14" i="60"/>
  <c r="C18" i="60"/>
  <c r="E31" i="60"/>
  <c r="E11" i="63"/>
  <c r="E36" i="63"/>
  <c r="G13" i="61"/>
  <c r="G19" i="61"/>
  <c r="G22" i="61"/>
  <c r="G23" i="61"/>
  <c r="M9" i="61"/>
  <c r="G15" i="61"/>
  <c r="G16" i="61"/>
  <c r="G24" i="61"/>
  <c r="G18" i="61"/>
  <c r="G17" i="61"/>
  <c r="G14" i="61"/>
  <c r="M17" i="61"/>
  <c r="M14" i="61"/>
  <c r="G10" i="61"/>
  <c r="G27" i="61"/>
  <c r="G26" i="61"/>
  <c r="G20" i="61"/>
  <c r="G12" i="61"/>
  <c r="M24" i="61"/>
  <c r="M16" i="61"/>
  <c r="M13" i="61"/>
  <c r="M27" i="61"/>
  <c r="M26" i="61"/>
  <c r="F21" i="61"/>
  <c r="M20" i="61"/>
  <c r="M12" i="61"/>
  <c r="M23" i="61"/>
  <c r="M18" i="61"/>
  <c r="M10" i="61"/>
  <c r="M8" i="61"/>
  <c r="L16" i="61"/>
  <c r="H13" i="61"/>
  <c r="I13" i="61" s="1"/>
  <c r="H16" i="61"/>
  <c r="I16" i="61" s="1"/>
  <c r="D8" i="61"/>
  <c r="E19" i="61" s="1"/>
  <c r="H9" i="61"/>
  <c r="H11" i="61"/>
  <c r="I11" i="61" s="1"/>
  <c r="M11" i="61"/>
  <c r="D15" i="61"/>
  <c r="M15" i="61"/>
  <c r="H19" i="61"/>
  <c r="I19" i="61" s="1"/>
  <c r="M19" i="61"/>
  <c r="D22" i="61"/>
  <c r="M22" i="61"/>
  <c r="H25" i="61"/>
  <c r="I25" i="61" s="1"/>
  <c r="M25" i="61"/>
  <c r="F28" i="61"/>
  <c r="G9" i="61"/>
  <c r="G11" i="61"/>
  <c r="E16" i="61"/>
  <c r="E23" i="61"/>
  <c r="H23" i="61"/>
  <c r="I23" i="61" s="1"/>
  <c r="H9" i="58"/>
  <c r="I9" i="58" s="1"/>
  <c r="G13" i="58"/>
  <c r="G14" i="58"/>
  <c r="L14" i="58"/>
  <c r="G15" i="58"/>
  <c r="M15" i="58"/>
  <c r="G20" i="58"/>
  <c r="G21" i="58"/>
  <c r="G22" i="58"/>
  <c r="L22" i="58"/>
  <c r="G23" i="58"/>
  <c r="E24" i="58"/>
  <c r="G28" i="58"/>
  <c r="G29" i="58"/>
  <c r="L29" i="58"/>
  <c r="G33" i="58"/>
  <c r="L33" i="58"/>
  <c r="G9" i="58"/>
  <c r="G10" i="58"/>
  <c r="M10" i="58"/>
  <c r="M11" i="58"/>
  <c r="M12" i="58"/>
  <c r="E15" i="58"/>
  <c r="G17" i="58"/>
  <c r="G18" i="58"/>
  <c r="M18" i="58"/>
  <c r="M19" i="58"/>
  <c r="E21" i="58"/>
  <c r="H24" i="58"/>
  <c r="I24" i="58" s="1"/>
  <c r="M24" i="58"/>
  <c r="M25" i="58"/>
  <c r="H27" i="58"/>
  <c r="I27" i="58" s="1"/>
  <c r="M27" i="58"/>
  <c r="H30" i="58"/>
  <c r="I30" i="58" s="1"/>
  <c r="M30" i="58"/>
  <c r="M31" i="58"/>
  <c r="M32" i="58"/>
  <c r="H34" i="58"/>
  <c r="I34" i="58" s="1"/>
  <c r="M34" i="58"/>
  <c r="M35" i="58"/>
  <c r="F36" i="58"/>
  <c r="B37" i="58"/>
  <c r="M8" i="58"/>
  <c r="E10" i="58"/>
  <c r="G11" i="58"/>
  <c r="L11" i="58"/>
  <c r="G12" i="58"/>
  <c r="G19" i="58"/>
  <c r="G25" i="58"/>
  <c r="L27" i="58"/>
  <c r="G31" i="58"/>
  <c r="G32" i="58"/>
  <c r="G35" i="58"/>
  <c r="E11" i="58"/>
  <c r="M14" i="58"/>
  <c r="E17" i="58"/>
  <c r="M21" i="58"/>
  <c r="M22" i="58"/>
  <c r="M23" i="58"/>
  <c r="E25" i="58"/>
  <c r="E32" i="58"/>
  <c r="E42" i="56"/>
  <c r="D42" i="56"/>
  <c r="C42" i="56"/>
  <c r="E40" i="56"/>
  <c r="D40" i="56"/>
  <c r="C40" i="56"/>
  <c r="D38" i="56"/>
  <c r="E36" i="56"/>
  <c r="E35" i="56"/>
  <c r="D34" i="56"/>
  <c r="E33" i="56"/>
  <c r="E32" i="56"/>
  <c r="D30" i="56"/>
  <c r="E31" i="56"/>
  <c r="E21" i="56"/>
  <c r="E20" i="56"/>
  <c r="D19" i="56"/>
  <c r="C19" i="56"/>
  <c r="E18" i="56"/>
  <c r="E17" i="56"/>
  <c r="C16" i="56"/>
  <c r="E13" i="56"/>
  <c r="E12" i="56"/>
  <c r="D10" i="56"/>
  <c r="C10" i="56"/>
  <c r="B23" i="55"/>
  <c r="B20" i="55"/>
  <c r="D11" i="55"/>
  <c r="B11" i="55" s="1"/>
  <c r="B15" i="55" s="1"/>
  <c r="B24" i="55" s="1"/>
  <c r="B26" i="55" s="1"/>
  <c r="A88" i="54"/>
  <c r="B88" i="54" s="1"/>
  <c r="K87" i="54"/>
  <c r="F87" i="54"/>
  <c r="D87" i="54"/>
  <c r="B87" i="54"/>
  <c r="K86" i="54"/>
  <c r="F86" i="54"/>
  <c r="F85" i="54" s="1"/>
  <c r="D86" i="54"/>
  <c r="B86" i="54"/>
  <c r="K85" i="54"/>
  <c r="B85" i="54"/>
  <c r="K84" i="54"/>
  <c r="H84" i="54"/>
  <c r="I84" i="54" s="1"/>
  <c r="B84" i="54"/>
  <c r="K83" i="54"/>
  <c r="H83" i="54"/>
  <c r="I83" i="54" s="1"/>
  <c r="B83" i="54"/>
  <c r="K82" i="54"/>
  <c r="F82" i="54"/>
  <c r="D82" i="54"/>
  <c r="H82" i="54" s="1"/>
  <c r="I82" i="54" s="1"/>
  <c r="B82" i="54"/>
  <c r="K81" i="54"/>
  <c r="F81" i="54"/>
  <c r="F80" i="54" s="1"/>
  <c r="D81" i="54"/>
  <c r="D80" i="54" s="1"/>
  <c r="B81" i="54"/>
  <c r="K80" i="54"/>
  <c r="B80" i="54"/>
  <c r="K79" i="54"/>
  <c r="H79" i="54"/>
  <c r="I79" i="54" s="1"/>
  <c r="B79" i="54"/>
  <c r="K78" i="54"/>
  <c r="H78" i="54"/>
  <c r="I78" i="54" s="1"/>
  <c r="B78" i="54"/>
  <c r="K77" i="54"/>
  <c r="F77" i="54"/>
  <c r="D77" i="54"/>
  <c r="B77" i="54"/>
  <c r="K76" i="54"/>
  <c r="H76" i="54"/>
  <c r="I76" i="54" s="1"/>
  <c r="B76" i="54"/>
  <c r="K75" i="54"/>
  <c r="H75" i="54"/>
  <c r="I75" i="54" s="1"/>
  <c r="B75" i="54"/>
  <c r="K74" i="54"/>
  <c r="F74" i="54"/>
  <c r="D74" i="54"/>
  <c r="B74" i="54"/>
  <c r="K73" i="54"/>
  <c r="H73" i="54"/>
  <c r="B73" i="54"/>
  <c r="K72" i="54"/>
  <c r="F72" i="54"/>
  <c r="F71" i="54" s="1"/>
  <c r="D72" i="54"/>
  <c r="H72" i="54" s="1"/>
  <c r="B72" i="54"/>
  <c r="K71" i="54"/>
  <c r="B71" i="54"/>
  <c r="K70" i="54"/>
  <c r="H70" i="54"/>
  <c r="I70" i="54" s="1"/>
  <c r="B70" i="54"/>
  <c r="K69" i="54"/>
  <c r="H69" i="54"/>
  <c r="I69" i="54" s="1"/>
  <c r="B69" i="54"/>
  <c r="K68" i="54"/>
  <c r="F68" i="54"/>
  <c r="F67" i="54" s="1"/>
  <c r="D68" i="54"/>
  <c r="B68" i="54"/>
  <c r="K67" i="54"/>
  <c r="B67" i="54"/>
  <c r="K66" i="54"/>
  <c r="B66" i="54"/>
  <c r="K65" i="54"/>
  <c r="F65" i="54"/>
  <c r="D65" i="54"/>
  <c r="B65" i="54"/>
  <c r="K64" i="54"/>
  <c r="F64" i="54"/>
  <c r="F63" i="54" s="1"/>
  <c r="F88" i="54" s="1"/>
  <c r="D64" i="54"/>
  <c r="B64" i="54"/>
  <c r="K63" i="54"/>
  <c r="B63" i="54"/>
  <c r="K62" i="54"/>
  <c r="H62" i="54"/>
  <c r="I62" i="54" s="1"/>
  <c r="B62" i="54"/>
  <c r="K61" i="54"/>
  <c r="H61" i="54"/>
  <c r="I61" i="54" s="1"/>
  <c r="B61" i="54"/>
  <c r="K60" i="54"/>
  <c r="F60" i="54"/>
  <c r="D60" i="54"/>
  <c r="H60" i="54" s="1"/>
  <c r="I60" i="54" s="1"/>
  <c r="B60" i="54"/>
  <c r="K59" i="54"/>
  <c r="H59" i="54"/>
  <c r="B59" i="54"/>
  <c r="K58" i="54"/>
  <c r="H58" i="54"/>
  <c r="I58" i="54" s="1"/>
  <c r="B58" i="54"/>
  <c r="K57" i="54"/>
  <c r="F57" i="54"/>
  <c r="D57" i="54"/>
  <c r="D53" i="54" s="1"/>
  <c r="B57" i="54"/>
  <c r="K56" i="54"/>
  <c r="H56" i="54"/>
  <c r="I56" i="54" s="1"/>
  <c r="B56" i="54"/>
  <c r="K55" i="54"/>
  <c r="I55" i="54"/>
  <c r="H55" i="54"/>
  <c r="B55" i="54"/>
  <c r="K54" i="54"/>
  <c r="F54" i="54"/>
  <c r="D54" i="54"/>
  <c r="H54" i="54" s="1"/>
  <c r="I54" i="54" s="1"/>
  <c r="B54" i="54"/>
  <c r="K53" i="54"/>
  <c r="B53" i="54"/>
  <c r="K52" i="54"/>
  <c r="H52" i="54"/>
  <c r="B52" i="54"/>
  <c r="K51" i="54"/>
  <c r="H51" i="54"/>
  <c r="I51" i="54" s="1"/>
  <c r="B51" i="54"/>
  <c r="K50" i="54"/>
  <c r="F50" i="54"/>
  <c r="D50" i="54"/>
  <c r="B50" i="54"/>
  <c r="K49" i="54"/>
  <c r="H49" i="54"/>
  <c r="B49" i="54"/>
  <c r="K48" i="54"/>
  <c r="F48" i="54"/>
  <c r="D48" i="54"/>
  <c r="B48" i="54"/>
  <c r="K47" i="54"/>
  <c r="H47" i="54"/>
  <c r="I47" i="54" s="1"/>
  <c r="B47" i="54"/>
  <c r="K46" i="54"/>
  <c r="F46" i="54"/>
  <c r="D46" i="54"/>
  <c r="B46" i="54"/>
  <c r="K45" i="54"/>
  <c r="H45" i="54"/>
  <c r="B45" i="54"/>
  <c r="K44" i="54"/>
  <c r="F44" i="54"/>
  <c r="D44" i="54"/>
  <c r="H44" i="54" s="1"/>
  <c r="B44" i="54"/>
  <c r="K43" i="54"/>
  <c r="H43" i="54"/>
  <c r="I43" i="54" s="1"/>
  <c r="B43" i="54"/>
  <c r="K42" i="54"/>
  <c r="F42" i="54"/>
  <c r="F39" i="54" s="1"/>
  <c r="D42" i="54"/>
  <c r="D39" i="54" s="1"/>
  <c r="B42" i="54"/>
  <c r="K41" i="54"/>
  <c r="H41" i="54"/>
  <c r="B41" i="54"/>
  <c r="F40" i="54"/>
  <c r="D40" i="54"/>
  <c r="A40" i="54"/>
  <c r="B40" i="54" s="1"/>
  <c r="K39" i="54"/>
  <c r="B39" i="54"/>
  <c r="K38" i="54"/>
  <c r="B38" i="54"/>
  <c r="K37" i="54"/>
  <c r="H37" i="54"/>
  <c r="B37" i="54"/>
  <c r="K36" i="54"/>
  <c r="F36" i="54"/>
  <c r="D36" i="54"/>
  <c r="B36" i="54"/>
  <c r="K35" i="54"/>
  <c r="D35" i="54"/>
  <c r="B35" i="54"/>
  <c r="K34" i="54"/>
  <c r="H34" i="54"/>
  <c r="I34" i="54" s="1"/>
  <c r="B34" i="54"/>
  <c r="K33" i="54"/>
  <c r="H33" i="54"/>
  <c r="B33" i="54"/>
  <c r="K32" i="54"/>
  <c r="F32" i="54"/>
  <c r="D32" i="54"/>
  <c r="B32" i="54"/>
  <c r="K31" i="54"/>
  <c r="H31" i="54"/>
  <c r="I31" i="54" s="1"/>
  <c r="B31" i="54"/>
  <c r="K30" i="54"/>
  <c r="H30" i="54"/>
  <c r="I30" i="54" s="1"/>
  <c r="B30" i="54"/>
  <c r="K29" i="54"/>
  <c r="F29" i="54"/>
  <c r="D29" i="54"/>
  <c r="B29" i="54"/>
  <c r="K28" i="54"/>
  <c r="D28" i="54"/>
  <c r="B28" i="54"/>
  <c r="K27" i="54"/>
  <c r="H27" i="54"/>
  <c r="I27" i="54" s="1"/>
  <c r="B27" i="54"/>
  <c r="K26" i="54"/>
  <c r="H26" i="54"/>
  <c r="I26" i="54" s="1"/>
  <c r="B26" i="54"/>
  <c r="K25" i="54"/>
  <c r="F25" i="54"/>
  <c r="D25" i="54"/>
  <c r="B25" i="54"/>
  <c r="K24" i="54"/>
  <c r="H24" i="54"/>
  <c r="B24" i="54"/>
  <c r="K23" i="54"/>
  <c r="F23" i="54"/>
  <c r="D23" i="54"/>
  <c r="B23" i="54"/>
  <c r="K22" i="54"/>
  <c r="H22" i="54"/>
  <c r="I22" i="54" s="1"/>
  <c r="B22" i="54"/>
  <c r="K21" i="54"/>
  <c r="H21" i="54"/>
  <c r="I21" i="54" s="1"/>
  <c r="B21" i="54"/>
  <c r="K20" i="54"/>
  <c r="F20" i="54"/>
  <c r="D20" i="54"/>
  <c r="B20" i="54"/>
  <c r="K19" i="54"/>
  <c r="H19" i="54"/>
  <c r="I19" i="54" s="1"/>
  <c r="B19" i="54"/>
  <c r="K18" i="54"/>
  <c r="F18" i="54"/>
  <c r="D18" i="54"/>
  <c r="B18" i="54"/>
  <c r="K17" i="54"/>
  <c r="H17" i="54"/>
  <c r="I17" i="54" s="1"/>
  <c r="B17" i="54"/>
  <c r="K16" i="54"/>
  <c r="F16" i="54"/>
  <c r="D16" i="54"/>
  <c r="B16" i="54"/>
  <c r="K15" i="54"/>
  <c r="H15" i="54"/>
  <c r="B15" i="54"/>
  <c r="K14" i="54"/>
  <c r="F14" i="54"/>
  <c r="D14" i="54"/>
  <c r="B14" i="54"/>
  <c r="K13" i="54"/>
  <c r="I13" i="54"/>
  <c r="H13" i="54"/>
  <c r="B13" i="54"/>
  <c r="K12" i="54"/>
  <c r="F12" i="54"/>
  <c r="D12" i="54"/>
  <c r="B12" i="54"/>
  <c r="K11" i="54"/>
  <c r="H11" i="54"/>
  <c r="B11" i="54"/>
  <c r="K10" i="54"/>
  <c r="F10" i="54"/>
  <c r="D10" i="54"/>
  <c r="H10" i="54" s="1"/>
  <c r="B10" i="54"/>
  <c r="K9" i="54"/>
  <c r="B9" i="54"/>
  <c r="K8" i="54"/>
  <c r="F34" i="53"/>
  <c r="E34" i="53"/>
  <c r="D34" i="53"/>
  <c r="C34" i="53"/>
  <c r="B34" i="53"/>
  <c r="A34" i="53"/>
  <c r="A31" i="53"/>
  <c r="F30" i="53"/>
  <c r="E30" i="53"/>
  <c r="D30" i="53"/>
  <c r="C30" i="53"/>
  <c r="B30" i="53"/>
  <c r="B35" i="53" s="1"/>
  <c r="F22" i="53"/>
  <c r="E22" i="53"/>
  <c r="D22" i="53"/>
  <c r="C22" i="53"/>
  <c r="B22" i="53"/>
  <c r="B23" i="53" s="1"/>
  <c r="F18" i="53"/>
  <c r="F23" i="53" s="1"/>
  <c r="E18" i="53"/>
  <c r="E23" i="53" s="1"/>
  <c r="D18" i="53"/>
  <c r="D23" i="53" s="1"/>
  <c r="C18" i="53"/>
  <c r="B18" i="53"/>
  <c r="E32" i="52"/>
  <c r="C32" i="52"/>
  <c r="D21" i="52"/>
  <c r="D27" i="52" s="1"/>
  <c r="D30" i="52" s="1"/>
  <c r="B21" i="52"/>
  <c r="B27" i="52" s="1"/>
  <c r="D32" i="63" l="1"/>
  <c r="E10" i="63"/>
  <c r="E9" i="63" s="1"/>
  <c r="E30" i="63" s="1"/>
  <c r="E34" i="60"/>
  <c r="D9" i="60"/>
  <c r="D37" i="56"/>
  <c r="D29" i="56"/>
  <c r="M16" i="58"/>
  <c r="F26" i="58"/>
  <c r="M26" i="58" s="1"/>
  <c r="C9" i="56"/>
  <c r="C28" i="56" s="1"/>
  <c r="F66" i="54"/>
  <c r="H80" i="54"/>
  <c r="I80" i="54" s="1"/>
  <c r="E16" i="56"/>
  <c r="E35" i="58"/>
  <c r="L8" i="58"/>
  <c r="D9" i="54"/>
  <c r="E15" i="56"/>
  <c r="E31" i="58"/>
  <c r="L31" i="58"/>
  <c r="L18" i="58"/>
  <c r="E14" i="58"/>
  <c r="L23" i="58"/>
  <c r="E33" i="63"/>
  <c r="E32" i="63" s="1"/>
  <c r="E53" i="63" s="1"/>
  <c r="L9" i="58"/>
  <c r="H23" i="54"/>
  <c r="H46" i="54"/>
  <c r="I46" i="54" s="1"/>
  <c r="H64" i="54"/>
  <c r="I64" i="54" s="1"/>
  <c r="H68" i="54"/>
  <c r="I68" i="54" s="1"/>
  <c r="H86" i="54"/>
  <c r="I86" i="54" s="1"/>
  <c r="E39" i="56"/>
  <c r="E38" i="56" s="1"/>
  <c r="E37" i="56" s="1"/>
  <c r="D26" i="58"/>
  <c r="E12" i="58"/>
  <c r="E18" i="58"/>
  <c r="L10" i="58"/>
  <c r="E30" i="58"/>
  <c r="D36" i="58"/>
  <c r="D71" i="54"/>
  <c r="H71" i="54" s="1"/>
  <c r="I71" i="54" s="1"/>
  <c r="D16" i="56"/>
  <c r="L35" i="58"/>
  <c r="L25" i="58"/>
  <c r="H16" i="58"/>
  <c r="I16" i="58" s="1"/>
  <c r="L34" i="58"/>
  <c r="C23" i="53"/>
  <c r="E11" i="56"/>
  <c r="E13" i="58"/>
  <c r="K40" i="54"/>
  <c r="D63" i="54"/>
  <c r="D67" i="54"/>
  <c r="E14" i="56"/>
  <c r="E33" i="58"/>
  <c r="E20" i="58"/>
  <c r="L12" i="58"/>
  <c r="E23" i="58"/>
  <c r="E16" i="58"/>
  <c r="E13" i="61"/>
  <c r="C9" i="63"/>
  <c r="C30" i="63" s="1"/>
  <c r="E19" i="56"/>
  <c r="C35" i="53"/>
  <c r="L17" i="58"/>
  <c r="E9" i="60"/>
  <c r="E29" i="60" s="1"/>
  <c r="D35" i="53"/>
  <c r="H8" i="58"/>
  <c r="I8" i="58" s="1"/>
  <c r="L28" i="58"/>
  <c r="L21" i="58"/>
  <c r="L13" i="58"/>
  <c r="C9" i="60"/>
  <c r="E9" i="58"/>
  <c r="E35" i="53"/>
  <c r="F35" i="53"/>
  <c r="H36" i="54"/>
  <c r="H74" i="54"/>
  <c r="I74" i="54" s="1"/>
  <c r="C38" i="56"/>
  <c r="E19" i="58"/>
  <c r="L32" i="58"/>
  <c r="L19" i="58"/>
  <c r="H36" i="58"/>
  <c r="I36" i="58" s="1"/>
  <c r="E29" i="58"/>
  <c r="E22" i="58"/>
  <c r="L15" i="58"/>
  <c r="E34" i="58"/>
  <c r="E27" i="58"/>
  <c r="L20" i="58"/>
  <c r="E11" i="61"/>
  <c r="C30" i="60"/>
  <c r="E28" i="58"/>
  <c r="L24" i="58"/>
  <c r="E30" i="56"/>
  <c r="E34" i="56"/>
  <c r="C34" i="56"/>
  <c r="C30" i="56"/>
  <c r="E30" i="60"/>
  <c r="E51" i="60" s="1"/>
  <c r="G21" i="61"/>
  <c r="F29" i="61"/>
  <c r="M21" i="61"/>
  <c r="L13" i="61"/>
  <c r="G28" i="61"/>
  <c r="M28" i="61"/>
  <c r="E22" i="61"/>
  <c r="L22" i="61"/>
  <c r="H22" i="61"/>
  <c r="I22" i="61" s="1"/>
  <c r="D28" i="61"/>
  <c r="E15" i="61"/>
  <c r="L15" i="61"/>
  <c r="H15" i="61"/>
  <c r="I15" i="61" s="1"/>
  <c r="L24" i="61"/>
  <c r="L18" i="61"/>
  <c r="L17" i="61"/>
  <c r="L14" i="61"/>
  <c r="L10" i="61"/>
  <c r="E10" i="61"/>
  <c r="L8" i="61"/>
  <c r="L27" i="61"/>
  <c r="L26" i="61"/>
  <c r="L25" i="61"/>
  <c r="L20" i="61"/>
  <c r="L19" i="61"/>
  <c r="L12" i="61"/>
  <c r="L11" i="61"/>
  <c r="D21" i="61"/>
  <c r="E24" i="61"/>
  <c r="E18" i="61"/>
  <c r="E17" i="61"/>
  <c r="E14" i="61"/>
  <c r="E27" i="61"/>
  <c r="E26" i="61"/>
  <c r="E20" i="61"/>
  <c r="E12" i="61"/>
  <c r="L9" i="61"/>
  <c r="H8" i="61"/>
  <c r="I8" i="61" s="1"/>
  <c r="E9" i="61"/>
  <c r="E25" i="61"/>
  <c r="L23" i="61"/>
  <c r="E26" i="58"/>
  <c r="D37" i="58"/>
  <c r="L26" i="58"/>
  <c r="M36" i="58"/>
  <c r="G36" i="58"/>
  <c r="H16" i="54"/>
  <c r="I16" i="54" s="1"/>
  <c r="H20" i="54"/>
  <c r="I20" i="54" s="1"/>
  <c r="H32" i="54"/>
  <c r="I32" i="54" s="1"/>
  <c r="H57" i="54"/>
  <c r="I57" i="54" s="1"/>
  <c r="F35" i="54"/>
  <c r="H40" i="54"/>
  <c r="H42" i="54"/>
  <c r="I42" i="54" s="1"/>
  <c r="H48" i="54"/>
  <c r="H50" i="54"/>
  <c r="I50" i="54" s="1"/>
  <c r="H63" i="54"/>
  <c r="I63" i="54" s="1"/>
  <c r="H65" i="54"/>
  <c r="I65" i="54" s="1"/>
  <c r="H67" i="54"/>
  <c r="I67" i="54" s="1"/>
  <c r="H77" i="54"/>
  <c r="I77" i="54" s="1"/>
  <c r="H81" i="54"/>
  <c r="I81" i="54" s="1"/>
  <c r="D85" i="54"/>
  <c r="H87" i="54"/>
  <c r="I87" i="54" s="1"/>
  <c r="K88" i="54"/>
  <c r="H39" i="54"/>
  <c r="I39" i="54" s="1"/>
  <c r="F9" i="54"/>
  <c r="H9" i="54" s="1"/>
  <c r="I9" i="54" s="1"/>
  <c r="H12" i="54"/>
  <c r="I12" i="54" s="1"/>
  <c r="H18" i="54"/>
  <c r="I18" i="54" s="1"/>
  <c r="H25" i="54"/>
  <c r="I25" i="54" s="1"/>
  <c r="F28" i="54"/>
  <c r="H29" i="54"/>
  <c r="I29" i="54" s="1"/>
  <c r="D38" i="54"/>
  <c r="F53" i="54"/>
  <c r="D8" i="54"/>
  <c r="H14" i="54"/>
  <c r="B30" i="52"/>
  <c r="B28" i="52"/>
  <c r="B31" i="52"/>
  <c r="B29" i="52"/>
  <c r="E27" i="52"/>
  <c r="D29" i="52"/>
  <c r="D31" i="52"/>
  <c r="D28" i="52"/>
  <c r="D53" i="63" l="1"/>
  <c r="D29" i="60"/>
  <c r="C51" i="60"/>
  <c r="C29" i="60"/>
  <c r="D48" i="56"/>
  <c r="D9" i="56"/>
  <c r="D28" i="56" s="1"/>
  <c r="C37" i="56"/>
  <c r="H26" i="58"/>
  <c r="I26" i="58" s="1"/>
  <c r="G26" i="58"/>
  <c r="F37" i="58"/>
  <c r="H37" i="58" s="1"/>
  <c r="E29" i="56"/>
  <c r="E48" i="56" s="1"/>
  <c r="D66" i="54"/>
  <c r="H66" i="54" s="1"/>
  <c r="I66" i="54" s="1"/>
  <c r="B32" i="52"/>
  <c r="E10" i="56"/>
  <c r="E9" i="56" s="1"/>
  <c r="E28" i="56" s="1"/>
  <c r="E36" i="58"/>
  <c r="L36" i="58"/>
  <c r="C29" i="56"/>
  <c r="L28" i="61"/>
  <c r="E28" i="61"/>
  <c r="H28" i="61"/>
  <c r="I28" i="61" s="1"/>
  <c r="M29" i="61"/>
  <c r="G29" i="61"/>
  <c r="D29" i="61"/>
  <c r="L21" i="61"/>
  <c r="H21" i="61"/>
  <c r="I21" i="61" s="1"/>
  <c r="E21" i="61"/>
  <c r="M37" i="58"/>
  <c r="G37" i="58"/>
  <c r="E37" i="58"/>
  <c r="L37" i="58"/>
  <c r="E79" i="54"/>
  <c r="E78" i="54"/>
  <c r="L56" i="54"/>
  <c r="L55" i="54"/>
  <c r="L54" i="54"/>
  <c r="L52" i="54"/>
  <c r="E52" i="54"/>
  <c r="E51" i="54"/>
  <c r="E43" i="54"/>
  <c r="E34" i="54"/>
  <c r="L31" i="54"/>
  <c r="L30" i="54"/>
  <c r="L27" i="54"/>
  <c r="L26" i="54"/>
  <c r="L19" i="54"/>
  <c r="L15" i="54"/>
  <c r="E15" i="54"/>
  <c r="L13" i="54"/>
  <c r="L8" i="54"/>
  <c r="L74" i="54"/>
  <c r="E71" i="54"/>
  <c r="L69" i="54"/>
  <c r="L68" i="54"/>
  <c r="L66" i="54"/>
  <c r="E50" i="54"/>
  <c r="E49" i="54"/>
  <c r="E48" i="54"/>
  <c r="L47" i="54"/>
  <c r="E42" i="54"/>
  <c r="E41" i="54"/>
  <c r="L10" i="54"/>
  <c r="L79" i="54"/>
  <c r="L78" i="54"/>
  <c r="L73" i="54"/>
  <c r="E73" i="54"/>
  <c r="L59" i="54"/>
  <c r="E59" i="54"/>
  <c r="E58" i="54"/>
  <c r="L51" i="54"/>
  <c r="E46" i="54"/>
  <c r="L45" i="54"/>
  <c r="E45" i="54"/>
  <c r="L43" i="54"/>
  <c r="L34" i="54"/>
  <c r="L33" i="54"/>
  <c r="E33" i="54"/>
  <c r="E22" i="54"/>
  <c r="E21" i="54"/>
  <c r="E17" i="54"/>
  <c r="L86" i="54"/>
  <c r="E81" i="54"/>
  <c r="L76" i="54"/>
  <c r="L70" i="54"/>
  <c r="E67" i="54"/>
  <c r="E65" i="54"/>
  <c r="L64" i="54"/>
  <c r="L62" i="54"/>
  <c r="L61" i="54"/>
  <c r="L60" i="54"/>
  <c r="E55" i="54"/>
  <c r="L49" i="54"/>
  <c r="L46" i="54"/>
  <c r="L41" i="54"/>
  <c r="E40" i="54"/>
  <c r="L36" i="54"/>
  <c r="L23" i="54"/>
  <c r="E13" i="54"/>
  <c r="E84" i="54"/>
  <c r="E83" i="54"/>
  <c r="E76" i="54"/>
  <c r="E75" i="54"/>
  <c r="E70" i="54"/>
  <c r="E69" i="54"/>
  <c r="E62" i="54"/>
  <c r="E61" i="54"/>
  <c r="L58" i="54"/>
  <c r="E54" i="54"/>
  <c r="E47" i="54"/>
  <c r="L44" i="54"/>
  <c r="L37" i="54"/>
  <c r="E37" i="54"/>
  <c r="E29" i="54"/>
  <c r="E25" i="54"/>
  <c r="L24" i="54"/>
  <c r="E24" i="54"/>
  <c r="L22" i="54"/>
  <c r="L21" i="54"/>
  <c r="L17" i="54"/>
  <c r="E12" i="54"/>
  <c r="L11" i="54"/>
  <c r="E11" i="54"/>
  <c r="E10" i="54"/>
  <c r="E87" i="54"/>
  <c r="L84" i="54"/>
  <c r="L83" i="54"/>
  <c r="L82" i="54"/>
  <c r="L80" i="54"/>
  <c r="E77" i="54"/>
  <c r="L75" i="54"/>
  <c r="E63" i="54"/>
  <c r="E56" i="54"/>
  <c r="E31" i="54"/>
  <c r="E30" i="54"/>
  <c r="E27" i="54"/>
  <c r="E26" i="54"/>
  <c r="E19" i="54"/>
  <c r="F38" i="54"/>
  <c r="H38" i="54" s="1"/>
  <c r="I38" i="54" s="1"/>
  <c r="G53" i="54"/>
  <c r="F8" i="54"/>
  <c r="M35" i="54" s="1"/>
  <c r="G28" i="54"/>
  <c r="G35" i="54"/>
  <c r="E57" i="54"/>
  <c r="E82" i="54"/>
  <c r="E60" i="54"/>
  <c r="L53" i="54"/>
  <c r="L20" i="54"/>
  <c r="L9" i="54"/>
  <c r="L65" i="54"/>
  <c r="H28" i="54"/>
  <c r="I28" i="54" s="1"/>
  <c r="E86" i="54"/>
  <c r="E72" i="54"/>
  <c r="L63" i="54"/>
  <c r="E35" i="54"/>
  <c r="L14" i="54"/>
  <c r="H53" i="54"/>
  <c r="I53" i="54" s="1"/>
  <c r="L57" i="54"/>
  <c r="L35" i="54"/>
  <c r="E23" i="54"/>
  <c r="L67" i="54"/>
  <c r="E20" i="54"/>
  <c r="L40" i="54"/>
  <c r="L77" i="54"/>
  <c r="L48" i="54"/>
  <c r="L25" i="54"/>
  <c r="E9" i="54"/>
  <c r="L50" i="54"/>
  <c r="E85" i="54"/>
  <c r="L85" i="54"/>
  <c r="H85" i="54"/>
  <c r="I85" i="54" s="1"/>
  <c r="E64" i="54"/>
  <c r="L72" i="54"/>
  <c r="E36" i="54"/>
  <c r="L16" i="54"/>
  <c r="L71" i="54"/>
  <c r="L81" i="54"/>
  <c r="E80" i="54"/>
  <c r="E66" i="54"/>
  <c r="L39" i="54"/>
  <c r="L32" i="54"/>
  <c r="E18" i="54"/>
  <c r="D88" i="54"/>
  <c r="L29" i="54"/>
  <c r="L12" i="54"/>
  <c r="E28" i="54"/>
  <c r="L18" i="54"/>
  <c r="E16" i="54"/>
  <c r="E39" i="54"/>
  <c r="L38" i="54"/>
  <c r="E38" i="54"/>
  <c r="G9" i="54"/>
  <c r="M9" i="54"/>
  <c r="E74" i="54"/>
  <c r="L28" i="54"/>
  <c r="L87" i="54"/>
  <c r="E53" i="54"/>
  <c r="E32" i="54"/>
  <c r="E68" i="54"/>
  <c r="E44" i="54"/>
  <c r="L42" i="54"/>
  <c r="E14" i="54"/>
  <c r="H35" i="54"/>
  <c r="D32" i="52"/>
  <c r="C48" i="56" l="1"/>
  <c r="H8" i="54"/>
  <c r="I8" i="54" s="1"/>
  <c r="H29" i="61"/>
  <c r="L29" i="61"/>
  <c r="E29" i="61"/>
  <c r="G38" i="54"/>
  <c r="M38" i="54"/>
  <c r="H88" i="54"/>
  <c r="L88" i="54"/>
  <c r="E88" i="54"/>
  <c r="M86" i="54"/>
  <c r="M84" i="54"/>
  <c r="M83" i="54"/>
  <c r="M76" i="54"/>
  <c r="M75" i="54"/>
  <c r="M70" i="54"/>
  <c r="M69" i="54"/>
  <c r="M62" i="54"/>
  <c r="M61" i="54"/>
  <c r="G56" i="54"/>
  <c r="G55" i="54"/>
  <c r="M49" i="54"/>
  <c r="G49" i="54"/>
  <c r="M47" i="54"/>
  <c r="M41" i="54"/>
  <c r="G41" i="54"/>
  <c r="G31" i="54"/>
  <c r="G30" i="54"/>
  <c r="G27" i="54"/>
  <c r="G26" i="54"/>
  <c r="G19" i="54"/>
  <c r="G13" i="54"/>
  <c r="G86" i="54"/>
  <c r="G84" i="54"/>
  <c r="G83" i="54"/>
  <c r="G76" i="54"/>
  <c r="G72" i="54"/>
  <c r="G60" i="54"/>
  <c r="M58" i="54"/>
  <c r="M57" i="54"/>
  <c r="G47" i="54"/>
  <c r="G46" i="54"/>
  <c r="M44" i="54"/>
  <c r="G44" i="54"/>
  <c r="M39" i="54"/>
  <c r="G37" i="54"/>
  <c r="M17" i="54"/>
  <c r="M11" i="54"/>
  <c r="G79" i="54"/>
  <c r="G78" i="54"/>
  <c r="M56" i="54"/>
  <c r="M55" i="54"/>
  <c r="M52" i="54"/>
  <c r="G52" i="54"/>
  <c r="G51" i="54"/>
  <c r="G43" i="54"/>
  <c r="G34" i="54"/>
  <c r="M31" i="54"/>
  <c r="M30" i="54"/>
  <c r="M27" i="54"/>
  <c r="M26" i="54"/>
  <c r="M19" i="54"/>
  <c r="M15" i="54"/>
  <c r="G15" i="54"/>
  <c r="M13" i="54"/>
  <c r="M8" i="54"/>
  <c r="G82" i="54"/>
  <c r="G80" i="54"/>
  <c r="G75" i="54"/>
  <c r="G69" i="54"/>
  <c r="G68" i="54"/>
  <c r="G66" i="54"/>
  <c r="M37" i="54"/>
  <c r="M32" i="54"/>
  <c r="M24" i="54"/>
  <c r="M22" i="54"/>
  <c r="M21" i="54"/>
  <c r="M20" i="54"/>
  <c r="M16" i="54"/>
  <c r="G11" i="54"/>
  <c r="M79" i="54"/>
  <c r="M78" i="54"/>
  <c r="M73" i="54"/>
  <c r="G73" i="54"/>
  <c r="M59" i="54"/>
  <c r="G59" i="54"/>
  <c r="G58" i="54"/>
  <c r="G57" i="54"/>
  <c r="M51" i="54"/>
  <c r="M50" i="54"/>
  <c r="M45" i="54"/>
  <c r="G45" i="54"/>
  <c r="M43" i="54"/>
  <c r="M42" i="54"/>
  <c r="M34" i="54"/>
  <c r="M33" i="54"/>
  <c r="G33" i="54"/>
  <c r="G22" i="54"/>
  <c r="G21" i="54"/>
  <c r="G17" i="54"/>
  <c r="G74" i="54"/>
  <c r="M72" i="54"/>
  <c r="G70" i="54"/>
  <c r="G64" i="54"/>
  <c r="G62" i="54"/>
  <c r="G61" i="54"/>
  <c r="G24" i="54"/>
  <c r="G42" i="54"/>
  <c r="G18" i="54"/>
  <c r="G20" i="54"/>
  <c r="M40" i="54"/>
  <c r="G71" i="54"/>
  <c r="G63" i="54"/>
  <c r="G67" i="54"/>
  <c r="M14" i="54"/>
  <c r="G32" i="54"/>
  <c r="G81" i="54"/>
  <c r="M12" i="54"/>
  <c r="M29" i="54"/>
  <c r="M36" i="54"/>
  <c r="G39" i="54"/>
  <c r="M60" i="54"/>
  <c r="G54" i="54"/>
  <c r="M66" i="54"/>
  <c r="G87" i="54"/>
  <c r="G25" i="54"/>
  <c r="M80" i="54"/>
  <c r="M88" i="54"/>
  <c r="M63" i="54"/>
  <c r="M67" i="54"/>
  <c r="M18" i="54"/>
  <c r="G40" i="54"/>
  <c r="M54" i="54"/>
  <c r="G23" i="54"/>
  <c r="G29" i="54"/>
  <c r="M74" i="54"/>
  <c r="G50" i="54"/>
  <c r="M23" i="54"/>
  <c r="G85" i="54"/>
  <c r="G77" i="54"/>
  <c r="M81" i="54"/>
  <c r="M87" i="54"/>
  <c r="G10" i="54"/>
  <c r="G12" i="54"/>
  <c r="G16" i="54"/>
  <c r="M46" i="54"/>
  <c r="M64" i="54"/>
  <c r="M68" i="54"/>
  <c r="M48" i="54"/>
  <c r="M82" i="54"/>
  <c r="G14" i="54"/>
  <c r="M65" i="54"/>
  <c r="M71" i="54"/>
  <c r="M25" i="54"/>
  <c r="G48" i="54"/>
  <c r="G88" i="54"/>
  <c r="M77" i="54"/>
  <c r="M85" i="54"/>
  <c r="G36" i="54"/>
  <c r="M10" i="54"/>
  <c r="G65" i="54"/>
  <c r="M28" i="54"/>
  <c r="M53" i="54"/>
  <c r="E16" i="16"/>
  <c r="E15" i="16" s="1"/>
  <c r="C16" i="16"/>
  <c r="C15" i="16" s="1"/>
  <c r="B26" i="30"/>
  <c r="C42" i="16"/>
  <c r="E42" i="16"/>
  <c r="C12" i="16"/>
  <c r="C35" i="16"/>
  <c r="E35" i="16"/>
  <c r="E12" i="16"/>
  <c r="B41" i="17"/>
  <c r="B44" i="17"/>
  <c r="B47" i="17"/>
  <c r="B46" i="17" s="1"/>
  <c r="B50" i="17"/>
  <c r="D25" i="42"/>
  <c r="E36" i="41"/>
  <c r="D10" i="42"/>
  <c r="I10" i="49"/>
  <c r="C10" i="49"/>
  <c r="D12" i="16" l="1"/>
  <c r="B10" i="49"/>
  <c r="B38" i="17"/>
  <c r="B37" i="17" s="1"/>
  <c r="B51" i="51"/>
  <c r="B50" i="51"/>
  <c r="B49" i="51" s="1"/>
  <c r="B40" i="51"/>
  <c r="B37" i="51"/>
  <c r="B36" i="51"/>
  <c r="B34" i="51"/>
  <c r="B33" i="51"/>
  <c r="B32" i="51" s="1"/>
  <c r="B44" i="51"/>
  <c r="B42" i="51" s="1"/>
  <c r="B26" i="51"/>
  <c r="B24" i="51" s="1"/>
  <c r="B22" i="51"/>
  <c r="B18" i="51"/>
  <c r="B14" i="51"/>
  <c r="B96" i="51"/>
  <c r="B95" i="51"/>
  <c r="B89" i="51"/>
  <c r="B85" i="51"/>
  <c r="B81" i="51"/>
  <c r="B77" i="51"/>
  <c r="B73" i="51"/>
  <c r="B69" i="51"/>
  <c r="B65" i="51"/>
  <c r="B57" i="51"/>
  <c r="B55" i="51"/>
  <c r="B52" i="51"/>
  <c r="B46" i="51"/>
  <c r="B38" i="51"/>
  <c r="B35" i="51"/>
  <c r="B30" i="51"/>
  <c r="B28" i="51"/>
  <c r="B20" i="51"/>
  <c r="B16" i="51"/>
  <c r="B12" i="51"/>
  <c r="H80" i="39"/>
  <c r="F14" i="39"/>
  <c r="D14" i="39"/>
  <c r="K16" i="39"/>
  <c r="B16" i="39"/>
  <c r="D55" i="17"/>
  <c r="D54" i="17" s="1"/>
  <c r="B55" i="17"/>
  <c r="B54" i="17" s="1"/>
  <c r="F111" i="39"/>
  <c r="D111" i="39"/>
  <c r="K117" i="39"/>
  <c r="H117" i="39"/>
  <c r="B117" i="39"/>
  <c r="K116" i="39"/>
  <c r="H116" i="39"/>
  <c r="B116" i="39"/>
  <c r="K62" i="39"/>
  <c r="B62" i="39"/>
  <c r="F28" i="39"/>
  <c r="D28" i="39"/>
  <c r="H28" i="39" s="1"/>
  <c r="B29" i="39"/>
  <c r="K29" i="39"/>
  <c r="H29" i="39"/>
  <c r="K28" i="39"/>
  <c r="B28" i="39"/>
  <c r="D21" i="39"/>
  <c r="B25" i="39"/>
  <c r="K25" i="39"/>
  <c r="H25" i="39"/>
  <c r="F92" i="39"/>
  <c r="E19" i="41"/>
  <c r="B64" i="51" l="1"/>
  <c r="B63" i="51" s="1"/>
  <c r="B11" i="51"/>
  <c r="B10" i="51" s="1"/>
  <c r="B9" i="51" l="1"/>
  <c r="B10" i="39"/>
  <c r="B11" i="39"/>
  <c r="B12" i="39"/>
  <c r="B13" i="39"/>
  <c r="B14" i="39"/>
  <c r="B15" i="39"/>
  <c r="B17" i="39"/>
  <c r="B18" i="39"/>
  <c r="B19" i="39"/>
  <c r="B20" i="39"/>
  <c r="B21" i="39"/>
  <c r="B22" i="39"/>
  <c r="B23" i="39"/>
  <c r="B24" i="39"/>
  <c r="B26" i="39"/>
  <c r="B27" i="39"/>
  <c r="B30" i="39"/>
  <c r="B31" i="39"/>
  <c r="B32" i="39"/>
  <c r="B33" i="39"/>
  <c r="B34" i="39"/>
  <c r="B35" i="39"/>
  <c r="B36" i="39"/>
  <c r="B37" i="39"/>
  <c r="B38" i="39"/>
  <c r="B39" i="39"/>
  <c r="B40" i="39"/>
  <c r="B41" i="39"/>
  <c r="B42" i="39"/>
  <c r="B43" i="39"/>
  <c r="B44" i="39"/>
  <c r="B45" i="39"/>
  <c r="B46" i="39"/>
  <c r="B47" i="39"/>
  <c r="B48" i="39"/>
  <c r="B49" i="39"/>
  <c r="B50" i="39"/>
  <c r="B51" i="39"/>
  <c r="B52" i="39"/>
  <c r="B53" i="39"/>
  <c r="B54" i="39"/>
  <c r="B55" i="39"/>
  <c r="B56" i="39"/>
  <c r="B57" i="39"/>
  <c r="B58" i="39"/>
  <c r="B59" i="39"/>
  <c r="B60" i="39"/>
  <c r="B61" i="39"/>
  <c r="B63" i="39"/>
  <c r="B64" i="39"/>
  <c r="B65" i="39"/>
  <c r="B66" i="39"/>
  <c r="B67" i="39"/>
  <c r="B68" i="39"/>
  <c r="B69" i="39"/>
  <c r="B70" i="39"/>
  <c r="B71" i="39"/>
  <c r="B72" i="39"/>
  <c r="B73" i="39"/>
  <c r="B74" i="39"/>
  <c r="B75" i="39"/>
  <c r="B76" i="39"/>
  <c r="B77" i="39"/>
  <c r="B78" i="39"/>
  <c r="B79" i="39"/>
  <c r="B80" i="39"/>
  <c r="B81" i="39"/>
  <c r="B82" i="39"/>
  <c r="B83" i="39"/>
  <c r="B84" i="39"/>
  <c r="B85" i="39"/>
  <c r="B86" i="39"/>
  <c r="B87" i="39"/>
  <c r="B88" i="39"/>
  <c r="B89" i="39"/>
  <c r="B90" i="39"/>
  <c r="B91" i="39"/>
  <c r="B92" i="39"/>
  <c r="B93" i="39"/>
  <c r="B94" i="39"/>
  <c r="B95" i="39"/>
  <c r="B96" i="39"/>
  <c r="B97" i="39"/>
  <c r="B98" i="39"/>
  <c r="B99" i="39"/>
  <c r="B100" i="39"/>
  <c r="B101" i="39"/>
  <c r="B102" i="39"/>
  <c r="B103" i="39"/>
  <c r="B104" i="39"/>
  <c r="B105" i="39"/>
  <c r="B106" i="39"/>
  <c r="B107" i="39"/>
  <c r="B108" i="39"/>
  <c r="B109" i="39"/>
  <c r="B110" i="39"/>
  <c r="B111" i="39"/>
  <c r="B112" i="39"/>
  <c r="B113" i="39"/>
  <c r="B114" i="39"/>
  <c r="B115" i="39"/>
  <c r="B118" i="39"/>
  <c r="B119" i="39"/>
  <c r="B120" i="39"/>
  <c r="B121" i="39"/>
  <c r="B122" i="39"/>
  <c r="B123" i="39"/>
  <c r="B124" i="39"/>
  <c r="B9" i="39"/>
  <c r="D22" i="19"/>
  <c r="B22" i="19"/>
  <c r="B31" i="46"/>
  <c r="H45" i="39"/>
  <c r="I45" i="39" s="1"/>
  <c r="F40" i="39"/>
  <c r="D40" i="39"/>
  <c r="H105" i="39"/>
  <c r="H104" i="39" s="1"/>
  <c r="I19" i="49"/>
  <c r="C19" i="49"/>
  <c r="L18" i="49"/>
  <c r="K18" i="49"/>
  <c r="J18" i="49"/>
  <c r="H18" i="49"/>
  <c r="G18" i="49"/>
  <c r="F18" i="49"/>
  <c r="E18" i="49"/>
  <c r="D18" i="49"/>
  <c r="A44" i="29"/>
  <c r="A19" i="29"/>
  <c r="D19" i="29"/>
  <c r="C19" i="29"/>
  <c r="E18" i="42"/>
  <c r="D19" i="42"/>
  <c r="D18" i="42" s="1"/>
  <c r="G18" i="42"/>
  <c r="B18" i="42"/>
  <c r="E19" i="29" l="1"/>
  <c r="I18" i="49"/>
  <c r="C18" i="49"/>
  <c r="B19" i="49"/>
  <c r="H40" i="39"/>
  <c r="I40" i="39" s="1"/>
  <c r="E20" i="29"/>
  <c r="B60" i="17"/>
  <c r="D60" i="17"/>
  <c r="B22" i="30"/>
  <c r="B18" i="49" l="1"/>
  <c r="B11" i="30"/>
  <c r="K132" i="39" l="1"/>
  <c r="D120" i="39"/>
  <c r="E38" i="16"/>
  <c r="C38" i="16"/>
  <c r="C34" i="16" s="1"/>
  <c r="D31" i="16"/>
  <c r="E25" i="16"/>
  <c r="C25" i="16"/>
  <c r="E20" i="16"/>
  <c r="E19" i="16" s="1"/>
  <c r="C20" i="16"/>
  <c r="C19" i="16" s="1"/>
  <c r="E8" i="41"/>
  <c r="E7" i="41" s="1"/>
  <c r="B16" i="2"/>
  <c r="F136" i="39"/>
  <c r="K57" i="39"/>
  <c r="H57" i="39"/>
  <c r="I57" i="39" s="1"/>
  <c r="F56" i="39"/>
  <c r="D56" i="39"/>
  <c r="K56" i="39"/>
  <c r="C13" i="16"/>
  <c r="D19" i="17"/>
  <c r="D26" i="17"/>
  <c r="D30" i="17"/>
  <c r="D32" i="17"/>
  <c r="B19" i="17"/>
  <c r="B26" i="17"/>
  <c r="B30" i="17"/>
  <c r="B32" i="17"/>
  <c r="J24" i="49"/>
  <c r="J8" i="49"/>
  <c r="J16" i="49"/>
  <c r="J20" i="49"/>
  <c r="J28" i="49"/>
  <c r="H8" i="49"/>
  <c r="H16" i="49"/>
  <c r="H20" i="49"/>
  <c r="H24" i="49"/>
  <c r="H28" i="49"/>
  <c r="L8" i="49"/>
  <c r="L20" i="49"/>
  <c r="L24" i="49"/>
  <c r="L28" i="49"/>
  <c r="L16" i="49"/>
  <c r="K16" i="49"/>
  <c r="K24" i="49"/>
  <c r="K8" i="49"/>
  <c r="K20" i="49"/>
  <c r="K28" i="49"/>
  <c r="D8" i="49"/>
  <c r="D16" i="49"/>
  <c r="D20" i="49"/>
  <c r="D24" i="49"/>
  <c r="D28" i="49"/>
  <c r="E8" i="49"/>
  <c r="E16" i="49"/>
  <c r="E20" i="49"/>
  <c r="E24" i="49"/>
  <c r="E28" i="49"/>
  <c r="F8" i="49"/>
  <c r="F16" i="49"/>
  <c r="F20" i="49"/>
  <c r="F24" i="49"/>
  <c r="F28" i="49"/>
  <c r="G8" i="49"/>
  <c r="G16" i="49"/>
  <c r="G20" i="49"/>
  <c r="G24" i="49"/>
  <c r="G28" i="49"/>
  <c r="C29" i="49"/>
  <c r="I29" i="49"/>
  <c r="I27" i="49"/>
  <c r="C27" i="49"/>
  <c r="I26" i="49"/>
  <c r="C26" i="49"/>
  <c r="I25" i="49"/>
  <c r="C25" i="49"/>
  <c r="C23" i="49"/>
  <c r="I23" i="49"/>
  <c r="C22" i="49"/>
  <c r="I22" i="49"/>
  <c r="C21" i="49"/>
  <c r="I21" i="49"/>
  <c r="I17" i="49"/>
  <c r="C17" i="49"/>
  <c r="C15" i="49"/>
  <c r="I15" i="49"/>
  <c r="C14" i="49"/>
  <c r="I14" i="49"/>
  <c r="C13" i="49"/>
  <c r="I13" i="49"/>
  <c r="C12" i="49"/>
  <c r="I12" i="49"/>
  <c r="C11" i="49"/>
  <c r="I11" i="49"/>
  <c r="C9" i="49"/>
  <c r="I9" i="49"/>
  <c r="I8" i="49"/>
  <c r="B24" i="42"/>
  <c r="E24" i="42"/>
  <c r="F24" i="42"/>
  <c r="F30" i="42" s="1"/>
  <c r="G28" i="42"/>
  <c r="D29" i="42"/>
  <c r="D28" i="42" s="1"/>
  <c r="D27" i="42"/>
  <c r="D21" i="29"/>
  <c r="E29" i="41"/>
  <c r="E22" i="41"/>
  <c r="E21" i="41" s="1"/>
  <c r="E15" i="41"/>
  <c r="E14" i="41" s="1"/>
  <c r="G24" i="42"/>
  <c r="D26" i="42"/>
  <c r="D22" i="42"/>
  <c r="D23" i="42"/>
  <c r="D11" i="42"/>
  <c r="D12" i="42"/>
  <c r="D13" i="42"/>
  <c r="D14" i="42"/>
  <c r="D15" i="42"/>
  <c r="B8" i="42"/>
  <c r="B16" i="42"/>
  <c r="B20" i="42"/>
  <c r="B28" i="42"/>
  <c r="H28" i="42"/>
  <c r="H30" i="42" s="1"/>
  <c r="G16" i="42"/>
  <c r="E8" i="42"/>
  <c r="E20" i="42"/>
  <c r="E28" i="42"/>
  <c r="D9" i="42"/>
  <c r="D21" i="42"/>
  <c r="D17" i="42"/>
  <c r="D16" i="42" s="1"/>
  <c r="D11" i="43"/>
  <c r="D16" i="43"/>
  <c r="D19" i="39"/>
  <c r="H19" i="39" s="1"/>
  <c r="I19" i="39" s="1"/>
  <c r="D30" i="39"/>
  <c r="F147" i="39"/>
  <c r="D139" i="39"/>
  <c r="D137" i="39"/>
  <c r="D136" i="39"/>
  <c r="D46" i="28"/>
  <c r="D45" i="28" s="1"/>
  <c r="B46" i="28"/>
  <c r="B45" i="28" s="1"/>
  <c r="D72" i="39"/>
  <c r="F72" i="39"/>
  <c r="F10" i="39"/>
  <c r="F12" i="39"/>
  <c r="F17" i="39"/>
  <c r="F19" i="39"/>
  <c r="F21" i="39"/>
  <c r="F30" i="39"/>
  <c r="F35" i="39"/>
  <c r="F47" i="39"/>
  <c r="F50" i="39"/>
  <c r="D10" i="39"/>
  <c r="D12" i="39"/>
  <c r="D17" i="39"/>
  <c r="D35" i="39"/>
  <c r="D47" i="39"/>
  <c r="D50" i="39"/>
  <c r="H50" i="39" s="1"/>
  <c r="I50" i="39" s="1"/>
  <c r="B32" i="2"/>
  <c r="B34" i="2"/>
  <c r="D12" i="20"/>
  <c r="B12" i="20"/>
  <c r="A12" i="20"/>
  <c r="A19" i="20"/>
  <c r="A18" i="20" s="1"/>
  <c r="A17" i="20" s="1"/>
  <c r="A16" i="20" s="1"/>
  <c r="D11" i="28"/>
  <c r="D10" i="28" s="1"/>
  <c r="D9" i="28" s="1"/>
  <c r="D16" i="28"/>
  <c r="D15" i="28" s="1"/>
  <c r="D14" i="28" s="1"/>
  <c r="D21" i="28"/>
  <c r="D20" i="28" s="1"/>
  <c r="D19" i="28" s="1"/>
  <c r="D27" i="28"/>
  <c r="D26" i="28" s="1"/>
  <c r="D30" i="28"/>
  <c r="D29" i="28" s="1"/>
  <c r="D33" i="28"/>
  <c r="D32" i="28" s="1"/>
  <c r="D38" i="28"/>
  <c r="D37" i="28" s="1"/>
  <c r="D41" i="28"/>
  <c r="D40" i="28" s="1"/>
  <c r="D49" i="28"/>
  <c r="D48" i="28" s="1"/>
  <c r="D53" i="28"/>
  <c r="D52" i="28" s="1"/>
  <c r="D51" i="28" s="1"/>
  <c r="B11" i="28"/>
  <c r="B10" i="28" s="1"/>
  <c r="B9" i="28" s="1"/>
  <c r="B16" i="28"/>
  <c r="B15" i="28" s="1"/>
  <c r="B14" i="28" s="1"/>
  <c r="B21" i="28"/>
  <c r="B20" i="28" s="1"/>
  <c r="B19" i="28" s="1"/>
  <c r="B53" i="28"/>
  <c r="B52" i="28" s="1"/>
  <c r="B51" i="28" s="1"/>
  <c r="B12" i="2"/>
  <c r="B11" i="2" s="1"/>
  <c r="B18" i="2"/>
  <c r="B21" i="2"/>
  <c r="B12" i="46"/>
  <c r="B15" i="46"/>
  <c r="F67" i="39"/>
  <c r="F58" i="39"/>
  <c r="F60" i="39"/>
  <c r="F63" i="39"/>
  <c r="F65" i="39"/>
  <c r="F91" i="39"/>
  <c r="F78" i="39"/>
  <c r="F83" i="39"/>
  <c r="F98" i="39"/>
  <c r="F104" i="39"/>
  <c r="F106" i="39"/>
  <c r="F120" i="39"/>
  <c r="D67" i="39"/>
  <c r="H67" i="39" s="1"/>
  <c r="I67" i="39" s="1"/>
  <c r="D58" i="39"/>
  <c r="D60" i="39"/>
  <c r="D63" i="39"/>
  <c r="D65" i="39"/>
  <c r="D78" i="39"/>
  <c r="D83" i="39"/>
  <c r="D91" i="39"/>
  <c r="D98" i="39"/>
  <c r="D104" i="39"/>
  <c r="D106" i="39"/>
  <c r="H106" i="39" s="1"/>
  <c r="I106" i="39" s="1"/>
  <c r="D119" i="39"/>
  <c r="H65" i="39"/>
  <c r="H60" i="39"/>
  <c r="H14" i="39"/>
  <c r="C42" i="29"/>
  <c r="D40" i="29"/>
  <c r="H10" i="39"/>
  <c r="H51" i="39"/>
  <c r="H52" i="39"/>
  <c r="D150" i="39"/>
  <c r="B13" i="1"/>
  <c r="B10" i="1"/>
  <c r="D138" i="39"/>
  <c r="D140" i="39"/>
  <c r="D141" i="39"/>
  <c r="F137" i="39"/>
  <c r="F151" i="39"/>
  <c r="D151" i="39"/>
  <c r="D152" i="39"/>
  <c r="F152" i="39"/>
  <c r="F153" i="39"/>
  <c r="D153" i="39"/>
  <c r="D154" i="39"/>
  <c r="F154" i="39"/>
  <c r="D155" i="39"/>
  <c r="F155" i="39"/>
  <c r="F150" i="39"/>
  <c r="F144" i="39"/>
  <c r="D144" i="39"/>
  <c r="D145" i="39"/>
  <c r="F145" i="39"/>
  <c r="F146" i="39"/>
  <c r="D146" i="39"/>
  <c r="D147" i="39"/>
  <c r="D148" i="39"/>
  <c r="F148" i="39"/>
  <c r="D143" i="39"/>
  <c r="F143" i="39"/>
  <c r="F138" i="39"/>
  <c r="F139" i="39"/>
  <c r="F140" i="39"/>
  <c r="F141" i="39"/>
  <c r="H39" i="39"/>
  <c r="I39" i="39" s="1"/>
  <c r="H38" i="39"/>
  <c r="I38" i="39" s="1"/>
  <c r="H37" i="39"/>
  <c r="I37" i="39" s="1"/>
  <c r="H36" i="39"/>
  <c r="I36" i="39" s="1"/>
  <c r="H13" i="39"/>
  <c r="I13" i="39" s="1"/>
  <c r="H18" i="39"/>
  <c r="I18" i="39" s="1"/>
  <c r="H20" i="39"/>
  <c r="I20" i="39" s="1"/>
  <c r="H22" i="39"/>
  <c r="I22" i="39" s="1"/>
  <c r="H23" i="39"/>
  <c r="I23" i="39" s="1"/>
  <c r="H24" i="39"/>
  <c r="I24" i="39" s="1"/>
  <c r="H26" i="39"/>
  <c r="I26" i="39" s="1"/>
  <c r="H27" i="39"/>
  <c r="I27" i="39" s="1"/>
  <c r="H31" i="39"/>
  <c r="I31" i="39" s="1"/>
  <c r="H32" i="39"/>
  <c r="I32" i="39" s="1"/>
  <c r="H33" i="39"/>
  <c r="I33" i="39" s="1"/>
  <c r="H42" i="39"/>
  <c r="I42" i="39" s="1"/>
  <c r="H44" i="39"/>
  <c r="I44" i="39" s="1"/>
  <c r="H48" i="39"/>
  <c r="I48" i="39" s="1"/>
  <c r="H49" i="39"/>
  <c r="I49" i="39" s="1"/>
  <c r="H53" i="39"/>
  <c r="I53" i="39" s="1"/>
  <c r="H59" i="39"/>
  <c r="I59" i="39" s="1"/>
  <c r="H64" i="39"/>
  <c r="I64" i="39" s="1"/>
  <c r="H68" i="39"/>
  <c r="I68" i="39" s="1"/>
  <c r="H69" i="39"/>
  <c r="I69" i="39" s="1"/>
  <c r="H70" i="39"/>
  <c r="I70" i="39" s="1"/>
  <c r="H73" i="39"/>
  <c r="I73" i="39" s="1"/>
  <c r="H74" i="39"/>
  <c r="I74" i="39" s="1"/>
  <c r="H75" i="39"/>
  <c r="I75" i="39" s="1"/>
  <c r="H76" i="39"/>
  <c r="I76" i="39" s="1"/>
  <c r="H79" i="39"/>
  <c r="I79" i="39" s="1"/>
  <c r="H81" i="39"/>
  <c r="I81" i="39" s="1"/>
  <c r="H82" i="39"/>
  <c r="H84" i="39"/>
  <c r="I84" i="39" s="1"/>
  <c r="H85" i="39"/>
  <c r="I85" i="39" s="1"/>
  <c r="H86" i="39"/>
  <c r="I86" i="39" s="1"/>
  <c r="H87" i="39"/>
  <c r="I87" i="39" s="1"/>
  <c r="H89" i="39"/>
  <c r="I89" i="39" s="1"/>
  <c r="H92" i="39"/>
  <c r="I92" i="39" s="1"/>
  <c r="H93" i="39"/>
  <c r="I93" i="39" s="1"/>
  <c r="H77" i="39"/>
  <c r="I77" i="39" s="1"/>
  <c r="H94" i="39"/>
  <c r="I94" i="39" s="1"/>
  <c r="H98" i="39"/>
  <c r="I98" i="39" s="1"/>
  <c r="H99" i="39"/>
  <c r="I99" i="39" s="1"/>
  <c r="H100" i="39"/>
  <c r="I100" i="39" s="1"/>
  <c r="H101" i="39"/>
  <c r="I101" i="39" s="1"/>
  <c r="H102" i="39"/>
  <c r="I102" i="39" s="1"/>
  <c r="H107" i="39"/>
  <c r="I107" i="39" s="1"/>
  <c r="H108" i="39"/>
  <c r="I108" i="39" s="1"/>
  <c r="H109" i="39"/>
  <c r="I109" i="39" s="1"/>
  <c r="H110" i="39"/>
  <c r="I110" i="39" s="1"/>
  <c r="H111" i="39"/>
  <c r="I111" i="39" s="1"/>
  <c r="H112" i="39"/>
  <c r="I112" i="39" s="1"/>
  <c r="H113" i="39"/>
  <c r="I113" i="39" s="1"/>
  <c r="H114" i="39"/>
  <c r="I114" i="39" s="1"/>
  <c r="H115" i="39"/>
  <c r="I115" i="39" s="1"/>
  <c r="H120" i="39"/>
  <c r="I120" i="39" s="1"/>
  <c r="H121" i="39"/>
  <c r="I121" i="39" s="1"/>
  <c r="H122" i="39"/>
  <c r="I122" i="39" s="1"/>
  <c r="H123" i="39"/>
  <c r="I123" i="39" s="1"/>
  <c r="D41" i="17"/>
  <c r="D44" i="17"/>
  <c r="D49" i="17"/>
  <c r="D46" i="17"/>
  <c r="D46" i="16"/>
  <c r="E46" i="16"/>
  <c r="E45" i="16" s="1"/>
  <c r="C46" i="16"/>
  <c r="C45" i="16" s="1"/>
  <c r="E28" i="16"/>
  <c r="E31" i="16"/>
  <c r="C28" i="16"/>
  <c r="C31" i="16"/>
  <c r="D25" i="16"/>
  <c r="E13" i="16"/>
  <c r="E11" i="16"/>
  <c r="D11" i="16"/>
  <c r="C11" i="16"/>
  <c r="E8" i="10"/>
  <c r="B8" i="10"/>
  <c r="E28" i="41"/>
  <c r="E35" i="41"/>
  <c r="B19" i="20"/>
  <c r="B18" i="20" s="1"/>
  <c r="B17" i="20" s="1"/>
  <c r="B16" i="20" s="1"/>
  <c r="B11" i="20"/>
  <c r="B10" i="20" s="1"/>
  <c r="B9" i="20" s="1"/>
  <c r="B8" i="20" s="1"/>
  <c r="B20" i="19"/>
  <c r="B15" i="19"/>
  <c r="B14" i="19" s="1"/>
  <c r="B13" i="19" s="1"/>
  <c r="B10" i="19"/>
  <c r="B9" i="19" s="1"/>
  <c r="B8" i="19" s="1"/>
  <c r="B49" i="28"/>
  <c r="B48" i="28" s="1"/>
  <c r="B41" i="28"/>
  <c r="B40" i="28" s="1"/>
  <c r="B38" i="28"/>
  <c r="B37" i="28" s="1"/>
  <c r="B33" i="28"/>
  <c r="B32" i="28" s="1"/>
  <c r="B30" i="28"/>
  <c r="B29" i="28" s="1"/>
  <c r="B27" i="28"/>
  <c r="B26" i="28" s="1"/>
  <c r="E44" i="29"/>
  <c r="D44" i="29"/>
  <c r="C44" i="29"/>
  <c r="B26" i="46"/>
  <c r="B21" i="46"/>
  <c r="B20" i="46" s="1"/>
  <c r="E28" i="47"/>
  <c r="E27" i="47" s="1"/>
  <c r="E38" i="47"/>
  <c r="B28" i="47"/>
  <c r="E11" i="47"/>
  <c r="E10" i="47" s="1"/>
  <c r="B11" i="47"/>
  <c r="B30" i="46"/>
  <c r="B25" i="46"/>
  <c r="D9" i="10"/>
  <c r="D11" i="10"/>
  <c r="D12" i="10"/>
  <c r="D13" i="10"/>
  <c r="D14" i="10"/>
  <c r="D15" i="10"/>
  <c r="D16" i="10"/>
  <c r="D17" i="10"/>
  <c r="D18" i="10"/>
  <c r="D19" i="10"/>
  <c r="D20" i="10"/>
  <c r="D10" i="19"/>
  <c r="D9" i="19" s="1"/>
  <c r="D8" i="19" s="1"/>
  <c r="D15" i="19"/>
  <c r="D14" i="19" s="1"/>
  <c r="D13" i="19" s="1"/>
  <c r="D20" i="19"/>
  <c r="E34" i="16"/>
  <c r="D58" i="17"/>
  <c r="B58" i="17"/>
  <c r="B16" i="30"/>
  <c r="D35" i="17"/>
  <c r="D34" i="17" s="1"/>
  <c r="B35" i="17"/>
  <c r="B34" i="17" s="1"/>
  <c r="D16" i="17"/>
  <c r="D15" i="17" s="1"/>
  <c r="B16" i="17"/>
  <c r="B15" i="17" s="1"/>
  <c r="D10" i="17"/>
  <c r="D9" i="17" s="1"/>
  <c r="B10" i="17"/>
  <c r="B9" i="17" s="1"/>
  <c r="D19" i="20"/>
  <c r="D18" i="20" s="1"/>
  <c r="D17" i="20" s="1"/>
  <c r="D16" i="20" s="1"/>
  <c r="B18" i="31"/>
  <c r="D13" i="17"/>
  <c r="D12" i="17" s="1"/>
  <c r="B13" i="17"/>
  <c r="B12" i="17" s="1"/>
  <c r="D11" i="20"/>
  <c r="D10" i="20" s="1"/>
  <c r="D9" i="20" s="1"/>
  <c r="D8" i="20" s="1"/>
  <c r="A11" i="20"/>
  <c r="A10" i="20" s="1"/>
  <c r="A9" i="20" s="1"/>
  <c r="A8" i="20" s="1"/>
  <c r="B28" i="2"/>
  <c r="B26" i="2"/>
  <c r="F9" i="39" l="1"/>
  <c r="A7" i="20"/>
  <c r="D38" i="17"/>
  <c r="B29" i="49"/>
  <c r="C28" i="49"/>
  <c r="H30" i="39"/>
  <c r="I30" i="39" s="1"/>
  <c r="I16" i="49"/>
  <c r="C20" i="49"/>
  <c r="B9" i="49"/>
  <c r="B12" i="49"/>
  <c r="B22" i="49"/>
  <c r="I28" i="49"/>
  <c r="I20" i="49"/>
  <c r="B21" i="49"/>
  <c r="J30" i="49"/>
  <c r="B17" i="49"/>
  <c r="G30" i="49"/>
  <c r="B28" i="49"/>
  <c r="B27" i="30"/>
  <c r="B29" i="30" s="1"/>
  <c r="C8" i="49"/>
  <c r="B8" i="49" s="1"/>
  <c r="K30" i="49"/>
  <c r="D44" i="28"/>
  <c r="H136" i="39"/>
  <c r="E18" i="29"/>
  <c r="H140" i="39"/>
  <c r="D9" i="39"/>
  <c r="H58" i="39"/>
  <c r="I58" i="39" s="1"/>
  <c r="F142" i="39"/>
  <c r="B44" i="28"/>
  <c r="H91" i="39"/>
  <c r="I91" i="39" s="1"/>
  <c r="H154" i="39"/>
  <c r="D19" i="19"/>
  <c r="D18" i="19" s="1"/>
  <c r="D7" i="19" s="1"/>
  <c r="F71" i="39"/>
  <c r="B30" i="42"/>
  <c r="B19" i="19"/>
  <c r="B18" i="19" s="1"/>
  <c r="B7" i="19" s="1"/>
  <c r="H83" i="39"/>
  <c r="I83" i="39" s="1"/>
  <c r="H17" i="39"/>
  <c r="I17" i="39" s="1"/>
  <c r="B11" i="49"/>
  <c r="B13" i="49"/>
  <c r="B15" i="49"/>
  <c r="B23" i="49"/>
  <c r="B26" i="49"/>
  <c r="C16" i="49"/>
  <c r="H30" i="49"/>
  <c r="D57" i="17"/>
  <c r="D53" i="17" s="1"/>
  <c r="F119" i="39"/>
  <c r="H119" i="39" s="1"/>
  <c r="I119" i="39" s="1"/>
  <c r="F97" i="39"/>
  <c r="I24" i="49"/>
  <c r="B57" i="17"/>
  <c r="B53" i="17" s="1"/>
  <c r="D118" i="39"/>
  <c r="D97" i="39"/>
  <c r="F90" i="39"/>
  <c r="H47" i="39"/>
  <c r="I47" i="39" s="1"/>
  <c r="D20" i="42"/>
  <c r="B14" i="49"/>
  <c r="D30" i="49"/>
  <c r="L30" i="49"/>
  <c r="D90" i="39"/>
  <c r="H90" i="39" s="1"/>
  <c r="I90" i="39" s="1"/>
  <c r="H78" i="39"/>
  <c r="I78" i="39" s="1"/>
  <c r="H147" i="39"/>
  <c r="C24" i="49"/>
  <c r="G30" i="42"/>
  <c r="H139" i="39"/>
  <c r="H35" i="39"/>
  <c r="I35" i="39" s="1"/>
  <c r="H21" i="39"/>
  <c r="I21" i="39" s="1"/>
  <c r="H12" i="39"/>
  <c r="I12" i="39" s="1"/>
  <c r="B27" i="49"/>
  <c r="B25" i="49"/>
  <c r="C16" i="29"/>
  <c r="E23" i="29"/>
  <c r="E30" i="42"/>
  <c r="D24" i="42"/>
  <c r="D8" i="42"/>
  <c r="D156" i="39"/>
  <c r="H148" i="39"/>
  <c r="F46" i="39"/>
  <c r="D103" i="39"/>
  <c r="D71" i="39"/>
  <c r="H146" i="39"/>
  <c r="F149" i="39"/>
  <c r="H145" i="39"/>
  <c r="H144" i="39"/>
  <c r="H72" i="39"/>
  <c r="I72" i="39" s="1"/>
  <c r="D55" i="39"/>
  <c r="D46" i="39"/>
  <c r="D34" i="39"/>
  <c r="D149" i="39"/>
  <c r="H143" i="39"/>
  <c r="H56" i="39"/>
  <c r="I56" i="39" s="1"/>
  <c r="F55" i="39"/>
  <c r="E9" i="47"/>
  <c r="D8" i="10"/>
  <c r="D8" i="43"/>
  <c r="D7" i="43" s="1"/>
  <c r="D18" i="17"/>
  <c r="E24" i="16"/>
  <c r="E10" i="16" s="1"/>
  <c r="E9" i="16" s="1"/>
  <c r="C24" i="16"/>
  <c r="E12" i="29"/>
  <c r="E41" i="29"/>
  <c r="E40" i="29" s="1"/>
  <c r="C40" i="29"/>
  <c r="C39" i="29" s="1"/>
  <c r="E35" i="29"/>
  <c r="C36" i="29"/>
  <c r="E37" i="29"/>
  <c r="E43" i="29"/>
  <c r="E42" i="29" s="1"/>
  <c r="D39" i="29"/>
  <c r="D31" i="29"/>
  <c r="E11" i="29"/>
  <c r="D16" i="29"/>
  <c r="D7" i="20"/>
  <c r="B36" i="28"/>
  <c r="B25" i="28"/>
  <c r="B8" i="28"/>
  <c r="D37" i="17"/>
  <c r="B18" i="17"/>
  <c r="B31" i="2"/>
  <c r="B15" i="2"/>
  <c r="B10" i="2" s="1"/>
  <c r="B25" i="2"/>
  <c r="B9" i="1"/>
  <c r="B11" i="46"/>
  <c r="B10" i="46" s="1"/>
  <c r="B9" i="46" s="1"/>
  <c r="H141" i="39"/>
  <c r="F34" i="39"/>
  <c r="H137" i="39"/>
  <c r="D142" i="39"/>
  <c r="F103" i="39"/>
  <c r="H155" i="39"/>
  <c r="H153" i="39"/>
  <c r="H151" i="39"/>
  <c r="F156" i="39"/>
  <c r="H152" i="39"/>
  <c r="H63" i="39"/>
  <c r="I63" i="39" s="1"/>
  <c r="H150" i="39"/>
  <c r="C21" i="29"/>
  <c r="E22" i="29"/>
  <c r="B7" i="20"/>
  <c r="D36" i="28"/>
  <c r="D25" i="28"/>
  <c r="D8" i="28"/>
  <c r="E17" i="29"/>
  <c r="E16" i="29" s="1"/>
  <c r="E15" i="29"/>
  <c r="E14" i="29"/>
  <c r="C10" i="29"/>
  <c r="C31" i="29"/>
  <c r="H138" i="39"/>
  <c r="E34" i="29"/>
  <c r="E13" i="29"/>
  <c r="F30" i="49"/>
  <c r="E30" i="49"/>
  <c r="B20" i="49" l="1"/>
  <c r="B16" i="49"/>
  <c r="I30" i="49"/>
  <c r="D8" i="17"/>
  <c r="D7" i="17" s="1"/>
  <c r="B24" i="49"/>
  <c r="C29" i="29"/>
  <c r="D30" i="42"/>
  <c r="F118" i="39"/>
  <c r="M118" i="39" s="1"/>
  <c r="H142" i="39"/>
  <c r="B8" i="17"/>
  <c r="B7" i="17" s="1"/>
  <c r="F96" i="39"/>
  <c r="H97" i="39"/>
  <c r="I97" i="39" s="1"/>
  <c r="D96" i="39"/>
  <c r="B7" i="28"/>
  <c r="F8" i="39"/>
  <c r="M56" i="39" s="1"/>
  <c r="H103" i="39"/>
  <c r="I103" i="39" s="1"/>
  <c r="H71" i="39"/>
  <c r="I71" i="39" s="1"/>
  <c r="H156" i="39"/>
  <c r="D54" i="39"/>
  <c r="H46" i="39"/>
  <c r="I46" i="39" s="1"/>
  <c r="H34" i="39"/>
  <c r="I34" i="39" s="1"/>
  <c r="C30" i="49"/>
  <c r="B30" i="49" s="1"/>
  <c r="D10" i="29"/>
  <c r="E21" i="29"/>
  <c r="H9" i="39"/>
  <c r="I9" i="39" s="1"/>
  <c r="H149" i="39"/>
  <c r="H55" i="39"/>
  <c r="I55" i="39" s="1"/>
  <c r="D8" i="39"/>
  <c r="L86" i="39" s="1"/>
  <c r="C10" i="16"/>
  <c r="C9" i="16" s="1"/>
  <c r="E39" i="29"/>
  <c r="E33" i="29"/>
  <c r="C30" i="29"/>
  <c r="C49" i="29" s="1"/>
  <c r="D7" i="28"/>
  <c r="B9" i="2"/>
  <c r="E10" i="29"/>
  <c r="E32" i="29"/>
  <c r="K69" i="39"/>
  <c r="K73" i="39"/>
  <c r="K49" i="39"/>
  <c r="K55" i="39"/>
  <c r="K99" i="39"/>
  <c r="K90" i="39"/>
  <c r="K32" i="39"/>
  <c r="K8" i="39"/>
  <c r="K61" i="39"/>
  <c r="K115" i="39"/>
  <c r="K123" i="39"/>
  <c r="K67" i="39"/>
  <c r="K12" i="39"/>
  <c r="K46" i="39"/>
  <c r="K30" i="39"/>
  <c r="K64" i="39"/>
  <c r="K43" i="39"/>
  <c r="K88" i="39"/>
  <c r="K39" i="39"/>
  <c r="K26" i="39"/>
  <c r="K110" i="39"/>
  <c r="K84" i="39"/>
  <c r="K68" i="39"/>
  <c r="K72" i="39"/>
  <c r="K91" i="39"/>
  <c r="K44" i="39"/>
  <c r="K45" i="39"/>
  <c r="K14" i="39"/>
  <c r="K24" i="39"/>
  <c r="K100" i="39"/>
  <c r="K41" i="39"/>
  <c r="K119" i="39"/>
  <c r="K38" i="39"/>
  <c r="K96" i="39"/>
  <c r="K36" i="39"/>
  <c r="K93" i="39"/>
  <c r="K78" i="39"/>
  <c r="K53" i="39"/>
  <c r="K86" i="39"/>
  <c r="K74" i="39"/>
  <c r="K80" i="39"/>
  <c r="K81" i="39"/>
  <c r="K13" i="39"/>
  <c r="K105" i="39"/>
  <c r="K94" i="39"/>
  <c r="K103" i="39"/>
  <c r="K10" i="39"/>
  <c r="K33" i="39"/>
  <c r="K118" i="39"/>
  <c r="K104" i="39"/>
  <c r="K47" i="39"/>
  <c r="K89" i="39"/>
  <c r="K76" i="39"/>
  <c r="K70" i="39"/>
  <c r="K17" i="39"/>
  <c r="K114" i="39"/>
  <c r="K108" i="39"/>
  <c r="K40" i="39"/>
  <c r="K101" i="39"/>
  <c r="K106" i="39"/>
  <c r="K20" i="39"/>
  <c r="K63" i="39"/>
  <c r="K112" i="39"/>
  <c r="K27" i="39"/>
  <c r="K50" i="39"/>
  <c r="K79" i="39"/>
  <c r="K121" i="39"/>
  <c r="K48" i="39"/>
  <c r="K85" i="39"/>
  <c r="K11" i="39"/>
  <c r="K34" i="39"/>
  <c r="K37" i="39"/>
  <c r="K52" i="39"/>
  <c r="K83" i="39"/>
  <c r="K109" i="39"/>
  <c r="K75" i="39"/>
  <c r="K22" i="39"/>
  <c r="K9" i="39"/>
  <c r="K18" i="39"/>
  <c r="K120" i="39"/>
  <c r="K58" i="39"/>
  <c r="K31" i="39"/>
  <c r="K97" i="39"/>
  <c r="K59" i="39"/>
  <c r="K71" i="39"/>
  <c r="K122" i="39"/>
  <c r="K92" i="39"/>
  <c r="K87" i="39"/>
  <c r="K102" i="39"/>
  <c r="K111" i="39"/>
  <c r="K66" i="39"/>
  <c r="K82" i="39"/>
  <c r="K107" i="39"/>
  <c r="K65" i="39"/>
  <c r="K21" i="39"/>
  <c r="K35" i="39"/>
  <c r="K98" i="39"/>
  <c r="K42" i="39"/>
  <c r="K113" i="39"/>
  <c r="K15" i="39"/>
  <c r="K23" i="39"/>
  <c r="K77" i="39"/>
  <c r="K19" i="39"/>
  <c r="K51" i="39"/>
  <c r="F54" i="39"/>
  <c r="M54" i="39" s="1"/>
  <c r="M39" i="39"/>
  <c r="M50" i="39"/>
  <c r="M64" i="39"/>
  <c r="M86" i="39"/>
  <c r="M101" i="39"/>
  <c r="M19" i="39"/>
  <c r="M43" i="39"/>
  <c r="M68" i="39"/>
  <c r="M85" i="39"/>
  <c r="M90" i="39"/>
  <c r="M123" i="39"/>
  <c r="M18" i="39"/>
  <c r="M47" i="39"/>
  <c r="M66" i="39"/>
  <c r="M78" i="39"/>
  <c r="M77" i="39"/>
  <c r="M122" i="39"/>
  <c r="M36" i="39"/>
  <c r="M15" i="39"/>
  <c r="M22" i="39"/>
  <c r="M41" i="39"/>
  <c r="M59" i="39"/>
  <c r="M82" i="39"/>
  <c r="M108" i="39"/>
  <c r="M120" i="39"/>
  <c r="M32" i="39"/>
  <c r="M67" i="39"/>
  <c r="M111" i="39"/>
  <c r="M107" i="39"/>
  <c r="M13" i="39"/>
  <c r="M84" i="39"/>
  <c r="E141" i="39"/>
  <c r="M34" i="39"/>
  <c r="M103" i="39"/>
  <c r="K124" i="39"/>
  <c r="E38" i="29"/>
  <c r="E36" i="29" s="1"/>
  <c r="D36" i="29"/>
  <c r="D30" i="29" s="1"/>
  <c r="D49" i="29" s="1"/>
  <c r="M96" i="39"/>
  <c r="F124" i="39"/>
  <c r="K54" i="39"/>
  <c r="M119" i="39"/>
  <c r="G139" i="39"/>
  <c r="M97" i="39"/>
  <c r="H118" i="39" l="1"/>
  <c r="I118" i="39" s="1"/>
  <c r="M44" i="39"/>
  <c r="M113" i="39"/>
  <c r="M52" i="39"/>
  <c r="M42" i="39"/>
  <c r="M33" i="39"/>
  <c r="M14" i="39"/>
  <c r="M9" i="39"/>
  <c r="M71" i="39"/>
  <c r="M121" i="39"/>
  <c r="M70" i="39"/>
  <c r="M98" i="39"/>
  <c r="M110" i="39"/>
  <c r="M91" i="39"/>
  <c r="E9" i="29"/>
  <c r="E29" i="29" s="1"/>
  <c r="L97" i="39"/>
  <c r="L89" i="39"/>
  <c r="L103" i="39"/>
  <c r="L23" i="39"/>
  <c r="L79" i="39"/>
  <c r="M20" i="39"/>
  <c r="G16" i="39"/>
  <c r="M16" i="39"/>
  <c r="L46" i="39"/>
  <c r="L16" i="39"/>
  <c r="E16" i="39"/>
  <c r="L50" i="39"/>
  <c r="L48" i="39"/>
  <c r="L58" i="39"/>
  <c r="L99" i="39"/>
  <c r="L44" i="39"/>
  <c r="L72" i="39"/>
  <c r="L101" i="39"/>
  <c r="L70" i="39"/>
  <c r="L9" i="39"/>
  <c r="L42" i="39"/>
  <c r="L91" i="39"/>
  <c r="L49" i="39"/>
  <c r="L102" i="39"/>
  <c r="L65" i="39"/>
  <c r="L90" i="39"/>
  <c r="L119" i="39"/>
  <c r="L51" i="39"/>
  <c r="L80" i="39"/>
  <c r="L10" i="39"/>
  <c r="L60" i="39"/>
  <c r="L41" i="39"/>
  <c r="M21" i="39"/>
  <c r="M80" i="39"/>
  <c r="M11" i="39"/>
  <c r="M87" i="39"/>
  <c r="M46" i="39"/>
  <c r="M115" i="39"/>
  <c r="M109" i="39"/>
  <c r="M72" i="39"/>
  <c r="M31" i="39"/>
  <c r="M94" i="39"/>
  <c r="M61" i="39"/>
  <c r="M12" i="39"/>
  <c r="M69" i="39"/>
  <c r="M132" i="39"/>
  <c r="M116" i="39"/>
  <c r="M117" i="39"/>
  <c r="G116" i="39"/>
  <c r="G62" i="39"/>
  <c r="G117" i="39"/>
  <c r="M62" i="39"/>
  <c r="L11" i="39"/>
  <c r="L111" i="39"/>
  <c r="L37" i="39"/>
  <c r="L43" i="39"/>
  <c r="L112" i="39"/>
  <c r="L96" i="39"/>
  <c r="L114" i="39"/>
  <c r="L117" i="39"/>
  <c r="E117" i="39"/>
  <c r="L116" i="39"/>
  <c r="E116" i="39"/>
  <c r="L62" i="39"/>
  <c r="E62" i="39"/>
  <c r="H96" i="39"/>
  <c r="I96" i="39" s="1"/>
  <c r="M99" i="39"/>
  <c r="M26" i="39"/>
  <c r="M88" i="39"/>
  <c r="F95" i="39"/>
  <c r="G95" i="39" s="1"/>
  <c r="M93" i="39"/>
  <c r="M65" i="39"/>
  <c r="M35" i="39"/>
  <c r="M75" i="39"/>
  <c r="M114" i="39"/>
  <c r="M89" i="39"/>
  <c r="M53" i="39"/>
  <c r="M23" i="39"/>
  <c r="M105" i="39"/>
  <c r="M73" i="39"/>
  <c r="M38" i="39"/>
  <c r="M112" i="39"/>
  <c r="M74" i="39"/>
  <c r="M45" i="39"/>
  <c r="G103" i="39"/>
  <c r="G71" i="39"/>
  <c r="G29" i="39"/>
  <c r="M28" i="39"/>
  <c r="G25" i="39"/>
  <c r="G28" i="39"/>
  <c r="M29" i="39"/>
  <c r="L84" i="39"/>
  <c r="L123" i="39"/>
  <c r="L121" i="39"/>
  <c r="L115" i="39"/>
  <c r="L105" i="39"/>
  <c r="L81" i="39"/>
  <c r="L82" i="39"/>
  <c r="L19" i="39"/>
  <c r="L33" i="39"/>
  <c r="L106" i="39"/>
  <c r="L21" i="39"/>
  <c r="E11" i="39"/>
  <c r="E25" i="39"/>
  <c r="L28" i="39"/>
  <c r="E28" i="39"/>
  <c r="L29" i="39"/>
  <c r="E29" i="39"/>
  <c r="L17" i="39"/>
  <c r="L77" i="39"/>
  <c r="H8" i="39"/>
  <c r="I8" i="39" s="1"/>
  <c r="L26" i="39"/>
  <c r="L34" i="39"/>
  <c r="L36" i="39"/>
  <c r="L18" i="39"/>
  <c r="L78" i="39"/>
  <c r="L40" i="39"/>
  <c r="L104" i="39"/>
  <c r="L69" i="39"/>
  <c r="L110" i="39"/>
  <c r="M58" i="39"/>
  <c r="M63" i="39"/>
  <c r="M40" i="39"/>
  <c r="M48" i="39"/>
  <c r="M10" i="39"/>
  <c r="M102" i="39"/>
  <c r="M76" i="39"/>
  <c r="M51" i="39"/>
  <c r="M30" i="39"/>
  <c r="M92" i="39"/>
  <c r="M17" i="39"/>
  <c r="M104" i="39"/>
  <c r="M83" i="39"/>
  <c r="M60" i="39"/>
  <c r="M37" i="39"/>
  <c r="M8" i="39"/>
  <c r="M100" i="39"/>
  <c r="M79" i="39"/>
  <c r="M49" i="39"/>
  <c r="M24" i="39"/>
  <c r="M106" i="39"/>
  <c r="M81" i="39"/>
  <c r="M55" i="39"/>
  <c r="M27" i="39"/>
  <c r="L25" i="39"/>
  <c r="G46" i="39"/>
  <c r="M25" i="39"/>
  <c r="H54" i="39"/>
  <c r="I54" i="39" s="1"/>
  <c r="G54" i="39"/>
  <c r="E13" i="39"/>
  <c r="E18" i="39"/>
  <c r="E22" i="39"/>
  <c r="E27" i="39"/>
  <c r="E33" i="39"/>
  <c r="E37" i="39"/>
  <c r="E41" i="39"/>
  <c r="E45" i="39"/>
  <c r="E49" i="39"/>
  <c r="E53" i="39"/>
  <c r="E76" i="39"/>
  <c r="E81" i="39"/>
  <c r="E85" i="39"/>
  <c r="E89" i="39"/>
  <c r="E100" i="39"/>
  <c r="E108" i="39"/>
  <c r="E112" i="39"/>
  <c r="E122" i="39"/>
  <c r="E26" i="39"/>
  <c r="E32" i="39"/>
  <c r="E36" i="39"/>
  <c r="E44" i="39"/>
  <c r="E48" i="39"/>
  <c r="E52" i="39"/>
  <c r="E57" i="39"/>
  <c r="E61" i="39"/>
  <c r="E66" i="39"/>
  <c r="E70" i="39"/>
  <c r="E75" i="39"/>
  <c r="E80" i="39"/>
  <c r="E84" i="39"/>
  <c r="E88" i="39"/>
  <c r="E94" i="39"/>
  <c r="E99" i="39"/>
  <c r="E107" i="39"/>
  <c r="E115" i="39"/>
  <c r="E121" i="39"/>
  <c r="E15" i="39"/>
  <c r="E20" i="39"/>
  <c r="E24" i="39"/>
  <c r="E31" i="39"/>
  <c r="E39" i="39"/>
  <c r="E43" i="39"/>
  <c r="E51" i="39"/>
  <c r="E69" i="39"/>
  <c r="E74" i="39"/>
  <c r="E79" i="39"/>
  <c r="E87" i="39"/>
  <c r="E93" i="39"/>
  <c r="E102" i="39"/>
  <c r="E110" i="39"/>
  <c r="E114" i="39"/>
  <c r="E23" i="39"/>
  <c r="E38" i="39"/>
  <c r="E42" i="39"/>
  <c r="E59" i="39"/>
  <c r="E64" i="39"/>
  <c r="E68" i="39"/>
  <c r="E73" i="39"/>
  <c r="E77" i="39"/>
  <c r="G147" i="39" s="1"/>
  <c r="E82" i="39"/>
  <c r="E86" i="39"/>
  <c r="E92" i="39"/>
  <c r="E101" i="39"/>
  <c r="E105" i="39"/>
  <c r="E109" i="39"/>
  <c r="E113" i="39"/>
  <c r="E123" i="39"/>
  <c r="E40" i="39"/>
  <c r="E56" i="39"/>
  <c r="E119" i="39"/>
  <c r="E67" i="39"/>
  <c r="E120" i="39"/>
  <c r="E58" i="39"/>
  <c r="E14" i="39"/>
  <c r="E83" i="39"/>
  <c r="E60" i="39"/>
  <c r="E65" i="39"/>
  <c r="E12" i="39"/>
  <c r="E30" i="39"/>
  <c r="E91" i="39"/>
  <c r="E104" i="39"/>
  <c r="E50" i="39"/>
  <c r="E106" i="39"/>
  <c r="E19" i="39"/>
  <c r="E63" i="39"/>
  <c r="E10" i="39"/>
  <c r="E21" i="39"/>
  <c r="E98" i="39"/>
  <c r="E47" i="39"/>
  <c r="E17" i="39"/>
  <c r="E111" i="39"/>
  <c r="E35" i="39"/>
  <c r="E72" i="39"/>
  <c r="E78" i="39"/>
  <c r="D124" i="39"/>
  <c r="E96" i="39"/>
  <c r="E46" i="39"/>
  <c r="E97" i="39"/>
  <c r="M124" i="39"/>
  <c r="G124" i="39"/>
  <c r="D9" i="29"/>
  <c r="D29" i="29" s="1"/>
  <c r="G13" i="39"/>
  <c r="G18" i="39"/>
  <c r="G22" i="39"/>
  <c r="G27" i="39"/>
  <c r="G33" i="39"/>
  <c r="G37" i="39"/>
  <c r="G41" i="39"/>
  <c r="G45" i="39"/>
  <c r="G49" i="39"/>
  <c r="G53" i="39"/>
  <c r="G57" i="39"/>
  <c r="G61" i="39"/>
  <c r="G66" i="39"/>
  <c r="G70" i="39"/>
  <c r="G74" i="39"/>
  <c r="G82" i="39"/>
  <c r="G86" i="39"/>
  <c r="G94" i="39"/>
  <c r="G102" i="39"/>
  <c r="G110" i="39"/>
  <c r="G114" i="39"/>
  <c r="G26" i="39"/>
  <c r="G32" i="39"/>
  <c r="G36" i="39"/>
  <c r="G44" i="39"/>
  <c r="G48" i="39"/>
  <c r="G52" i="39"/>
  <c r="G69" i="39"/>
  <c r="G73" i="39"/>
  <c r="G77" i="39"/>
  <c r="G81" i="39"/>
  <c r="G85" i="39"/>
  <c r="G89" i="39"/>
  <c r="G93" i="39"/>
  <c r="G101" i="39"/>
  <c r="G105" i="39"/>
  <c r="G109" i="39"/>
  <c r="G113" i="39"/>
  <c r="G123" i="39"/>
  <c r="G11" i="39"/>
  <c r="G15" i="39"/>
  <c r="G20" i="39"/>
  <c r="G24" i="39"/>
  <c r="G31" i="39"/>
  <c r="G39" i="39"/>
  <c r="G43" i="39"/>
  <c r="G51" i="39"/>
  <c r="G59" i="39"/>
  <c r="G64" i="39"/>
  <c r="G68" i="39"/>
  <c r="G76" i="39"/>
  <c r="G80" i="39"/>
  <c r="G84" i="39"/>
  <c r="G88" i="39"/>
  <c r="G92" i="39"/>
  <c r="G100" i="39"/>
  <c r="G108" i="39"/>
  <c r="G112" i="39"/>
  <c r="G122" i="39"/>
  <c r="G23" i="39"/>
  <c r="G38" i="39"/>
  <c r="G42" i="39"/>
  <c r="G75" i="39"/>
  <c r="G79" i="39"/>
  <c r="G87" i="39"/>
  <c r="G99" i="39"/>
  <c r="G107" i="39"/>
  <c r="G115" i="39"/>
  <c r="G121" i="39"/>
  <c r="G40" i="39"/>
  <c r="G78" i="39"/>
  <c r="G106" i="39"/>
  <c r="G47" i="39"/>
  <c r="G111" i="39"/>
  <c r="G21" i="39"/>
  <c r="G98" i="39"/>
  <c r="G67" i="39"/>
  <c r="G14" i="39"/>
  <c r="G91" i="39"/>
  <c r="G35" i="39"/>
  <c r="G50" i="39"/>
  <c r="G65" i="39"/>
  <c r="G30" i="39"/>
  <c r="G10" i="39"/>
  <c r="G63" i="39"/>
  <c r="G56" i="39"/>
  <c r="G120" i="39"/>
  <c r="G58" i="39"/>
  <c r="G60" i="39"/>
  <c r="G19" i="39"/>
  <c r="G83" i="39"/>
  <c r="G12" i="39"/>
  <c r="G104" i="39"/>
  <c r="G17" i="39"/>
  <c r="G72" i="39"/>
  <c r="E71" i="39"/>
  <c r="E55" i="39"/>
  <c r="G90" i="39"/>
  <c r="E103" i="39"/>
  <c r="G119" i="39"/>
  <c r="G96" i="39"/>
  <c r="E90" i="39"/>
  <c r="G9" i="39"/>
  <c r="E118" i="39"/>
  <c r="G34" i="39"/>
  <c r="M57" i="39"/>
  <c r="E34" i="39"/>
  <c r="G97" i="39"/>
  <c r="E9" i="39"/>
  <c r="G118" i="39"/>
  <c r="G55" i="39"/>
  <c r="L54" i="39"/>
  <c r="E54" i="39"/>
  <c r="L8" i="39"/>
  <c r="L122" i="39"/>
  <c r="L85" i="39"/>
  <c r="L14" i="39"/>
  <c r="L12" i="39"/>
  <c r="L93" i="39"/>
  <c r="L75" i="39"/>
  <c r="L59" i="39"/>
  <c r="L31" i="39"/>
  <c r="L67" i="39"/>
  <c r="L27" i="39"/>
  <c r="L32" i="39"/>
  <c r="L107" i="39"/>
  <c r="L108" i="39"/>
  <c r="L35" i="39"/>
  <c r="L38" i="39"/>
  <c r="L45" i="39"/>
  <c r="L76" i="39"/>
  <c r="L83" i="39"/>
  <c r="L71" i="39"/>
  <c r="L22" i="39"/>
  <c r="L13" i="39"/>
  <c r="D95" i="39"/>
  <c r="L47" i="39"/>
  <c r="L15" i="39"/>
  <c r="L39" i="39"/>
  <c r="L118" i="39"/>
  <c r="L73" i="39"/>
  <c r="L52" i="39"/>
  <c r="L53" i="39"/>
  <c r="L63" i="39"/>
  <c r="L64" i="39"/>
  <c r="L88" i="39"/>
  <c r="L74" i="39"/>
  <c r="L68" i="39"/>
  <c r="L92" i="39"/>
  <c r="L113" i="39"/>
  <c r="L87" i="39"/>
  <c r="L109" i="39"/>
  <c r="L61" i="39"/>
  <c r="L24" i="39"/>
  <c r="L120" i="39"/>
  <c r="L100" i="39"/>
  <c r="L94" i="39"/>
  <c r="L20" i="39"/>
  <c r="L98" i="39"/>
  <c r="L132" i="39"/>
  <c r="L30" i="39"/>
  <c r="L66" i="39"/>
  <c r="L55" i="39"/>
  <c r="L56" i="39"/>
  <c r="L57" i="39"/>
  <c r="G141" i="39"/>
  <c r="I141" i="39" s="1"/>
  <c r="E31" i="29"/>
  <c r="E30" i="29" s="1"/>
  <c r="E49" i="29" s="1"/>
  <c r="E139" i="39"/>
  <c r="I139" i="39" s="1"/>
  <c r="E138" i="39"/>
  <c r="G138" i="39"/>
  <c r="G137" i="39"/>
  <c r="K60" i="39"/>
  <c r="E136" i="39"/>
  <c r="G136" i="39"/>
  <c r="E140" i="39"/>
  <c r="E137" i="39"/>
  <c r="H124" i="39"/>
  <c r="I124" i="39" s="1"/>
  <c r="A125" i="39"/>
  <c r="B125" i="39" s="1"/>
  <c r="K95" i="39"/>
  <c r="F125" i="39" l="1"/>
  <c r="G125" i="39" s="1"/>
  <c r="M95" i="39"/>
  <c r="D125" i="39"/>
  <c r="E125" i="39" s="1"/>
  <c r="E145" i="39"/>
  <c r="G146" i="39"/>
  <c r="E155" i="39"/>
  <c r="G154" i="39"/>
  <c r="G152" i="39"/>
  <c r="G153" i="39"/>
  <c r="E151" i="39"/>
  <c r="G155" i="39"/>
  <c r="E153" i="39"/>
  <c r="E154" i="39"/>
  <c r="E152" i="39"/>
  <c r="G151" i="39"/>
  <c r="G150" i="39"/>
  <c r="E150" i="39"/>
  <c r="E124" i="39"/>
  <c r="L124" i="39"/>
  <c r="L95" i="39"/>
  <c r="H95" i="39"/>
  <c r="I95" i="39" s="1"/>
  <c r="E95" i="39"/>
  <c r="I137" i="39"/>
  <c r="G145" i="39"/>
  <c r="E146" i="39"/>
  <c r="E144" i="39"/>
  <c r="G143" i="39"/>
  <c r="G144" i="39"/>
  <c r="E148" i="39"/>
  <c r="E143" i="39"/>
  <c r="G148" i="39"/>
  <c r="E147" i="39"/>
  <c r="E142" i="39"/>
  <c r="I138" i="39"/>
  <c r="I136" i="39"/>
  <c r="G140" i="39"/>
  <c r="I140" i="39" s="1"/>
  <c r="K125" i="39"/>
  <c r="I146" i="39" l="1"/>
  <c r="M125" i="39"/>
  <c r="I153" i="39"/>
  <c r="H125" i="39"/>
  <c r="I125" i="39" s="1"/>
  <c r="L125" i="39"/>
  <c r="I155" i="39"/>
  <c r="I145" i="39"/>
  <c r="I154" i="39"/>
  <c r="I143" i="39"/>
  <c r="I152" i="39"/>
  <c r="I151" i="39"/>
  <c r="G156" i="39"/>
  <c r="I150" i="39"/>
  <c r="E156" i="39"/>
  <c r="I148" i="39"/>
  <c r="I144" i="39"/>
  <c r="G149" i="39"/>
  <c r="E149" i="39"/>
  <c r="I147" i="39"/>
  <c r="G142" i="39"/>
  <c r="I142" i="39" s="1"/>
  <c r="I156" i="39" l="1"/>
  <c r="I149" i="39"/>
</calcChain>
</file>

<file path=xl/comments1.xml><?xml version="1.0" encoding="utf-8"?>
<comments xmlns="http://schemas.openxmlformats.org/spreadsheetml/2006/main">
  <authors>
    <author>王瓊瑤</author>
  </authors>
  <commentList>
    <comment ref="F59" authorId="0">
      <text>
        <r>
          <rPr>
            <b/>
            <sz val="9"/>
            <color indexed="81"/>
            <rFont val="細明體"/>
            <family val="3"/>
            <charset val="136"/>
          </rPr>
          <t>王瓊瑤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法定預算減</t>
        </r>
        <r>
          <rPr>
            <sz val="9"/>
            <color indexed="81"/>
            <rFont val="Tahoma"/>
            <family val="2"/>
          </rPr>
          <t>8000</t>
        </r>
        <r>
          <rPr>
            <sz val="9"/>
            <color indexed="81"/>
            <rFont val="細明體"/>
            <family val="3"/>
            <charset val="136"/>
          </rPr>
          <t>千元</t>
        </r>
      </text>
    </comment>
    <comment ref="F79" authorId="0">
      <text>
        <r>
          <rPr>
            <b/>
            <sz val="9"/>
            <color indexed="81"/>
            <rFont val="細明體"/>
            <family val="3"/>
            <charset val="136"/>
          </rPr>
          <t>王瓊瑤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加</t>
        </r>
        <r>
          <rPr>
            <sz val="9"/>
            <color indexed="81"/>
            <rFont val="Tahoma"/>
            <family val="2"/>
          </rPr>
          <t>8000</t>
        </r>
        <r>
          <rPr>
            <sz val="9"/>
            <color indexed="81"/>
            <rFont val="細明體"/>
            <family val="3"/>
            <charset val="136"/>
          </rPr>
          <t>千元</t>
        </r>
      </text>
    </comment>
    <comment ref="F81" authorId="0">
      <text>
        <r>
          <rPr>
            <b/>
            <sz val="9"/>
            <color indexed="81"/>
            <rFont val="細明體"/>
            <family val="3"/>
            <charset val="136"/>
          </rPr>
          <t>王瓊瑤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加</t>
        </r>
        <r>
          <rPr>
            <sz val="9"/>
            <color indexed="81"/>
            <rFont val="Tahoma"/>
            <family val="2"/>
          </rPr>
          <t>8830</t>
        </r>
        <r>
          <rPr>
            <sz val="9"/>
            <color indexed="81"/>
            <rFont val="細明體"/>
            <family val="3"/>
            <charset val="136"/>
          </rPr>
          <t>千元</t>
        </r>
      </text>
    </comment>
  </commentList>
</comments>
</file>

<file path=xl/comments2.xml><?xml version="1.0" encoding="utf-8"?>
<comments xmlns="http://schemas.openxmlformats.org/spreadsheetml/2006/main">
  <authors>
    <author>王瓊瑤</author>
  </authors>
  <commentList>
    <comment ref="B14" authorId="0">
      <text>
        <r>
          <rPr>
            <b/>
            <sz val="9"/>
            <color indexed="81"/>
            <rFont val="細明體"/>
            <family val="3"/>
            <charset val="136"/>
          </rPr>
          <t>王瓊瑤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-8000
</t>
        </r>
      </text>
    </comment>
  </commentList>
</comments>
</file>

<file path=xl/comments3.xml><?xml version="1.0" encoding="utf-8"?>
<comments xmlns="http://schemas.openxmlformats.org/spreadsheetml/2006/main">
  <authors>
    <author>王瓊瑤</author>
  </authors>
  <commentList>
    <comment ref="B28" authorId="0">
      <text>
        <r>
          <rPr>
            <b/>
            <sz val="9"/>
            <color indexed="81"/>
            <rFont val="細明體"/>
            <family val="3"/>
            <charset val="136"/>
          </rPr>
          <t>王瓊瑤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-8830
</t>
        </r>
      </text>
    </comment>
    <comment ref="B31" authorId="0">
      <text>
        <r>
          <rPr>
            <b/>
            <sz val="9"/>
            <color indexed="81"/>
            <rFont val="細明體"/>
            <family val="3"/>
            <charset val="136"/>
          </rPr>
          <t>王瓊瑤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+8830
</t>
        </r>
      </text>
    </comment>
  </commentList>
</comments>
</file>

<file path=xl/comments4.xml><?xml version="1.0" encoding="utf-8"?>
<comments xmlns="http://schemas.openxmlformats.org/spreadsheetml/2006/main">
  <authors>
    <author>1059</author>
  </authors>
  <commentList>
    <comment ref="C16" authorId="0">
      <text>
        <r>
          <rPr>
            <b/>
            <sz val="9"/>
            <color indexed="81"/>
            <rFont val="新細明體"/>
            <family val="1"/>
            <charset val="136"/>
          </rPr>
          <t>1059:</t>
        </r>
        <r>
          <rPr>
            <sz val="9"/>
            <color indexed="81"/>
            <rFont val="新細明體"/>
            <family val="1"/>
            <charset val="136"/>
          </rPr>
          <t xml:space="preserve">
利息費用應於說明中詳列貸款機關.借款種類及用途.額度.計息本金.利率及計息期間</t>
        </r>
      </text>
    </comment>
  </commentList>
</comments>
</file>

<file path=xl/comments5.xml><?xml version="1.0" encoding="utf-8"?>
<comments xmlns="http://schemas.openxmlformats.org/spreadsheetml/2006/main">
  <authors>
    <author>王瓊瑤</author>
  </authors>
  <commentList>
    <comment ref="E17" authorId="0">
      <text>
        <r>
          <rPr>
            <b/>
            <sz val="9"/>
            <color indexed="81"/>
            <rFont val="細明體"/>
            <family val="3"/>
            <charset val="136"/>
          </rPr>
          <t>王瓊瑤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-8830
</t>
        </r>
      </text>
    </comment>
  </commentList>
</comments>
</file>

<file path=xl/comments6.xml><?xml version="1.0" encoding="utf-8"?>
<comments xmlns="http://schemas.openxmlformats.org/spreadsheetml/2006/main">
  <authors>
    <author>王瓊瑤</author>
  </authors>
  <commentList>
    <comment ref="B27" authorId="0">
      <text>
        <r>
          <rPr>
            <b/>
            <sz val="9"/>
            <color indexed="81"/>
            <rFont val="細明體"/>
            <family val="3"/>
            <charset val="136"/>
          </rPr>
          <t>王瓊瑤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+8830+8000</t>
        </r>
      </text>
    </comment>
  </commentList>
</comments>
</file>

<file path=xl/comments7.xml><?xml version="1.0" encoding="utf-8"?>
<comments xmlns="http://schemas.openxmlformats.org/spreadsheetml/2006/main">
  <authors>
    <author>a18014</author>
  </authors>
  <commentList>
    <comment ref="B17" authorId="0">
      <text>
        <r>
          <rPr>
            <b/>
            <sz val="9"/>
            <color indexed="81"/>
            <rFont val="Tahoma"/>
            <family val="2"/>
          </rPr>
          <t>a18014:</t>
        </r>
        <r>
          <rPr>
            <sz val="9"/>
            <color indexed="81"/>
            <rFont val="Tahoma"/>
            <family val="2"/>
          </rPr>
          <t xml:space="preserve">
NBA</t>
        </r>
        <r>
          <rPr>
            <sz val="9"/>
            <color indexed="81"/>
            <rFont val="細明體"/>
            <family val="3"/>
            <charset val="136"/>
          </rPr>
          <t xml:space="preserve">數值
</t>
        </r>
      </text>
    </comment>
  </commentList>
</comments>
</file>

<file path=xl/sharedStrings.xml><?xml version="1.0" encoding="utf-8"?>
<sst xmlns="http://schemas.openxmlformats.org/spreadsheetml/2006/main" count="1973" uniqueCount="1142">
  <si>
    <t>　  呆帳</t>
    <phoneticPr fontId="2" type="noConversion"/>
  </si>
  <si>
    <r>
      <t>5</t>
    </r>
    <r>
      <rPr>
        <sz val="18"/>
        <rFont val="標楷體"/>
        <family val="4"/>
        <charset val="136"/>
      </rPr>
      <t>年來主要營運項目分析表</t>
    </r>
    <phoneticPr fontId="2" type="noConversion"/>
  </si>
  <si>
    <t>前年度決算數</t>
    <phoneticPr fontId="2" type="noConversion"/>
  </si>
  <si>
    <t>本年度預算數</t>
  </si>
  <si>
    <t>1.</t>
    <phoneticPr fontId="2" type="noConversion"/>
  </si>
  <si>
    <t>2.</t>
    <phoneticPr fontId="2" type="noConversion"/>
  </si>
  <si>
    <t>前年度決算數</t>
  </si>
  <si>
    <t>上年度預算數</t>
  </si>
  <si>
    <t>科目及業務計畫項目</t>
  </si>
  <si>
    <t>　  保險給付</t>
    <phoneticPr fontId="2" type="noConversion"/>
  </si>
  <si>
    <t>％</t>
  </si>
  <si>
    <t>-</t>
  </si>
  <si>
    <t xml:space="preserve"> </t>
  </si>
  <si>
    <t>　  提存責任準備</t>
    <phoneticPr fontId="2" type="noConversion"/>
  </si>
  <si>
    <t>　  呆帳</t>
    <phoneticPr fontId="2" type="noConversion"/>
  </si>
  <si>
    <t>保險成本明細表</t>
    <phoneticPr fontId="2" type="noConversion"/>
  </si>
  <si>
    <t>保險成本</t>
    <phoneticPr fontId="2" type="noConversion"/>
  </si>
  <si>
    <t>-</t>
    <phoneticPr fontId="2" type="noConversion"/>
  </si>
  <si>
    <t>科　　　目</t>
  </si>
  <si>
    <t>業務收入</t>
  </si>
  <si>
    <t>本期賸餘(短絀－)</t>
  </si>
  <si>
    <r>
      <t>比較增減</t>
    </r>
    <r>
      <rPr>
        <sz val="11"/>
        <rFont val="Times New Roman"/>
        <family val="1"/>
      </rPr>
      <t>(-)</t>
    </r>
  </si>
  <si>
    <t>　  提存責任準備(未加保勞工)</t>
    <phoneticPr fontId="2" type="noConversion"/>
  </si>
  <si>
    <r>
      <t>勞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工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保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險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局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作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業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基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金</t>
    </r>
    <phoneticPr fontId="2" type="noConversion"/>
  </si>
  <si>
    <t>負債</t>
    <phoneticPr fontId="2" type="noConversion"/>
  </si>
  <si>
    <t>　職業災害勞工保護</t>
    <phoneticPr fontId="2" type="noConversion"/>
  </si>
  <si>
    <t>(1)</t>
    <phoneticPr fontId="2" type="noConversion"/>
  </si>
  <si>
    <t>(2)</t>
    <phoneticPr fontId="2" type="noConversion"/>
  </si>
  <si>
    <t>　什項資產</t>
    <phoneticPr fontId="2" type="noConversion"/>
  </si>
  <si>
    <t>　應付款項</t>
    <phoneticPr fontId="2" type="noConversion"/>
  </si>
  <si>
    <t>　預收款項</t>
    <phoneticPr fontId="2" type="noConversion"/>
  </si>
  <si>
    <t>　負債準備</t>
    <phoneticPr fontId="2" type="noConversion"/>
  </si>
  <si>
    <t>　什項負債</t>
    <phoneticPr fontId="2" type="noConversion"/>
  </si>
  <si>
    <t>　累積賸餘</t>
    <phoneticPr fontId="2" type="noConversion"/>
  </si>
  <si>
    <r>
      <t>勞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工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保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險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局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作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業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基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金</t>
    </r>
    <phoneticPr fontId="2" type="noConversion"/>
  </si>
  <si>
    <t>業務外費用</t>
    <phoneticPr fontId="2" type="noConversion"/>
  </si>
  <si>
    <t>　　　    普通事故</t>
    <phoneticPr fontId="2" type="noConversion"/>
  </si>
  <si>
    <t>　　　    職業災害</t>
    <phoneticPr fontId="2" type="noConversion"/>
  </si>
  <si>
    <t>　　　    已加保勞工</t>
    <phoneticPr fontId="2" type="noConversion"/>
  </si>
  <si>
    <t>　　　    未加保勞工</t>
    <phoneticPr fontId="2" type="noConversion"/>
  </si>
  <si>
    <t>3.</t>
    <phoneticPr fontId="2" type="noConversion"/>
  </si>
  <si>
    <t>　勞工保險</t>
    <phoneticPr fontId="2" type="noConversion"/>
  </si>
  <si>
    <t>　就業保險</t>
    <phoneticPr fontId="2" type="noConversion"/>
  </si>
  <si>
    <t>　農民健康保險</t>
    <phoneticPr fontId="2" type="noConversion"/>
  </si>
  <si>
    <r>
      <t>勞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動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部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勞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工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保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險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局</t>
    </r>
    <phoneticPr fontId="2" type="noConversion"/>
  </si>
  <si>
    <t>本年度預算數</t>
    <phoneticPr fontId="2" type="noConversion"/>
  </si>
  <si>
    <t>上年度預算數</t>
    <phoneticPr fontId="2" type="noConversion"/>
  </si>
  <si>
    <t>金 額</t>
    <phoneticPr fontId="2" type="noConversion"/>
  </si>
  <si>
    <t>項    目</t>
    <phoneticPr fontId="2" type="noConversion"/>
  </si>
  <si>
    <t>收入合計</t>
    <phoneticPr fontId="2" type="noConversion"/>
  </si>
  <si>
    <t>成本合計</t>
    <phoneticPr fontId="2" type="noConversion"/>
  </si>
  <si>
    <t>差異數</t>
    <phoneticPr fontId="2" type="noConversion"/>
  </si>
  <si>
    <t>前年度決算數</t>
    <phoneticPr fontId="2" type="noConversion"/>
  </si>
  <si>
    <t>勞工保險－普通</t>
    <phoneticPr fontId="2" type="noConversion"/>
  </si>
  <si>
    <t>勞工保險－職災</t>
    <phoneticPr fontId="2" type="noConversion"/>
  </si>
  <si>
    <t>就業保險</t>
    <phoneticPr fontId="2" type="noConversion"/>
  </si>
  <si>
    <t>農民保險</t>
    <phoneticPr fontId="2" type="noConversion"/>
  </si>
  <si>
    <t>職災保護－已加保勞工</t>
    <phoneticPr fontId="2" type="noConversion"/>
  </si>
  <si>
    <t>職災保護－未加保勞工</t>
    <phoneticPr fontId="2" type="noConversion"/>
  </si>
  <si>
    <t>合計</t>
    <phoneticPr fontId="2" type="noConversion"/>
  </si>
  <si>
    <t>本年度預算數</t>
    <phoneticPr fontId="2" type="noConversion"/>
  </si>
  <si>
    <t>上年度預算數</t>
    <phoneticPr fontId="2" type="noConversion"/>
  </si>
  <si>
    <t>金 額</t>
    <phoneticPr fontId="2" type="noConversion"/>
  </si>
  <si>
    <t>　　  短絀、賠償與保險給付</t>
    <phoneticPr fontId="2" type="noConversion"/>
  </si>
  <si>
    <t>　　　  保險給付</t>
    <phoneticPr fontId="2" type="noConversion"/>
  </si>
  <si>
    <t>　　　  提存</t>
    <phoneticPr fontId="2" type="noConversion"/>
  </si>
  <si>
    <t>　　　  各項短絀</t>
    <phoneticPr fontId="2" type="noConversion"/>
  </si>
  <si>
    <r>
      <t xml:space="preserve">    </t>
    </r>
    <r>
      <rPr>
        <b/>
        <sz val="12"/>
        <rFont val="標楷體"/>
        <family val="4"/>
        <charset val="136"/>
      </rPr>
      <t>未加保勞工</t>
    </r>
    <phoneticPr fontId="19" type="noConversion"/>
  </si>
  <si>
    <r>
      <t xml:space="preserve">        </t>
    </r>
    <r>
      <rPr>
        <sz val="12"/>
        <rFont val="標楷體"/>
        <family val="4"/>
        <charset val="136"/>
      </rPr>
      <t>殘廢補助</t>
    </r>
    <phoneticPr fontId="19" type="noConversion"/>
  </si>
  <si>
    <r>
      <t xml:space="preserve">        </t>
    </r>
    <r>
      <rPr>
        <sz val="12"/>
        <rFont val="標楷體"/>
        <family val="4"/>
        <charset val="136"/>
      </rPr>
      <t>死亡補助</t>
    </r>
    <phoneticPr fontId="19" type="noConversion"/>
  </si>
  <si>
    <r>
      <t xml:space="preserve">        </t>
    </r>
    <r>
      <rPr>
        <sz val="12"/>
        <rFont val="標楷體"/>
        <family val="4"/>
        <charset val="136"/>
      </rPr>
      <t>職業疾病生活津貼</t>
    </r>
    <phoneticPr fontId="19" type="noConversion"/>
  </si>
  <si>
    <r>
      <t xml:space="preserve">        </t>
    </r>
    <r>
      <rPr>
        <sz val="12"/>
        <rFont val="標楷體"/>
        <family val="4"/>
        <charset val="136"/>
      </rPr>
      <t>身體障害生活津貼</t>
    </r>
    <phoneticPr fontId="19" type="noConversion"/>
  </si>
  <si>
    <r>
      <t xml:space="preserve">        </t>
    </r>
    <r>
      <rPr>
        <sz val="12"/>
        <rFont val="標楷體"/>
        <family val="4"/>
        <charset val="136"/>
      </rPr>
      <t>職業訓練生活津貼</t>
    </r>
    <phoneticPr fontId="19" type="noConversion"/>
  </si>
  <si>
    <r>
      <t xml:space="preserve">        </t>
    </r>
    <r>
      <rPr>
        <sz val="12"/>
        <rFont val="標楷體"/>
        <family val="4"/>
        <charset val="136"/>
      </rPr>
      <t>器具補助</t>
    </r>
    <phoneticPr fontId="19" type="noConversion"/>
  </si>
  <si>
    <r>
      <t xml:space="preserve">        </t>
    </r>
    <r>
      <rPr>
        <sz val="12"/>
        <rFont val="標楷體"/>
        <family val="4"/>
        <charset val="136"/>
      </rPr>
      <t>看護補助</t>
    </r>
    <phoneticPr fontId="19" type="noConversion"/>
  </si>
  <si>
    <r>
      <t xml:space="preserve">        </t>
    </r>
    <r>
      <rPr>
        <sz val="12"/>
        <rFont val="標楷體"/>
        <family val="4"/>
        <charset val="136"/>
      </rPr>
      <t>家屬補助</t>
    </r>
    <phoneticPr fontId="19" type="noConversion"/>
  </si>
  <si>
    <r>
      <t xml:space="preserve">        </t>
    </r>
    <r>
      <rPr>
        <sz val="12"/>
        <rFont val="標楷體"/>
        <family val="4"/>
        <charset val="136"/>
      </rPr>
      <t>複檢費用</t>
    </r>
    <phoneticPr fontId="19" type="noConversion"/>
  </si>
  <si>
    <r>
      <t xml:space="preserve">        </t>
    </r>
    <r>
      <rPr>
        <sz val="12"/>
        <rFont val="標楷體"/>
        <family val="4"/>
        <charset val="136"/>
      </rPr>
      <t>委託鑑定費用</t>
    </r>
    <phoneticPr fontId="19" type="noConversion"/>
  </si>
  <si>
    <r>
      <t xml:space="preserve">            </t>
    </r>
    <r>
      <rPr>
        <sz val="12"/>
        <rFont val="標楷體"/>
        <family val="4"/>
        <charset val="136"/>
      </rPr>
      <t xml:space="preserve">職業疾病相當勞保失能給付
</t>
    </r>
    <r>
      <rPr>
        <sz val="12"/>
        <rFont val="Times New Roman"/>
        <family val="1"/>
      </rPr>
      <t xml:space="preserve">            1-3</t>
    </r>
    <r>
      <rPr>
        <sz val="12"/>
        <rFont val="標楷體"/>
        <family val="4"/>
        <charset val="136"/>
      </rPr>
      <t>等級且喪失全部工作能力</t>
    </r>
    <phoneticPr fontId="19" type="noConversion"/>
  </si>
  <si>
    <r>
      <t xml:space="preserve">            </t>
    </r>
    <r>
      <rPr>
        <sz val="12"/>
        <rFont val="標楷體"/>
        <family val="4"/>
        <charset val="136"/>
      </rPr>
      <t xml:space="preserve">職業疾病相當勞保失能給付
</t>
    </r>
    <r>
      <rPr>
        <sz val="12"/>
        <rFont val="Times New Roman"/>
        <family val="1"/>
      </rPr>
      <t xml:space="preserve">            1-7</t>
    </r>
    <r>
      <rPr>
        <sz val="12"/>
        <rFont val="標楷體"/>
        <family val="4"/>
        <charset val="136"/>
      </rPr>
      <t>等級且喪失部分工作能力</t>
    </r>
    <phoneticPr fontId="19" type="noConversion"/>
  </si>
  <si>
    <r>
      <t xml:space="preserve">            </t>
    </r>
    <r>
      <rPr>
        <sz val="12"/>
        <rFont val="標楷體"/>
        <family val="4"/>
        <charset val="136"/>
      </rPr>
      <t xml:space="preserve">職業疾病相當勞保失能給付
</t>
    </r>
    <r>
      <rPr>
        <sz val="12"/>
        <rFont val="Times New Roman"/>
        <family val="1"/>
      </rPr>
      <t xml:space="preserve">            8-10</t>
    </r>
    <r>
      <rPr>
        <sz val="12"/>
        <rFont val="標楷體"/>
        <family val="4"/>
        <charset val="136"/>
      </rPr>
      <t>等級且喪失部分工作能力</t>
    </r>
    <phoneticPr fontId="19" type="noConversion"/>
  </si>
  <si>
    <r>
      <t xml:space="preserve">            </t>
    </r>
    <r>
      <rPr>
        <sz val="12"/>
        <rFont val="標楷體"/>
        <family val="4"/>
        <charset val="136"/>
      </rPr>
      <t xml:space="preserve">職業疾病相當勞保失能給付
</t>
    </r>
    <r>
      <rPr>
        <sz val="12"/>
        <rFont val="Times New Roman"/>
        <family val="1"/>
      </rPr>
      <t xml:space="preserve">            11-15</t>
    </r>
    <r>
      <rPr>
        <sz val="12"/>
        <rFont val="標楷體"/>
        <family val="4"/>
        <charset val="136"/>
      </rPr>
      <t>等級且喪失部分工作能力</t>
    </r>
    <phoneticPr fontId="19" type="noConversion"/>
  </si>
  <si>
    <r>
      <t xml:space="preserve">            </t>
    </r>
    <r>
      <rPr>
        <sz val="12"/>
        <rFont val="標楷體"/>
        <family val="4"/>
        <charset val="136"/>
      </rPr>
      <t xml:space="preserve">符合勞保失能給付
</t>
    </r>
    <r>
      <rPr>
        <sz val="12"/>
        <rFont val="Times New Roman"/>
        <family val="1"/>
      </rPr>
      <t xml:space="preserve">            1-3</t>
    </r>
    <r>
      <rPr>
        <sz val="12"/>
        <rFont val="標楷體"/>
        <family val="4"/>
        <charset val="136"/>
      </rPr>
      <t>等級且喪失全部工作能力</t>
    </r>
    <phoneticPr fontId="19" type="noConversion"/>
  </si>
  <si>
    <r>
      <t xml:space="preserve">            </t>
    </r>
    <r>
      <rPr>
        <sz val="12"/>
        <rFont val="標楷體"/>
        <family val="4"/>
        <charset val="136"/>
      </rPr>
      <t xml:space="preserve">符合勞保失能給付
</t>
    </r>
    <r>
      <rPr>
        <sz val="12"/>
        <rFont val="Times New Roman"/>
        <family val="1"/>
      </rPr>
      <t xml:space="preserve">            1-7</t>
    </r>
    <r>
      <rPr>
        <sz val="12"/>
        <rFont val="標楷體"/>
        <family val="4"/>
        <charset val="136"/>
      </rPr>
      <t>等級且喪失部分工作能力</t>
    </r>
    <phoneticPr fontId="19" type="noConversion"/>
  </si>
  <si>
    <t>　  保險給付(已加保勞工)</t>
    <phoneticPr fontId="2" type="noConversion"/>
  </si>
  <si>
    <t>-</t>
    <phoneticPr fontId="2" type="noConversion"/>
  </si>
  <si>
    <r>
      <t>102</t>
    </r>
    <r>
      <rPr>
        <b/>
        <sz val="12"/>
        <rFont val="標楷體"/>
        <family val="4"/>
        <charset val="136"/>
      </rPr>
      <t>年度決算數</t>
    </r>
    <phoneticPr fontId="2" type="noConversion"/>
  </si>
  <si>
    <r>
      <t>105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31</t>
    </r>
    <r>
      <rPr>
        <sz val="12"/>
        <rFont val="標楷體"/>
        <family val="4"/>
        <charset val="136"/>
      </rPr>
      <t>日
預計數</t>
    </r>
    <phoneticPr fontId="2" type="noConversion"/>
  </si>
  <si>
    <r>
      <rPr>
        <sz val="11"/>
        <rFont val="標楷體"/>
        <family val="4"/>
        <charset val="136"/>
      </rPr>
      <t>全年預估</t>
    </r>
    <r>
      <rPr>
        <sz val="11"/>
        <rFont val="Times New Roman"/>
        <family val="1"/>
      </rPr>
      <t>60</t>
    </r>
    <r>
      <rPr>
        <sz val="11"/>
        <rFont val="標楷體"/>
        <family val="4"/>
        <charset val="136"/>
      </rPr>
      <t>件。</t>
    </r>
    <phoneticPr fontId="19" type="noConversion"/>
  </si>
  <si>
    <t>無形資產</t>
    <phoneticPr fontId="2" type="noConversion"/>
  </si>
  <si>
    <t>　無形資產</t>
    <phoneticPr fontId="2" type="noConversion"/>
  </si>
  <si>
    <r>
      <rPr>
        <sz val="12"/>
        <rFont val="標楷體"/>
        <family val="4"/>
        <charset val="136"/>
      </rPr>
      <t>係申請人溢領保險給付，經函請退還溢領款項，逾期未繳還經移送行政執行署依法執行後，依當年度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日郵政儲金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年期定期存款固定利率加計利息所產生之遲延利息。</t>
    </r>
    <phoneticPr fontId="2" type="noConversion"/>
  </si>
  <si>
    <r>
      <t>　　　　　　　　　　　　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年度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    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　單位：新臺幣千元</t>
    </r>
    <phoneticPr fontId="2" type="noConversion"/>
  </si>
  <si>
    <r>
      <t>　　　　　　　　　　　　　　</t>
    </r>
    <r>
      <rPr>
        <sz val="12"/>
        <rFont val="Times New Roman"/>
        <family val="1"/>
      </rPr>
      <t xml:space="preserve"> 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年度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　　　單位：新臺幣千元</t>
    </r>
    <phoneticPr fontId="2" type="noConversion"/>
  </si>
  <si>
    <r>
      <t xml:space="preserve">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年度</t>
    </r>
    <phoneticPr fontId="2" type="noConversion"/>
  </si>
  <si>
    <r>
      <t>104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31</t>
    </r>
    <r>
      <rPr>
        <sz val="12"/>
        <rFont val="標楷體"/>
        <family val="4"/>
        <charset val="136"/>
      </rPr>
      <t>日
實際數</t>
    </r>
    <phoneticPr fontId="2" type="noConversion"/>
  </si>
  <si>
    <r>
      <t>106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31</t>
    </r>
    <r>
      <rPr>
        <sz val="12"/>
        <rFont val="標楷體"/>
        <family val="4"/>
        <charset val="136"/>
      </rPr>
      <t>日
預計數</t>
    </r>
    <phoneticPr fontId="2" type="noConversion"/>
  </si>
  <si>
    <r>
      <t>103</t>
    </r>
    <r>
      <rPr>
        <b/>
        <sz val="12"/>
        <rFont val="標楷體"/>
        <family val="4"/>
        <charset val="136"/>
      </rPr>
      <t>年度決算數</t>
    </r>
    <phoneticPr fontId="2" type="noConversion"/>
  </si>
  <si>
    <r>
      <rPr>
        <sz val="11"/>
        <rFont val="標楷體"/>
        <family val="4"/>
        <charset val="136"/>
      </rPr>
      <t>全年預估</t>
    </r>
    <r>
      <rPr>
        <sz val="11"/>
        <rFont val="Times New Roman"/>
        <family val="1"/>
      </rPr>
      <t>216</t>
    </r>
    <r>
      <rPr>
        <sz val="11"/>
        <rFont val="標楷體"/>
        <family val="4"/>
        <charset val="136"/>
      </rPr>
      <t>件。</t>
    </r>
    <phoneticPr fontId="19" type="noConversion"/>
  </si>
  <si>
    <r>
      <rPr>
        <sz val="11"/>
        <rFont val="標楷體"/>
        <family val="4"/>
        <charset val="136"/>
      </rPr>
      <t>全年預估</t>
    </r>
    <r>
      <rPr>
        <sz val="11"/>
        <rFont val="Times New Roman"/>
        <family val="1"/>
      </rPr>
      <t>10</t>
    </r>
    <r>
      <rPr>
        <sz val="11"/>
        <rFont val="標楷體"/>
        <family val="4"/>
        <charset val="136"/>
      </rPr>
      <t>件。</t>
    </r>
    <phoneticPr fontId="19" type="noConversion"/>
  </si>
  <si>
    <r>
      <rPr>
        <sz val="11"/>
        <rFont val="標楷體"/>
        <family val="4"/>
        <charset val="136"/>
      </rPr>
      <t>全年預估</t>
    </r>
    <r>
      <rPr>
        <sz val="11"/>
        <rFont val="Times New Roman"/>
        <family val="1"/>
      </rPr>
      <t>2,600</t>
    </r>
    <r>
      <rPr>
        <sz val="11"/>
        <rFont val="標楷體"/>
        <family val="4"/>
        <charset val="136"/>
      </rPr>
      <t>件。</t>
    </r>
    <phoneticPr fontId="19" type="noConversion"/>
  </si>
  <si>
    <r>
      <rPr>
        <sz val="11"/>
        <rFont val="標楷體"/>
        <family val="4"/>
        <charset val="136"/>
      </rPr>
      <t>投保人數</t>
    </r>
    <r>
      <rPr>
        <sz val="11"/>
        <rFont val="Times New Roman"/>
        <family val="1"/>
      </rPr>
      <t>10,030,000</t>
    </r>
    <r>
      <rPr>
        <sz val="11"/>
        <rFont val="標楷體"/>
        <family val="4"/>
        <charset val="136"/>
      </rPr>
      <t>人（含一般勞工</t>
    </r>
    <r>
      <rPr>
        <sz val="11"/>
        <rFont val="Times New Roman"/>
        <family val="1"/>
      </rPr>
      <t>9,790,300</t>
    </r>
    <r>
      <rPr>
        <sz val="11"/>
        <rFont val="標楷體"/>
        <family val="4"/>
        <charset val="136"/>
      </rPr>
      <t>人及已領老年給付勞工</t>
    </r>
    <r>
      <rPr>
        <sz val="11"/>
        <rFont val="Times New Roman"/>
        <family val="1"/>
      </rPr>
      <t>239,700</t>
    </r>
    <r>
      <rPr>
        <sz val="11"/>
        <rFont val="標楷體"/>
        <family val="4"/>
        <charset val="136"/>
      </rPr>
      <t>人）。</t>
    </r>
    <phoneticPr fontId="19" type="noConversion"/>
  </si>
  <si>
    <r>
      <rPr>
        <sz val="11"/>
        <rFont val="標楷體"/>
        <family val="4"/>
        <charset val="136"/>
      </rPr>
      <t>投保人數</t>
    </r>
    <r>
      <rPr>
        <sz val="11"/>
        <rFont val="Times New Roman"/>
        <family val="1"/>
      </rPr>
      <t>1,218,000</t>
    </r>
    <r>
      <rPr>
        <sz val="11"/>
        <rFont val="標楷體"/>
        <family val="4"/>
        <charset val="136"/>
      </rPr>
      <t>人。</t>
    </r>
    <phoneticPr fontId="19" type="noConversion"/>
  </si>
  <si>
    <r>
      <rPr>
        <sz val="11"/>
        <rFont val="標楷體"/>
        <family val="4"/>
        <charset val="136"/>
      </rPr>
      <t>全年預估</t>
    </r>
    <r>
      <rPr>
        <sz val="11"/>
        <rFont val="Times New Roman"/>
        <family val="1"/>
      </rPr>
      <t>540</t>
    </r>
    <r>
      <rPr>
        <sz val="11"/>
        <rFont val="標楷體"/>
        <family val="4"/>
        <charset val="136"/>
      </rPr>
      <t>人次。</t>
    </r>
    <phoneticPr fontId="19" type="noConversion"/>
  </si>
  <si>
    <r>
      <rPr>
        <sz val="11"/>
        <rFont val="標楷體"/>
        <family val="4"/>
        <charset val="136"/>
      </rPr>
      <t>全年預估</t>
    </r>
    <r>
      <rPr>
        <sz val="11"/>
        <rFont val="Times New Roman"/>
        <family val="1"/>
      </rPr>
      <t>750</t>
    </r>
    <r>
      <rPr>
        <sz val="11"/>
        <rFont val="標楷體"/>
        <family val="4"/>
        <charset val="136"/>
      </rPr>
      <t>人次。</t>
    </r>
    <phoneticPr fontId="19" type="noConversion"/>
  </si>
  <si>
    <r>
      <rPr>
        <sz val="11"/>
        <rFont val="標楷體"/>
        <family val="4"/>
        <charset val="136"/>
      </rPr>
      <t>全年預估</t>
    </r>
    <r>
      <rPr>
        <sz val="11"/>
        <rFont val="Times New Roman"/>
        <family val="1"/>
      </rPr>
      <t>17,000</t>
    </r>
    <r>
      <rPr>
        <sz val="11"/>
        <rFont val="標楷體"/>
        <family val="4"/>
        <charset val="136"/>
      </rPr>
      <t>人次。</t>
    </r>
    <phoneticPr fontId="19" type="noConversion"/>
  </si>
  <si>
    <r>
      <rPr>
        <sz val="12"/>
        <rFont val="標楷體"/>
        <family val="4"/>
        <charset val="136"/>
      </rPr>
      <t>編列</t>
    </r>
    <r>
      <rPr>
        <sz val="12"/>
        <rFont val="Times New Roman"/>
        <family val="1"/>
      </rPr>
      <t>973,475</t>
    </r>
    <r>
      <rPr>
        <sz val="12"/>
        <rFont val="標楷體"/>
        <family val="4"/>
        <charset val="136"/>
      </rPr>
      <t>千元，係基金委託經營之經理費等。</t>
    </r>
    <phoneticPr fontId="2" type="noConversion"/>
  </si>
  <si>
    <r>
      <rPr>
        <sz val="12"/>
        <rFont val="標楷體"/>
        <family val="4"/>
        <charset val="136"/>
      </rPr>
      <t>編列</t>
    </r>
    <r>
      <rPr>
        <sz val="12"/>
        <rFont val="Times New Roman"/>
        <family val="1"/>
      </rPr>
      <t>37,230</t>
    </r>
    <r>
      <rPr>
        <sz val="12"/>
        <rFont val="標楷體"/>
        <family val="4"/>
        <charset val="136"/>
      </rPr>
      <t>千元，係國外投資委任律師處理訴訟費及委託經營聘請顧問費等。其中委託調查研究費編列</t>
    </r>
    <r>
      <rPr>
        <sz val="12"/>
        <rFont val="Times New Roman"/>
        <family val="1"/>
      </rPr>
      <t>2,930</t>
    </r>
    <r>
      <rPr>
        <sz val="12"/>
        <rFont val="標楷體"/>
        <family val="4"/>
        <charset val="136"/>
      </rPr>
      <t>千元，係依據勞動基金委託經營要點第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 xml:space="preserve">點規定，委託專業投資顧問公司協助辦理國外委託經營受託機構之遴選、績效評定及考核管理，包括：
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國外監控顧問案</t>
    </r>
    <r>
      <rPr>
        <sz val="12"/>
        <rFont val="Times New Roman"/>
        <family val="1"/>
      </rPr>
      <t>2,430</t>
    </r>
    <r>
      <rPr>
        <sz val="12"/>
        <rFont val="標楷體"/>
        <family val="4"/>
        <charset val="136"/>
      </rPr>
      <t xml:space="preserve">千元。
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國外委託遴選顧問案</t>
    </r>
    <r>
      <rPr>
        <sz val="12"/>
        <rFont val="Times New Roman"/>
        <family val="1"/>
      </rPr>
      <t>500</t>
    </r>
    <r>
      <rPr>
        <sz val="12"/>
        <rFont val="標楷體"/>
        <family val="4"/>
        <charset val="136"/>
      </rPr>
      <t>千元。</t>
    </r>
    <phoneticPr fontId="2" type="noConversion"/>
  </si>
  <si>
    <r>
      <rPr>
        <sz val="12"/>
        <rFont val="標楷體"/>
        <family val="4"/>
        <charset val="136"/>
      </rPr>
      <t>編列</t>
    </r>
    <r>
      <rPr>
        <sz val="12"/>
        <rFont val="Times New Roman"/>
        <family val="1"/>
      </rPr>
      <t>1,140</t>
    </r>
    <r>
      <rPr>
        <sz val="12"/>
        <rFont val="標楷體"/>
        <family val="4"/>
        <charset val="136"/>
      </rPr>
      <t>千元，係建置就業保險基金投資整合資訊系統</t>
    </r>
    <r>
      <rPr>
        <sz val="12"/>
        <rFont val="Times New Roman"/>
        <family val="1"/>
      </rPr>
      <t>5,700</t>
    </r>
    <r>
      <rPr>
        <sz val="12"/>
        <rFont val="標楷體"/>
        <family val="4"/>
        <charset val="136"/>
      </rPr>
      <t>千元，依使用年限編列攤銷費用。</t>
    </r>
    <phoneticPr fontId="2" type="noConversion"/>
  </si>
  <si>
    <r>
      <rPr>
        <u/>
        <sz val="16"/>
        <rFont val="標楷體"/>
        <family val="4"/>
        <charset val="136"/>
      </rPr>
      <t>勞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動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部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勞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工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保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險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局</t>
    </r>
    <phoneticPr fontId="2" type="noConversion"/>
  </si>
  <si>
    <r>
      <rPr>
        <u/>
        <sz val="16"/>
        <rFont val="標楷體"/>
        <family val="4"/>
        <charset val="136"/>
      </rPr>
      <t>勞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工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保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險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局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作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業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基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金</t>
    </r>
    <phoneticPr fontId="2" type="noConversion"/>
  </si>
  <si>
    <r>
      <rPr>
        <sz val="12"/>
        <rFont val="標楷體"/>
        <family val="4"/>
        <charset val="136"/>
      </rPr>
      <t>　　　　　　　　　　　　　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年度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單位：新臺幣千元</t>
    </r>
    <phoneticPr fontId="2" type="noConversion"/>
  </si>
  <si>
    <r>
      <rPr>
        <sz val="12"/>
        <rFont val="標楷體"/>
        <family val="4"/>
        <charset val="136"/>
      </rPr>
      <t>項目</t>
    </r>
    <phoneticPr fontId="2" type="noConversion"/>
  </si>
  <si>
    <r>
      <rPr>
        <sz val="12"/>
        <rFont val="標楷體"/>
        <family val="4"/>
        <charset val="136"/>
      </rPr>
      <t>預算數</t>
    </r>
    <phoneticPr fontId="2" type="noConversion"/>
  </si>
  <si>
    <r>
      <rPr>
        <sz val="12"/>
        <rFont val="標楷體"/>
        <family val="4"/>
        <charset val="136"/>
      </rPr>
      <t>說明</t>
    </r>
  </si>
  <si>
    <r>
      <rPr>
        <b/>
        <sz val="12"/>
        <rFont val="標楷體"/>
        <family val="4"/>
        <charset val="136"/>
      </rPr>
      <t>業務活動之現金流量</t>
    </r>
  </si>
  <si>
    <r>
      <rPr>
        <sz val="12"/>
        <rFont val="標楷體"/>
        <family val="4"/>
        <charset val="136"/>
      </rPr>
      <t>　調整非現金項目</t>
    </r>
    <phoneticPr fontId="2" type="noConversion"/>
  </si>
  <si>
    <r>
      <rPr>
        <sz val="12"/>
        <rFont val="標楷體"/>
        <family val="4"/>
        <charset val="136"/>
      </rPr>
      <t>千元</t>
    </r>
    <phoneticPr fontId="2" type="noConversion"/>
  </si>
  <si>
    <r>
      <t>2.</t>
    </r>
    <r>
      <rPr>
        <sz val="12"/>
        <rFont val="標楷體"/>
        <family val="4"/>
        <charset val="136"/>
      </rPr>
      <t>攤銷</t>
    </r>
    <phoneticPr fontId="2" type="noConversion"/>
  </si>
  <si>
    <r>
      <t>3.</t>
    </r>
    <r>
      <rPr>
        <sz val="12"/>
        <rFont val="標楷體"/>
        <family val="4"/>
        <charset val="136"/>
      </rPr>
      <t>提存責任準備</t>
    </r>
    <r>
      <rPr>
        <sz val="12"/>
        <rFont val="Times New Roman"/>
        <family val="1"/>
      </rPr>
      <t/>
    </r>
    <phoneticPr fontId="2" type="noConversion"/>
  </si>
  <si>
    <r>
      <rPr>
        <sz val="12"/>
        <rFont val="標楷體"/>
        <family val="4"/>
        <charset val="136"/>
      </rPr>
      <t>　　</t>
    </r>
    <phoneticPr fontId="2" type="noConversion"/>
  </si>
  <si>
    <r>
      <t>4.</t>
    </r>
    <r>
      <rPr>
        <sz val="12"/>
        <rFont val="標楷體"/>
        <family val="4"/>
        <charset val="136"/>
      </rPr>
      <t>流動資產淨增</t>
    </r>
    <phoneticPr fontId="2" type="noConversion"/>
  </si>
  <si>
    <r>
      <t>5.</t>
    </r>
    <r>
      <rPr>
        <sz val="12"/>
        <rFont val="標楷體"/>
        <family val="4"/>
        <charset val="136"/>
      </rPr>
      <t>流動負債淨增</t>
    </r>
    <r>
      <rPr>
        <sz val="12"/>
        <rFont val="Times New Roman"/>
        <family val="1"/>
      </rPr>
      <t xml:space="preserve"> </t>
    </r>
    <phoneticPr fontId="2" type="noConversion"/>
  </si>
  <si>
    <r>
      <rPr>
        <b/>
        <sz val="12"/>
        <rFont val="標楷體"/>
        <family val="4"/>
        <charset val="136"/>
      </rPr>
      <t>　　業務活動之淨現金流入（流出－）</t>
    </r>
    <phoneticPr fontId="2" type="noConversion"/>
  </si>
  <si>
    <r>
      <rPr>
        <b/>
        <sz val="12"/>
        <rFont val="標楷體"/>
        <family val="4"/>
        <charset val="136"/>
      </rPr>
      <t>投資活動之現金流量</t>
    </r>
    <phoneticPr fontId="2" type="noConversion"/>
  </si>
  <si>
    <r>
      <rPr>
        <sz val="12"/>
        <rFont val="標楷體"/>
        <family val="4"/>
        <charset val="136"/>
      </rPr>
      <t>　減少流動金融資產及短期貸墊款</t>
    </r>
    <phoneticPr fontId="2" type="noConversion"/>
  </si>
  <si>
    <r>
      <rPr>
        <sz val="12"/>
        <rFont val="標楷體"/>
        <family val="4"/>
        <charset val="136"/>
      </rPr>
      <t>　增加流動金融資產及短期貸墊款</t>
    </r>
    <phoneticPr fontId="2" type="noConversion"/>
  </si>
  <si>
    <r>
      <rPr>
        <sz val="12"/>
        <rFont val="標楷體"/>
        <family val="4"/>
        <charset val="136"/>
      </rPr>
      <t>係增加流動金融資產</t>
    </r>
    <r>
      <rPr>
        <sz val="12"/>
        <rFont val="Times New Roman"/>
        <family val="1"/>
      </rPr>
      <t>40,309,718</t>
    </r>
    <r>
      <rPr>
        <sz val="12"/>
        <rFont val="標楷體"/>
        <family val="4"/>
        <charset val="136"/>
      </rPr>
      <t>千元及短期貸款</t>
    </r>
    <r>
      <rPr>
        <sz val="12"/>
        <rFont val="Times New Roman"/>
        <family val="1"/>
      </rPr>
      <t>1,316,900</t>
    </r>
    <r>
      <rPr>
        <sz val="12"/>
        <rFont val="標楷體"/>
        <family val="4"/>
        <charset val="136"/>
      </rPr>
      <t>千元。</t>
    </r>
    <phoneticPr fontId="2" type="noConversion"/>
  </si>
  <si>
    <r>
      <rPr>
        <sz val="12"/>
        <rFont val="標楷體"/>
        <family val="4"/>
        <charset val="136"/>
      </rPr>
      <t>　增加投資、長期應收款、貸墊款及準備金</t>
    </r>
    <phoneticPr fontId="2" type="noConversion"/>
  </si>
  <si>
    <r>
      <rPr>
        <sz val="12"/>
        <rFont val="標楷體"/>
        <family val="4"/>
        <charset val="136"/>
      </rPr>
      <t>　增加無形資產、遞延借項及其他資產</t>
    </r>
    <phoneticPr fontId="2" type="noConversion"/>
  </si>
  <si>
    <r>
      <rPr>
        <sz val="12"/>
        <rFont val="標楷體"/>
        <family val="4"/>
        <charset val="136"/>
      </rPr>
      <t>係增加無形資產。</t>
    </r>
    <phoneticPr fontId="2" type="noConversion"/>
  </si>
  <si>
    <r>
      <rPr>
        <b/>
        <sz val="12"/>
        <rFont val="標楷體"/>
        <family val="4"/>
        <charset val="136"/>
      </rPr>
      <t>　　投資活動之淨現金流入（流出－）</t>
    </r>
    <phoneticPr fontId="2" type="noConversion"/>
  </si>
  <si>
    <r>
      <rPr>
        <b/>
        <sz val="12"/>
        <rFont val="標楷體"/>
        <family val="4"/>
        <charset val="136"/>
      </rPr>
      <t>融資活動之現金流量</t>
    </r>
  </si>
  <si>
    <r>
      <rPr>
        <b/>
        <sz val="12"/>
        <rFont val="標楷體"/>
        <family val="4"/>
        <charset val="136"/>
      </rPr>
      <t>　　融資活動之淨現金流入（流出－）</t>
    </r>
    <phoneticPr fontId="2" type="noConversion"/>
  </si>
  <si>
    <r>
      <rPr>
        <b/>
        <sz val="12"/>
        <rFont val="標楷體"/>
        <family val="4"/>
        <charset val="136"/>
      </rPr>
      <t>現金及約當現金之淨增（淨減－）</t>
    </r>
  </si>
  <si>
    <r>
      <rPr>
        <b/>
        <sz val="12"/>
        <rFont val="標楷體"/>
        <family val="4"/>
        <charset val="136"/>
      </rPr>
      <t>期初現金及約當現金</t>
    </r>
  </si>
  <si>
    <r>
      <rPr>
        <b/>
        <sz val="12"/>
        <rFont val="標楷體"/>
        <family val="4"/>
        <charset val="136"/>
      </rPr>
      <t>期末現金及約當現金</t>
    </r>
  </si>
  <si>
    <r>
      <rPr>
        <sz val="12"/>
        <rFont val="標楷體"/>
        <family val="4"/>
        <charset val="136"/>
      </rPr>
      <t xml:space="preserve">　增加短期債務、流動金融負債、其他負債
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及遞延貸項</t>
    </r>
    <phoneticPr fontId="2" type="noConversion"/>
  </si>
  <si>
    <r>
      <rPr>
        <sz val="12"/>
        <rFont val="標楷體"/>
        <family val="4"/>
        <charset val="136"/>
      </rPr>
      <t xml:space="preserve">　減少短期債務、流動金融負債、其他負債
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及遞延貸項</t>
    </r>
    <phoneticPr fontId="2" type="noConversion"/>
  </si>
  <si>
    <r>
      <rPr>
        <sz val="12"/>
        <rFont val="標楷體"/>
        <family val="4"/>
        <charset val="136"/>
      </rPr>
      <t>係減少就業保險業務其他負債</t>
    </r>
    <r>
      <rPr>
        <sz val="12"/>
        <rFont val="Times New Roman"/>
        <family val="1"/>
      </rPr>
      <t>17</t>
    </r>
    <r>
      <rPr>
        <sz val="12"/>
        <rFont val="標楷體"/>
        <family val="4"/>
        <charset val="136"/>
      </rPr>
      <t>千元。</t>
    </r>
    <phoneticPr fontId="2" type="noConversion"/>
  </si>
  <si>
    <r>
      <rPr>
        <sz val="12"/>
        <rFont val="標楷體"/>
        <family val="4"/>
        <charset val="136"/>
      </rPr>
      <t>係增加短期債務</t>
    </r>
    <r>
      <rPr>
        <sz val="12"/>
        <rFont val="Times New Roman"/>
        <family val="1"/>
      </rPr>
      <t>1,316,900</t>
    </r>
    <r>
      <rPr>
        <sz val="12"/>
        <rFont val="標楷體"/>
        <family val="4"/>
        <charset val="136"/>
      </rPr>
      <t>千元及勞工保險業務其他負債</t>
    </r>
    <r>
      <rPr>
        <sz val="12"/>
        <rFont val="Times New Roman"/>
        <family val="1"/>
      </rPr>
      <t>1,826</t>
    </r>
    <r>
      <rPr>
        <sz val="12"/>
        <rFont val="標楷體"/>
        <family val="4"/>
        <charset val="136"/>
      </rPr>
      <t>千元。</t>
    </r>
    <phoneticPr fontId="2" type="noConversion"/>
  </si>
  <si>
    <r>
      <rPr>
        <sz val="12"/>
        <rFont val="標楷體"/>
        <family val="4"/>
        <charset val="136"/>
      </rPr>
      <t>係增加長期投資</t>
    </r>
    <r>
      <rPr>
        <sz val="12"/>
        <rFont val="Times New Roman"/>
        <family val="1"/>
      </rPr>
      <t>12,591,662</t>
    </r>
    <r>
      <rPr>
        <sz val="12"/>
        <rFont val="標楷體"/>
        <family val="4"/>
        <charset val="136"/>
      </rPr>
      <t>千元及長期貸款</t>
    </r>
    <r>
      <rPr>
        <sz val="12"/>
        <rFont val="Times New Roman"/>
        <family val="1"/>
      </rPr>
      <t>2,995,730</t>
    </r>
    <r>
      <rPr>
        <sz val="12"/>
        <rFont val="標楷體"/>
        <family val="4"/>
        <charset val="136"/>
      </rPr>
      <t>千元。</t>
    </r>
    <phoneticPr fontId="2" type="noConversion"/>
  </si>
  <si>
    <t>收支餘絀預計表</t>
    <phoneticPr fontId="2" type="noConversion"/>
  </si>
  <si>
    <r>
      <t>1.</t>
    </r>
    <r>
      <rPr>
        <sz val="12"/>
        <rFont val="標楷體"/>
        <family val="4"/>
        <charset val="136"/>
      </rPr>
      <t xml:space="preserve">提存呆帳及
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短絀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 xml:space="preserve">不動產
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投資折舊</t>
    </r>
    <r>
      <rPr>
        <sz val="12"/>
        <rFont val="Times New Roman"/>
        <family val="1"/>
      </rPr>
      <t>)</t>
    </r>
    <phoneticPr fontId="2" type="noConversion"/>
  </si>
  <si>
    <r>
      <rPr>
        <sz val="13"/>
        <rFont val="標楷體"/>
        <family val="4"/>
        <charset val="136"/>
      </rPr>
      <t>（二）</t>
    </r>
  </si>
  <si>
    <r>
      <rPr>
        <sz val="13"/>
        <rFont val="標楷體"/>
        <family val="4"/>
        <charset val="136"/>
      </rPr>
      <t>（三）</t>
    </r>
  </si>
  <si>
    <r>
      <rPr>
        <sz val="13"/>
        <rFont val="標楷體"/>
        <family val="4"/>
        <charset val="136"/>
      </rPr>
      <t>二、</t>
    </r>
  </si>
  <si>
    <r>
      <rPr>
        <sz val="13"/>
        <rFont val="標楷體"/>
        <family val="4"/>
        <charset val="136"/>
      </rPr>
      <t>三、</t>
    </r>
  </si>
  <si>
    <r>
      <rPr>
        <sz val="18"/>
        <rFont val="標楷體"/>
        <family val="4"/>
        <charset val="136"/>
      </rPr>
      <t>收支餘絀預計表說明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</si>
  <si>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年度</t>
    </r>
    <phoneticPr fontId="2" type="noConversion"/>
  </si>
  <si>
    <r>
      <rPr>
        <sz val="13"/>
        <rFont val="標楷體"/>
        <family val="4"/>
        <charset val="136"/>
      </rPr>
      <t>一、</t>
    </r>
    <phoneticPr fontId="2" type="noConversion"/>
  </si>
  <si>
    <r>
      <rPr>
        <sz val="13"/>
        <rFont val="標楷體"/>
        <family val="4"/>
        <charset val="136"/>
      </rPr>
      <t>（一）</t>
    </r>
    <phoneticPr fontId="2" type="noConversion"/>
  </si>
  <si>
    <r>
      <rPr>
        <sz val="13"/>
        <rFont val="標楷體"/>
        <family val="4"/>
        <charset val="136"/>
      </rPr>
      <t>投融資業務收入</t>
    </r>
    <r>
      <rPr>
        <sz val="13"/>
        <rFont val="Times New Roman"/>
        <family val="1"/>
      </rPr>
      <t>31,473,282</t>
    </r>
    <r>
      <rPr>
        <sz val="13"/>
        <rFont val="標楷體"/>
        <family val="4"/>
        <charset val="136"/>
      </rPr>
      <t>千元，詳第</t>
    </r>
    <r>
      <rPr>
        <sz val="13"/>
        <rFont val="Times New Roman"/>
        <family val="1"/>
      </rPr>
      <t>19~20</t>
    </r>
    <r>
      <rPr>
        <sz val="13"/>
        <rFont val="標楷體"/>
        <family val="4"/>
        <charset val="136"/>
      </rPr>
      <t>頁投融資業務收入明細表。</t>
    </r>
    <phoneticPr fontId="2" type="noConversion"/>
  </si>
  <si>
    <r>
      <rPr>
        <sz val="13"/>
        <rFont val="標楷體"/>
        <family val="4"/>
        <charset val="136"/>
      </rPr>
      <t>其他業務收入</t>
    </r>
    <r>
      <rPr>
        <sz val="13"/>
        <rFont val="Times New Roman"/>
        <family val="1"/>
      </rPr>
      <t>4,015,052</t>
    </r>
    <r>
      <rPr>
        <sz val="13"/>
        <rFont val="標楷體"/>
        <family val="4"/>
        <charset val="136"/>
      </rPr>
      <t>千元，詳第</t>
    </r>
    <r>
      <rPr>
        <sz val="13"/>
        <rFont val="Times New Roman"/>
        <family val="1"/>
      </rPr>
      <t>22</t>
    </r>
    <r>
      <rPr>
        <sz val="13"/>
        <rFont val="標楷體"/>
        <family val="4"/>
        <charset val="136"/>
      </rPr>
      <t>頁其他業務收入明細表。</t>
    </r>
    <phoneticPr fontId="2" type="noConversion"/>
  </si>
  <si>
    <r>
      <rPr>
        <sz val="13"/>
        <rFont val="標楷體"/>
        <family val="4"/>
        <charset val="136"/>
      </rPr>
      <t>其他業務成本</t>
    </r>
    <r>
      <rPr>
        <sz val="13"/>
        <rFont val="Times New Roman"/>
        <family val="1"/>
      </rPr>
      <t>2,510,334</t>
    </r>
    <r>
      <rPr>
        <sz val="13"/>
        <rFont val="標楷體"/>
        <family val="4"/>
        <charset val="136"/>
      </rPr>
      <t>千元，詳第</t>
    </r>
    <r>
      <rPr>
        <sz val="13"/>
        <rFont val="Times New Roman"/>
        <family val="1"/>
      </rPr>
      <t>34~35</t>
    </r>
    <r>
      <rPr>
        <sz val="13"/>
        <rFont val="標楷體"/>
        <family val="4"/>
        <charset val="136"/>
      </rPr>
      <t>頁其他業務成本明細表及說明。</t>
    </r>
    <phoneticPr fontId="2" type="noConversion"/>
  </si>
  <si>
    <r>
      <rPr>
        <sz val="13"/>
        <rFont val="標楷體"/>
        <family val="4"/>
        <charset val="136"/>
      </rPr>
      <t>本年度業務外收入</t>
    </r>
    <r>
      <rPr>
        <sz val="13"/>
        <rFont val="Times New Roman"/>
        <family val="1"/>
      </rPr>
      <t>103,795</t>
    </r>
    <r>
      <rPr>
        <sz val="13"/>
        <rFont val="標楷體"/>
        <family val="4"/>
        <charset val="136"/>
      </rPr>
      <t>千元，包括：</t>
    </r>
    <phoneticPr fontId="2" type="noConversion"/>
  </si>
  <si>
    <r>
      <rPr>
        <sz val="13"/>
        <rFont val="標楷體"/>
        <family val="4"/>
        <charset val="136"/>
      </rPr>
      <t>財務收入</t>
    </r>
    <r>
      <rPr>
        <sz val="13"/>
        <rFont val="Times New Roman"/>
        <family val="1"/>
      </rPr>
      <t>399</t>
    </r>
    <r>
      <rPr>
        <sz val="13"/>
        <rFont val="標楷體"/>
        <family val="4"/>
        <charset val="136"/>
      </rPr>
      <t>千元，詳第</t>
    </r>
    <r>
      <rPr>
        <sz val="13"/>
        <rFont val="Times New Roman"/>
        <family val="1"/>
      </rPr>
      <t>23~24</t>
    </r>
    <r>
      <rPr>
        <sz val="13"/>
        <rFont val="標楷體"/>
        <family val="4"/>
        <charset val="136"/>
      </rPr>
      <t>頁業務外收入明細表。</t>
    </r>
    <phoneticPr fontId="2" type="noConversion"/>
  </si>
  <si>
    <r>
      <rPr>
        <sz val="13"/>
        <rFont val="標楷體"/>
        <family val="4"/>
        <charset val="136"/>
      </rPr>
      <t>其他業務外收入</t>
    </r>
    <r>
      <rPr>
        <sz val="13"/>
        <rFont val="Times New Roman"/>
        <family val="1"/>
      </rPr>
      <t>103,396</t>
    </r>
    <r>
      <rPr>
        <sz val="13"/>
        <rFont val="標楷體"/>
        <family val="4"/>
        <charset val="136"/>
      </rPr>
      <t>千元，詳第</t>
    </r>
    <r>
      <rPr>
        <sz val="13"/>
        <rFont val="Times New Roman"/>
        <family val="1"/>
      </rPr>
      <t>23~24</t>
    </r>
    <r>
      <rPr>
        <sz val="13"/>
        <rFont val="標楷體"/>
        <family val="4"/>
        <charset val="136"/>
      </rPr>
      <t>頁業務外收入明細表。</t>
    </r>
    <phoneticPr fontId="2" type="noConversion"/>
  </si>
  <si>
    <r>
      <rPr>
        <sz val="13"/>
        <rFont val="標楷體"/>
        <family val="4"/>
        <charset val="136"/>
      </rPr>
      <t>四、</t>
    </r>
    <phoneticPr fontId="2" type="noConversion"/>
  </si>
  <si>
    <r>
      <rPr>
        <sz val="13"/>
        <rFont val="標楷體"/>
        <family val="4"/>
        <charset val="136"/>
      </rPr>
      <t>本年度業務外費用</t>
    </r>
    <r>
      <rPr>
        <sz val="13"/>
        <rFont val="Times New Roman"/>
        <family val="1"/>
      </rPr>
      <t>90</t>
    </r>
    <r>
      <rPr>
        <sz val="13"/>
        <rFont val="標楷體"/>
        <family val="4"/>
        <charset val="136"/>
      </rPr>
      <t>千元，係其他業務外費用，詳第</t>
    </r>
    <r>
      <rPr>
        <sz val="13"/>
        <rFont val="Times New Roman"/>
        <family val="1"/>
      </rPr>
      <t>36~37</t>
    </r>
    <r>
      <rPr>
        <sz val="13"/>
        <rFont val="標楷體"/>
        <family val="4"/>
        <charset val="136"/>
      </rPr>
      <t>頁業務外費用明細表及說明。</t>
    </r>
    <phoneticPr fontId="2" type="noConversion"/>
  </si>
  <si>
    <r>
      <rPr>
        <sz val="13"/>
        <rFont val="標楷體"/>
        <family val="4"/>
        <charset val="136"/>
      </rPr>
      <t>五、</t>
    </r>
    <phoneticPr fontId="2" type="noConversion"/>
  </si>
  <si>
    <r>
      <rPr>
        <sz val="13"/>
        <rFont val="標楷體"/>
        <family val="4"/>
        <charset val="136"/>
      </rPr>
      <t>本年度收支相抵後，賸餘無列數。</t>
    </r>
    <phoneticPr fontId="2" type="noConversion"/>
  </si>
  <si>
    <r>
      <rPr>
        <sz val="18"/>
        <rFont val="標楷體"/>
        <family val="4"/>
        <charset val="136"/>
      </rPr>
      <t>餘絀撥補預計表</t>
    </r>
    <phoneticPr fontId="2" type="noConversion"/>
  </si>
  <si>
    <r>
      <rPr>
        <sz val="12"/>
        <rFont val="標楷體"/>
        <family val="4"/>
        <charset val="136"/>
      </rPr>
      <t>　　　　　　　　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 xml:space="preserve">          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年度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             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單位：新臺幣千元</t>
    </r>
    <phoneticPr fontId="2" type="noConversion"/>
  </si>
  <si>
    <r>
      <rPr>
        <sz val="12"/>
        <rFont val="標楷體"/>
        <family val="4"/>
        <charset val="136"/>
      </rPr>
      <t>上年度預算數</t>
    </r>
  </si>
  <si>
    <r>
      <rPr>
        <sz val="12"/>
        <rFont val="標楷體"/>
        <family val="4"/>
        <charset val="136"/>
      </rPr>
      <t>本年度預算數</t>
    </r>
  </si>
  <si>
    <r>
      <rPr>
        <sz val="12"/>
        <rFont val="標楷體"/>
        <family val="4"/>
        <charset val="136"/>
      </rPr>
      <t>說　　　明</t>
    </r>
  </si>
  <si>
    <r>
      <rPr>
        <sz val="12"/>
        <rFont val="標楷體"/>
        <family val="4"/>
        <charset val="136"/>
      </rPr>
      <t>金　額</t>
    </r>
  </si>
  <si>
    <r>
      <rPr>
        <sz val="12"/>
        <rFont val="標楷體"/>
        <family val="4"/>
        <charset val="136"/>
      </rPr>
      <t>％</t>
    </r>
  </si>
  <si>
    <r>
      <rPr>
        <sz val="12"/>
        <rFont val="標楷體"/>
        <family val="4"/>
        <charset val="136"/>
      </rPr>
      <t>賸餘之部</t>
    </r>
  </si>
  <si>
    <r>
      <rPr>
        <sz val="12"/>
        <rFont val="標楷體"/>
        <family val="4"/>
        <charset val="136"/>
      </rPr>
      <t>未分配賸餘</t>
    </r>
  </si>
  <si>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</t>
    </r>
  </si>
  <si>
    <r>
      <rPr>
        <sz val="12"/>
        <rFont val="標楷體"/>
        <family val="4"/>
        <charset val="136"/>
      </rPr>
      <t>單位</t>
    </r>
  </si>
  <si>
    <r>
      <rPr>
        <sz val="18"/>
        <rFont val="標楷體"/>
        <family val="4"/>
        <charset val="136"/>
      </rPr>
      <t>投融資業務收入明細表</t>
    </r>
    <phoneticPr fontId="2" type="noConversion"/>
  </si>
  <si>
    <r>
      <rPr>
        <sz val="12"/>
        <rFont val="標楷體"/>
        <family val="4"/>
        <charset val="136"/>
      </rPr>
      <t>預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算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數</t>
    </r>
    <phoneticPr fontId="2" type="noConversion"/>
  </si>
  <si>
    <r>
      <rPr>
        <sz val="12"/>
        <rFont val="標楷體"/>
        <family val="4"/>
        <charset val="136"/>
      </rPr>
      <t>數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 xml:space="preserve">量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業務量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</si>
  <si>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利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費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率</t>
    </r>
    <phoneticPr fontId="2" type="noConversion"/>
  </si>
  <si>
    <r>
      <rPr>
        <sz val="12"/>
        <rFont val="標楷體"/>
        <family val="4"/>
        <charset val="136"/>
      </rPr>
      <t>金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額</t>
    </r>
    <phoneticPr fontId="2" type="noConversion"/>
  </si>
  <si>
    <r>
      <rPr>
        <sz val="12"/>
        <rFont val="標楷體"/>
        <family val="4"/>
        <charset val="136"/>
      </rPr>
      <t>被保險人貸款編列</t>
    </r>
    <r>
      <rPr>
        <sz val="12"/>
        <rFont val="Times New Roman"/>
        <family val="1"/>
      </rPr>
      <t>497,640</t>
    </r>
    <r>
      <rPr>
        <sz val="12"/>
        <rFont val="標楷體"/>
        <family val="4"/>
        <charset val="136"/>
      </rPr>
      <t>千元，由勞動部勞工保險局辦理；貸款供各級政府或公營事業機構經濟建設或投資編列</t>
    </r>
    <r>
      <rPr>
        <sz val="12"/>
        <rFont val="Times New Roman"/>
        <family val="1"/>
      </rPr>
      <t>74,795</t>
    </r>
    <r>
      <rPr>
        <sz val="12"/>
        <rFont val="標楷體"/>
        <family val="4"/>
        <charset val="136"/>
      </rPr>
      <t>千元，由勞動基金運用局辦理。</t>
    </r>
    <phoneticPr fontId="2" type="noConversion"/>
  </si>
  <si>
    <r>
      <rPr>
        <sz val="12"/>
        <rFont val="標楷體"/>
        <family val="4"/>
        <charset val="136"/>
      </rPr>
      <t>基金投資不動產之租賃收入等，詳第</t>
    </r>
    <r>
      <rPr>
        <sz val="12"/>
        <rFont val="Times New Roman"/>
        <family val="1"/>
      </rPr>
      <t>47</t>
    </r>
    <r>
      <rPr>
        <sz val="12"/>
        <rFont val="標楷體"/>
        <family val="4"/>
        <charset val="136"/>
      </rPr>
      <t>頁不動產投資收入分析表。</t>
    </r>
    <phoneticPr fontId="2" type="noConversion"/>
  </si>
  <si>
    <r>
      <rPr>
        <sz val="12"/>
        <rFont val="標楷體"/>
        <family val="4"/>
        <charset val="136"/>
      </rPr>
      <t>買賣股票、受益憑證等之利益。</t>
    </r>
    <phoneticPr fontId="2" type="noConversion"/>
  </si>
  <si>
    <r>
      <rPr>
        <sz val="12"/>
        <rFont val="標楷體"/>
        <family val="4"/>
        <charset val="136"/>
      </rPr>
      <t>台幣存款及外幣存款。</t>
    </r>
    <phoneticPr fontId="2" type="noConversion"/>
  </si>
  <si>
    <r>
      <rPr>
        <sz val="12"/>
        <rFont val="標楷體"/>
        <family val="4"/>
        <charset val="136"/>
      </rPr>
      <t>台幣存款。</t>
    </r>
    <phoneticPr fontId="2" type="noConversion"/>
  </si>
  <si>
    <r>
      <rPr>
        <sz val="12"/>
        <rFont val="標楷體"/>
        <family val="4"/>
        <charset val="136"/>
      </rPr>
      <t>投資商業票券。</t>
    </r>
    <phoneticPr fontId="2" type="noConversion"/>
  </si>
  <si>
    <r>
      <rPr>
        <sz val="12"/>
        <rFont val="標楷體"/>
        <family val="4"/>
        <charset val="136"/>
      </rPr>
      <t>投資公債、庫券、公司債及金融債券。</t>
    </r>
    <phoneticPr fontId="2" type="noConversion"/>
  </si>
  <si>
    <r>
      <rPr>
        <sz val="12"/>
        <rFont val="標楷體"/>
        <family val="4"/>
        <charset val="136"/>
      </rPr>
      <t>投資國外固定收益商品
。</t>
    </r>
    <phoneticPr fontId="2" type="noConversion"/>
  </si>
  <si>
    <r>
      <rPr>
        <sz val="12"/>
        <rFont val="標楷體"/>
        <family val="4"/>
        <charset val="136"/>
      </rPr>
      <t>國庫帳戶台幣存款，由勞動部勞工保險局辦理。</t>
    </r>
    <phoneticPr fontId="2" type="noConversion"/>
  </si>
  <si>
    <r>
      <rPr>
        <sz val="18"/>
        <rFont val="標楷體"/>
        <family val="4"/>
        <charset val="136"/>
      </rPr>
      <t>保險收入明細表</t>
    </r>
    <phoneticPr fontId="2" type="noConversion"/>
  </si>
  <si>
    <r>
      <rPr>
        <sz val="12"/>
        <rFont val="標楷體"/>
        <family val="4"/>
        <charset val="136"/>
      </rPr>
      <t>　　　　　　　　　　　　　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年度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 </t>
    </r>
    <r>
      <rPr>
        <sz val="12"/>
        <rFont val="標楷體"/>
        <family val="4"/>
        <charset val="136"/>
      </rPr>
      <t>　　　　　單位：新臺幣千元</t>
    </r>
    <phoneticPr fontId="2" type="noConversion"/>
  </si>
  <si>
    <r>
      <rPr>
        <sz val="12"/>
        <rFont val="標楷體"/>
        <family val="4"/>
        <charset val="136"/>
      </rPr>
      <t>詳第</t>
    </r>
    <r>
      <rPr>
        <sz val="12"/>
        <rFont val="Times New Roman"/>
        <family val="1"/>
      </rPr>
      <t>48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50~52</t>
    </r>
    <r>
      <rPr>
        <sz val="12"/>
        <rFont val="標楷體"/>
        <family val="4"/>
        <charset val="136"/>
      </rPr>
      <t>頁保費收入分析表及附表。</t>
    </r>
    <phoneticPr fontId="2" type="noConversion"/>
  </si>
  <si>
    <r>
      <rPr>
        <sz val="12"/>
        <rFont val="標楷體"/>
        <family val="4"/>
        <charset val="136"/>
      </rPr>
      <t>係依投保人數</t>
    </r>
    <r>
      <rPr>
        <sz val="12"/>
        <rFont val="Times New Roman"/>
        <family val="1"/>
      </rPr>
      <t>1,003</t>
    </r>
    <r>
      <rPr>
        <sz val="12"/>
        <rFont val="標楷體"/>
        <family val="4"/>
        <charset val="136"/>
      </rPr>
      <t>萬人、平均月投保薪資</t>
    </r>
    <r>
      <rPr>
        <sz val="12"/>
        <rFont val="Times New Roman"/>
        <family val="1"/>
      </rPr>
      <t>30,850</t>
    </r>
    <r>
      <rPr>
        <sz val="12"/>
        <rFont val="標楷體"/>
        <family val="4"/>
        <charset val="136"/>
      </rPr>
      <t>元及保險費率</t>
    </r>
    <r>
      <rPr>
        <sz val="12"/>
        <rFont val="Times New Roman"/>
        <family val="1"/>
      </rPr>
      <t>9.72%</t>
    </r>
    <r>
      <rPr>
        <sz val="12"/>
        <rFont val="標楷體"/>
        <family val="4"/>
        <charset val="136"/>
      </rPr>
      <t>（普通事故保險費率</t>
    </r>
    <r>
      <rPr>
        <sz val="12"/>
        <rFont val="Times New Roman"/>
        <family val="1"/>
      </rPr>
      <t>9.5%</t>
    </r>
    <r>
      <rPr>
        <sz val="12"/>
        <rFont val="標楷體"/>
        <family val="4"/>
        <charset val="136"/>
      </rPr>
      <t>；職業災害平均費率</t>
    </r>
    <r>
      <rPr>
        <sz val="12"/>
        <rFont val="Times New Roman"/>
        <family val="1"/>
      </rPr>
      <t>0.22%</t>
    </r>
    <r>
      <rPr>
        <sz val="12"/>
        <rFont val="標楷體"/>
        <family val="4"/>
        <charset val="136"/>
      </rPr>
      <t>）估算。</t>
    </r>
    <phoneticPr fontId="2" type="noConversion"/>
  </si>
  <si>
    <r>
      <rPr>
        <sz val="12"/>
        <rFont val="標楷體"/>
        <family val="4"/>
        <charset val="136"/>
      </rPr>
      <t>詳第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52~54</t>
    </r>
    <r>
      <rPr>
        <sz val="12"/>
        <rFont val="標楷體"/>
        <family val="4"/>
        <charset val="136"/>
      </rPr>
      <t>頁保費收入分析表及附表。</t>
    </r>
    <phoneticPr fontId="2" type="noConversion"/>
  </si>
  <si>
    <r>
      <rPr>
        <sz val="12"/>
        <rFont val="標楷體"/>
        <family val="4"/>
        <charset val="136"/>
      </rPr>
      <t>係依投保人數</t>
    </r>
    <r>
      <rPr>
        <sz val="12"/>
        <rFont val="Times New Roman"/>
        <family val="1"/>
      </rPr>
      <t>647</t>
    </r>
    <r>
      <rPr>
        <sz val="12"/>
        <rFont val="標楷體"/>
        <family val="4"/>
        <charset val="136"/>
      </rPr>
      <t>萬人、平均月投保薪資</t>
    </r>
    <r>
      <rPr>
        <sz val="12"/>
        <rFont val="Times New Roman"/>
        <family val="1"/>
      </rPr>
      <t>32,400</t>
    </r>
    <r>
      <rPr>
        <sz val="12"/>
        <rFont val="標楷體"/>
        <family val="4"/>
        <charset val="136"/>
      </rPr>
      <t>元及保險費率</t>
    </r>
    <r>
      <rPr>
        <sz val="12"/>
        <rFont val="Times New Roman"/>
        <family val="1"/>
      </rPr>
      <t>1%</t>
    </r>
    <r>
      <rPr>
        <sz val="12"/>
        <rFont val="標楷體"/>
        <family val="4"/>
        <charset val="136"/>
      </rPr>
      <t>估算。</t>
    </r>
    <phoneticPr fontId="2" type="noConversion"/>
  </si>
  <si>
    <r>
      <rPr>
        <sz val="12"/>
        <rFont val="標楷體"/>
        <family val="4"/>
        <charset val="136"/>
      </rPr>
      <t>詳第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頁保費收入分析表及附表。</t>
    </r>
    <phoneticPr fontId="2" type="noConversion"/>
  </si>
  <si>
    <r>
      <rPr>
        <sz val="12"/>
        <rFont val="標楷體"/>
        <family val="4"/>
        <charset val="136"/>
      </rPr>
      <t>係依投保人數</t>
    </r>
    <r>
      <rPr>
        <sz val="12"/>
        <rFont val="Times New Roman"/>
        <family val="1"/>
      </rPr>
      <t>121</t>
    </r>
    <r>
      <rPr>
        <sz val="12"/>
        <rFont val="標楷體"/>
        <family val="4"/>
        <charset val="136"/>
      </rPr>
      <t>萬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千人、投保薪資</t>
    </r>
    <r>
      <rPr>
        <sz val="12"/>
        <rFont val="Times New Roman"/>
        <family val="1"/>
      </rPr>
      <t>10,200</t>
    </r>
    <r>
      <rPr>
        <sz val="12"/>
        <rFont val="標楷體"/>
        <family val="4"/>
        <charset val="136"/>
      </rPr>
      <t>元及保險費率</t>
    </r>
    <r>
      <rPr>
        <sz val="12"/>
        <rFont val="Times New Roman"/>
        <family val="1"/>
      </rPr>
      <t>2.55%</t>
    </r>
    <r>
      <rPr>
        <sz val="12"/>
        <rFont val="標楷體"/>
        <family val="4"/>
        <charset val="136"/>
      </rPr>
      <t>估算。</t>
    </r>
    <phoneticPr fontId="2" type="noConversion"/>
  </si>
  <si>
    <r>
      <rPr>
        <sz val="18"/>
        <rFont val="標楷體"/>
        <family val="4"/>
        <charset val="136"/>
      </rPr>
      <t>其他業務收入明細表</t>
    </r>
    <phoneticPr fontId="2" type="noConversion"/>
  </si>
  <si>
    <r>
      <rPr>
        <sz val="12"/>
        <rFont val="標楷體"/>
        <family val="4"/>
        <charset val="136"/>
      </rPr>
      <t>本科目勞動部勞工保險局辦理</t>
    </r>
    <r>
      <rPr>
        <sz val="12"/>
        <rFont val="Times New Roman"/>
        <family val="1"/>
      </rPr>
      <t>3,982,252</t>
    </r>
    <r>
      <rPr>
        <sz val="12"/>
        <rFont val="標楷體"/>
        <family val="4"/>
        <charset val="136"/>
      </rPr>
      <t>千元；職業安全衛生署辦理</t>
    </r>
    <r>
      <rPr>
        <sz val="12"/>
        <rFont val="Times New Roman"/>
        <family val="1"/>
      </rPr>
      <t>32,800</t>
    </r>
    <r>
      <rPr>
        <sz val="12"/>
        <rFont val="標楷體"/>
        <family val="4"/>
        <charset val="136"/>
      </rPr>
      <t>千元。</t>
    </r>
    <phoneticPr fontId="2" type="noConversion"/>
  </si>
  <si>
    <r>
      <rPr>
        <sz val="12"/>
        <rFont val="標楷體"/>
        <family val="4"/>
        <charset val="136"/>
      </rPr>
      <t>本項目全數由職業安全衛生署辦理。</t>
    </r>
    <phoneticPr fontId="2" type="noConversion"/>
  </si>
  <si>
    <r>
      <rPr>
        <sz val="12"/>
        <rFont val="標楷體"/>
        <family val="4"/>
        <charset val="136"/>
      </rPr>
      <t>係政府補助未加入勞工保險而遭遇職業災害勞工之各項補助。</t>
    </r>
    <phoneticPr fontId="2" type="noConversion"/>
  </si>
  <si>
    <r>
      <rPr>
        <sz val="12"/>
        <rFont val="標楷體"/>
        <family val="4"/>
        <charset val="136"/>
      </rPr>
      <t>係依職業災害勞工保護法規定所處罰鍰。</t>
    </r>
    <phoneticPr fontId="2" type="noConversion"/>
  </si>
  <si>
    <r>
      <rPr>
        <sz val="18"/>
        <rFont val="標楷體"/>
        <family val="4"/>
        <charset val="136"/>
      </rPr>
      <t>業務外收入明細表</t>
    </r>
    <phoneticPr fontId="2" type="noConversion"/>
  </si>
  <si>
    <r>
      <rPr>
        <sz val="12"/>
        <rFont val="標楷體"/>
        <family val="4"/>
        <charset val="136"/>
      </rPr>
      <t>本科目全數由勞動部勞工保險局辦理。</t>
    </r>
    <phoneticPr fontId="2" type="noConversion"/>
  </si>
  <si>
    <r>
      <rPr>
        <sz val="12"/>
        <rFont val="標楷體"/>
        <family val="4"/>
        <charset val="136"/>
      </rPr>
      <t>係被保險人貸款違約金收入。</t>
    </r>
    <phoneticPr fontId="2" type="noConversion"/>
  </si>
  <si>
    <r>
      <rPr>
        <sz val="12"/>
        <rFont val="標楷體"/>
        <family val="4"/>
        <charset val="136"/>
      </rPr>
      <t>係預估呆帳收回。</t>
    </r>
    <phoneticPr fontId="2" type="noConversion"/>
  </si>
  <si>
    <r>
      <rPr>
        <sz val="12"/>
        <rFont val="標楷體"/>
        <family val="4"/>
        <charset val="136"/>
      </rPr>
      <t>主要係預收保費屆滿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年轉入等收入。</t>
    </r>
    <phoneticPr fontId="2" type="noConversion"/>
  </si>
  <si>
    <r>
      <rPr>
        <sz val="12"/>
        <color indexed="8"/>
        <rFont val="標楷體"/>
        <family val="4"/>
        <charset val="136"/>
      </rPr>
      <t>係退保已久投保單位溢繳之保險費。</t>
    </r>
    <phoneticPr fontId="2" type="noConversion"/>
  </si>
  <si>
    <r>
      <rPr>
        <sz val="18"/>
        <rFont val="標楷體"/>
        <family val="4"/>
        <charset val="136"/>
      </rPr>
      <t>投融資業務成本明細表</t>
    </r>
    <phoneticPr fontId="2" type="noConversion"/>
  </si>
  <si>
    <r>
      <rPr>
        <sz val="12"/>
        <rFont val="標楷體"/>
        <family val="4"/>
        <charset val="136"/>
      </rPr>
      <t>　　　　　　　　　　　　　　</t>
    </r>
    <r>
      <rPr>
        <sz val="12"/>
        <rFont val="Times New Roman"/>
        <family val="1"/>
      </rPr>
      <t xml:space="preserve"> 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年度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　　　單位：新臺幣千元</t>
    </r>
    <phoneticPr fontId="2" type="noConversion"/>
  </si>
  <si>
    <r>
      <rPr>
        <sz val="12"/>
        <rFont val="標楷體"/>
        <family val="4"/>
        <charset val="136"/>
      </rPr>
      <t>前年度決算數</t>
    </r>
  </si>
  <si>
    <r>
      <rPr>
        <sz val="18"/>
        <rFont val="標楷體"/>
        <family val="4"/>
        <charset val="136"/>
      </rPr>
      <t>投融資業務成本說明</t>
    </r>
    <phoneticPr fontId="2" type="noConversion"/>
  </si>
  <si>
    <r>
      <rPr>
        <sz val="14"/>
        <rFont val="標楷體"/>
        <family val="4"/>
        <charset val="136"/>
      </rPr>
      <t>科</t>
    </r>
    <r>
      <rPr>
        <sz val="14"/>
        <rFont val="Times New Roman"/>
        <family val="1"/>
      </rPr>
      <t xml:space="preserve">  </t>
    </r>
    <r>
      <rPr>
        <sz val="14"/>
        <rFont val="標楷體"/>
        <family val="4"/>
        <charset val="136"/>
      </rPr>
      <t>目</t>
    </r>
    <phoneticPr fontId="2" type="noConversion"/>
  </si>
  <si>
    <r>
      <rPr>
        <sz val="14"/>
        <rFont val="標楷體"/>
        <family val="4"/>
        <charset val="136"/>
      </rPr>
      <t>說</t>
    </r>
    <r>
      <rPr>
        <sz val="14"/>
        <rFont val="Times New Roman"/>
        <family val="1"/>
      </rPr>
      <t xml:space="preserve">   </t>
    </r>
    <r>
      <rPr>
        <sz val="14"/>
        <rFont val="標楷體"/>
        <family val="4"/>
        <charset val="136"/>
      </rPr>
      <t>明</t>
    </r>
    <phoneticPr fontId="2" type="noConversion"/>
  </si>
  <si>
    <r>
      <rPr>
        <sz val="12"/>
        <rFont val="標楷體"/>
        <family val="4"/>
        <charset val="136"/>
      </rPr>
      <t>編列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千元，係基金投資之不動產，招租期間之基本水電費等。</t>
    </r>
    <phoneticPr fontId="2" type="noConversion"/>
  </si>
  <si>
    <r>
      <rPr>
        <sz val="12"/>
        <rFont val="標楷體"/>
        <family val="4"/>
        <charset val="136"/>
      </rPr>
      <t>編列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千元，係基金投資之不動產，刊登房屋出租廣告等。</t>
    </r>
    <phoneticPr fontId="2" type="noConversion"/>
  </si>
  <si>
    <r>
      <rPr>
        <sz val="12"/>
        <rFont val="標楷體"/>
        <family val="4"/>
        <charset val="136"/>
      </rPr>
      <t>編列</t>
    </r>
    <r>
      <rPr>
        <sz val="12"/>
        <rFont val="Times New Roman"/>
        <family val="1"/>
      </rPr>
      <t>2,000</t>
    </r>
    <r>
      <rPr>
        <sz val="12"/>
        <rFont val="標楷體"/>
        <family val="4"/>
        <charset val="136"/>
      </rPr>
      <t>千元，係基金投資不動產之房屋修護費用等。</t>
    </r>
    <phoneticPr fontId="2" type="noConversion"/>
  </si>
  <si>
    <r>
      <rPr>
        <sz val="12"/>
        <rFont val="標楷體"/>
        <family val="4"/>
        <charset val="136"/>
      </rPr>
      <t>編列</t>
    </r>
    <r>
      <rPr>
        <sz val="12"/>
        <rFont val="Times New Roman"/>
        <family val="1"/>
      </rPr>
      <t>121</t>
    </r>
    <r>
      <rPr>
        <sz val="12"/>
        <rFont val="標楷體"/>
        <family val="4"/>
        <charset val="136"/>
      </rPr>
      <t>千元，係基金投資不動產之保險費用。</t>
    </r>
    <phoneticPr fontId="2" type="noConversion"/>
  </si>
  <si>
    <r>
      <rPr>
        <sz val="12"/>
        <rFont val="標楷體"/>
        <family val="4"/>
        <charset val="136"/>
      </rPr>
      <t>編列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千元，係基金投資不動產之房屋公證費。</t>
    </r>
    <phoneticPr fontId="2" type="noConversion"/>
  </si>
  <si>
    <r>
      <rPr>
        <sz val="12"/>
        <rFont val="標楷體"/>
        <family val="4"/>
        <charset val="136"/>
      </rPr>
      <t>編列</t>
    </r>
    <r>
      <rPr>
        <sz val="12"/>
        <rFont val="Times New Roman"/>
        <family val="1"/>
      </rPr>
      <t>248</t>
    </r>
    <r>
      <rPr>
        <sz val="12"/>
        <rFont val="標楷體"/>
        <family val="4"/>
        <charset val="136"/>
      </rPr>
      <t>千元，係基金投資不動產之鑑價費用等。</t>
    </r>
    <phoneticPr fontId="2" type="noConversion"/>
  </si>
  <si>
    <r>
      <rPr>
        <sz val="12"/>
        <rFont val="標楷體"/>
        <family val="4"/>
        <charset val="136"/>
      </rPr>
      <t>編列</t>
    </r>
    <r>
      <rPr>
        <sz val="12"/>
        <rFont val="Times New Roman"/>
        <family val="1"/>
      </rPr>
      <t>639</t>
    </r>
    <r>
      <rPr>
        <sz val="12"/>
        <rFont val="標楷體"/>
        <family val="4"/>
        <charset val="136"/>
      </rPr>
      <t>千元，係基金投資不動產之土地地價稅。</t>
    </r>
    <phoneticPr fontId="2" type="noConversion"/>
  </si>
  <si>
    <r>
      <rPr>
        <sz val="12"/>
        <rFont val="標楷體"/>
        <family val="4"/>
        <charset val="136"/>
      </rPr>
      <t>編列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千元，係基金投資之不動產，出租房屋之稅金。</t>
    </r>
    <phoneticPr fontId="2" type="noConversion"/>
  </si>
  <si>
    <r>
      <rPr>
        <sz val="12"/>
        <rFont val="標楷體"/>
        <family val="4"/>
        <charset val="136"/>
      </rPr>
      <t>編列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千元，係基金投資不動產之行政規費。</t>
    </r>
    <phoneticPr fontId="2" type="noConversion"/>
  </si>
  <si>
    <r>
      <rPr>
        <sz val="12"/>
        <rFont val="標楷體"/>
        <family val="4"/>
        <charset val="136"/>
      </rPr>
      <t>編列</t>
    </r>
    <r>
      <rPr>
        <sz val="12"/>
        <rFont val="Times New Roman"/>
        <family val="1"/>
      </rPr>
      <t>17,365</t>
    </r>
    <r>
      <rPr>
        <sz val="12"/>
        <rFont val="標楷體"/>
        <family val="4"/>
        <charset val="136"/>
      </rPr>
      <t>千元，係提列投資取得不動產之折舊，包括預計截至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月底之不動產價值計算房屋折舊</t>
    </r>
    <r>
      <rPr>
        <sz val="12"/>
        <rFont val="Times New Roman"/>
        <family val="1"/>
      </rPr>
      <t>17,325</t>
    </r>
    <r>
      <rPr>
        <sz val="12"/>
        <rFont val="標楷體"/>
        <family val="4"/>
        <charset val="136"/>
      </rPr>
      <t>千元、機械及設備折舊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千元及什項設備折舊</t>
    </r>
    <r>
      <rPr>
        <sz val="12"/>
        <rFont val="Times New Roman"/>
        <family val="1"/>
      </rPr>
      <t>37</t>
    </r>
    <r>
      <rPr>
        <sz val="12"/>
        <rFont val="標楷體"/>
        <family val="4"/>
        <charset val="136"/>
      </rPr>
      <t>千元。</t>
    </r>
    <phoneticPr fontId="2" type="noConversion"/>
  </si>
  <si>
    <r>
      <rPr>
        <sz val="12"/>
        <rFont val="標楷體"/>
        <family val="4"/>
        <charset val="136"/>
      </rPr>
      <t>編列</t>
    </r>
    <r>
      <rPr>
        <sz val="12"/>
        <rFont val="Times New Roman"/>
        <family val="1"/>
      </rPr>
      <t>265</t>
    </r>
    <r>
      <rPr>
        <sz val="12"/>
        <rFont val="標楷體"/>
        <family val="4"/>
        <charset val="136"/>
      </rPr>
      <t>千元，係基金投資不動產之其他費用。</t>
    </r>
    <phoneticPr fontId="2" type="noConversion"/>
  </si>
  <si>
    <r>
      <rPr>
        <sz val="12"/>
        <rFont val="標楷體"/>
        <family val="4"/>
        <charset val="136"/>
      </rPr>
      <t>編列</t>
    </r>
    <r>
      <rPr>
        <sz val="12"/>
        <rFont val="Times New Roman"/>
        <family val="1"/>
      </rPr>
      <t>217</t>
    </r>
    <r>
      <rPr>
        <sz val="12"/>
        <rFont val="標楷體"/>
        <family val="4"/>
        <charset val="136"/>
      </rPr>
      <t>千元，係帳戶維護費。</t>
    </r>
    <phoneticPr fontId="2" type="noConversion"/>
  </si>
  <si>
    <r>
      <rPr>
        <sz val="18"/>
        <rFont val="標楷體"/>
        <family val="4"/>
        <charset val="136"/>
      </rPr>
      <t>其他業務成本說明</t>
    </r>
    <phoneticPr fontId="2" type="noConversion"/>
  </si>
  <si>
    <r>
      <rPr>
        <sz val="12"/>
        <rFont val="標楷體"/>
        <family val="4"/>
        <charset val="136"/>
      </rPr>
      <t>本科目勞動部及所屬單位辦理</t>
    </r>
    <r>
      <rPr>
        <sz val="12"/>
        <rFont val="Times New Roman"/>
        <family val="1"/>
      </rPr>
      <t>2,388,599</t>
    </r>
    <r>
      <rPr>
        <sz val="12"/>
        <rFont val="標楷體"/>
        <family val="4"/>
        <charset val="136"/>
      </rPr>
      <t>千元；勞動部勞工保險局辦理</t>
    </r>
    <r>
      <rPr>
        <sz val="12"/>
        <rFont val="Times New Roman"/>
        <family val="1"/>
      </rPr>
      <t>74,795</t>
    </r>
    <r>
      <rPr>
        <sz val="12"/>
        <rFont val="標楷體"/>
        <family val="4"/>
        <charset val="136"/>
      </rPr>
      <t>千元；職業安全衛生署辦理</t>
    </r>
    <r>
      <rPr>
        <sz val="12"/>
        <rFont val="Times New Roman"/>
        <family val="1"/>
      </rPr>
      <t>46,940</t>
    </r>
    <r>
      <rPr>
        <sz val="12"/>
        <rFont val="標楷體"/>
        <family val="4"/>
        <charset val="136"/>
      </rPr>
      <t>千元。</t>
    </r>
    <phoneticPr fontId="2" type="noConversion"/>
  </si>
  <si>
    <r>
      <rPr>
        <sz val="12"/>
        <rFont val="標楷體"/>
        <family val="4"/>
        <charset val="136"/>
      </rPr>
      <t>編列</t>
    </r>
    <r>
      <rPr>
        <sz val="12"/>
        <rFont val="Times New Roman"/>
        <family val="1"/>
      </rPr>
      <t>2,388,599</t>
    </r>
    <r>
      <rPr>
        <sz val="12"/>
        <rFont val="標楷體"/>
        <family val="4"/>
        <charset val="136"/>
      </rPr>
      <t>千元，由勞動部及所屬單位辦理，係依就業保險法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條第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項規定提撥經費辦理就業保險促進就業業務、適性就業輔導及就業促進計畫、就業諮詢相關業務、被保險人失業後之職業訓練、被保險人之在職訓練、失業者創業協助及其他促進就業措施等業務。</t>
    </r>
    <phoneticPr fontId="2" type="noConversion"/>
  </si>
  <si>
    <r>
      <rPr>
        <sz val="12"/>
        <rFont val="標楷體"/>
        <family val="4"/>
        <charset val="136"/>
      </rPr>
      <t>編列</t>
    </r>
    <r>
      <rPr>
        <sz val="12"/>
        <rFont val="Times New Roman"/>
        <family val="1"/>
      </rPr>
      <t>74,795</t>
    </r>
    <r>
      <rPr>
        <sz val="12"/>
        <rFont val="標楷體"/>
        <family val="4"/>
        <charset val="136"/>
      </rPr>
      <t>千元，由勞動部勞工保險局辦理，係農民健康保險虧損向勞工保險基金貸款之利息支出，預估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年度平均借款金額為</t>
    </r>
    <r>
      <rPr>
        <sz val="12"/>
        <rFont val="Times New Roman"/>
        <family val="1"/>
      </rPr>
      <t>2,876,731</t>
    </r>
    <r>
      <rPr>
        <sz val="12"/>
        <rFont val="標楷體"/>
        <family val="4"/>
        <charset val="136"/>
      </rPr>
      <t>千元，平均借款利率</t>
    </r>
    <r>
      <rPr>
        <sz val="12"/>
        <rFont val="Times New Roman"/>
        <family val="1"/>
      </rPr>
      <t>2.6%</t>
    </r>
    <r>
      <rPr>
        <sz val="12"/>
        <rFont val="標楷體"/>
        <family val="4"/>
        <charset val="136"/>
      </rPr>
      <t>。貸款機關為勞動基金運用局，貸款用途為補足農民健康保險當年度收支不足數。</t>
    </r>
    <phoneticPr fontId="2" type="noConversion"/>
  </si>
  <si>
    <r>
      <rPr>
        <sz val="12"/>
        <rFont val="標楷體"/>
        <family val="4"/>
        <charset val="136"/>
      </rPr>
      <t>編列</t>
    </r>
    <r>
      <rPr>
        <sz val="12"/>
        <rFont val="Times New Roman"/>
        <family val="1"/>
      </rPr>
      <t>46,940</t>
    </r>
    <r>
      <rPr>
        <sz val="12"/>
        <rFont val="標楷體"/>
        <family val="4"/>
        <charset val="136"/>
      </rPr>
      <t>千元，由職業安全衛生署辦理，係政府對未加保勞工而遭遇職業災害者之各項補助，並參考以前年度執行情形核實編列，詳第</t>
    </r>
    <r>
      <rPr>
        <sz val="12"/>
        <rFont val="Times New Roman"/>
        <family val="1"/>
      </rPr>
      <t>61</t>
    </r>
    <r>
      <rPr>
        <sz val="12"/>
        <rFont val="標楷體"/>
        <family val="4"/>
        <charset val="136"/>
      </rPr>
      <t>頁雜項業務成本分析表─職業災害勞工保護。</t>
    </r>
    <phoneticPr fontId="2" type="noConversion"/>
  </si>
  <si>
    <r>
      <rPr>
        <sz val="18"/>
        <rFont val="標楷體"/>
        <family val="4"/>
        <charset val="136"/>
      </rPr>
      <t>其他業務成本明細表</t>
    </r>
    <phoneticPr fontId="2" type="noConversion"/>
  </si>
  <si>
    <r>
      <rPr>
        <sz val="18"/>
        <rFont val="標楷體"/>
        <family val="4"/>
        <charset val="136"/>
      </rPr>
      <t>業務外費用明細表</t>
    </r>
    <phoneticPr fontId="2" type="noConversion"/>
  </si>
  <si>
    <r>
      <rPr>
        <sz val="18"/>
        <rFont val="標楷體"/>
        <family val="4"/>
        <charset val="136"/>
      </rPr>
      <t>業務外費用說明</t>
    </r>
    <phoneticPr fontId="2" type="noConversion"/>
  </si>
  <si>
    <r>
      <rPr>
        <sz val="12"/>
        <rFont val="標楷體"/>
        <family val="4"/>
        <charset val="136"/>
      </rPr>
      <t>編列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千元，係應付保管款滿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年轉雜項收入後再提出申請。</t>
    </r>
    <phoneticPr fontId="2" type="noConversion"/>
  </si>
  <si>
    <r>
      <rPr>
        <sz val="12"/>
        <rFont val="標楷體"/>
        <family val="4"/>
        <charset val="136"/>
      </rPr>
      <t>編列</t>
    </r>
    <r>
      <rPr>
        <sz val="12"/>
        <rFont val="Times New Roman"/>
        <family val="1"/>
      </rPr>
      <t>30</t>
    </r>
    <r>
      <rPr>
        <sz val="12"/>
        <rFont val="標楷體"/>
        <family val="4"/>
        <charset val="136"/>
      </rPr>
      <t>千元，係應付保管款滿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年轉雜項收入後再提出申請。</t>
    </r>
    <phoneticPr fontId="2" type="noConversion"/>
  </si>
  <si>
    <r>
      <rPr>
        <sz val="12"/>
        <rFont val="標楷體"/>
        <family val="4"/>
        <charset val="136"/>
      </rPr>
      <t>前年度</t>
    </r>
    <phoneticPr fontId="2" type="noConversion"/>
  </si>
  <si>
    <r>
      <rPr>
        <sz val="12"/>
        <rFont val="標楷體"/>
        <family val="4"/>
        <charset val="136"/>
      </rPr>
      <t>上年度</t>
    </r>
    <phoneticPr fontId="2" type="noConversion"/>
  </si>
  <si>
    <r>
      <rPr>
        <sz val="12"/>
        <rFont val="標楷體"/>
        <family val="4"/>
        <charset val="136"/>
      </rPr>
      <t>說明</t>
    </r>
    <phoneticPr fontId="2" type="noConversion"/>
  </si>
  <si>
    <r>
      <rPr>
        <sz val="12"/>
        <rFont val="標楷體"/>
        <family val="4"/>
        <charset val="136"/>
      </rPr>
      <t>決算數</t>
    </r>
    <phoneticPr fontId="2" type="noConversion"/>
  </si>
  <si>
    <r>
      <rPr>
        <sz val="18"/>
        <rFont val="標楷體"/>
        <family val="4"/>
        <charset val="136"/>
      </rPr>
      <t>基金數額增減明細表</t>
    </r>
    <phoneticPr fontId="2" type="noConversion"/>
  </si>
  <si>
    <r>
      <rPr>
        <sz val="12"/>
        <rFont val="標楷體"/>
        <family val="4"/>
        <charset val="136"/>
      </rPr>
      <t>金額</t>
    </r>
    <phoneticPr fontId="2" type="noConversion"/>
  </si>
  <si>
    <r>
      <rPr>
        <sz val="12"/>
        <rFont val="標楷體"/>
        <family val="4"/>
        <charset val="136"/>
      </rPr>
      <t>期初基金數額</t>
    </r>
    <phoneticPr fontId="2" type="noConversion"/>
  </si>
  <si>
    <r>
      <rPr>
        <sz val="12"/>
        <rFont val="標楷體"/>
        <family val="4"/>
        <charset val="136"/>
      </rPr>
      <t>　加：</t>
    </r>
    <phoneticPr fontId="2" type="noConversion"/>
  </si>
  <si>
    <r>
      <rPr>
        <sz val="12"/>
        <rFont val="標楷體"/>
        <family val="4"/>
        <charset val="136"/>
      </rPr>
      <t>　　以前年度公積撥充</t>
    </r>
    <phoneticPr fontId="2" type="noConversion"/>
  </si>
  <si>
    <r>
      <rPr>
        <sz val="12"/>
        <rFont val="標楷體"/>
        <family val="4"/>
        <charset val="136"/>
      </rPr>
      <t>　　賸餘撥充</t>
    </r>
    <phoneticPr fontId="2" type="noConversion"/>
  </si>
  <si>
    <r>
      <rPr>
        <sz val="12"/>
        <rFont val="標楷體"/>
        <family val="4"/>
        <charset val="136"/>
      </rPr>
      <t>　　以代管國有財產撥充</t>
    </r>
    <phoneticPr fontId="2" type="noConversion"/>
  </si>
  <si>
    <r>
      <rPr>
        <sz val="12"/>
        <rFont val="標楷體"/>
        <family val="4"/>
        <charset val="136"/>
      </rPr>
      <t>　　國庫增撥數</t>
    </r>
    <phoneticPr fontId="2" type="noConversion"/>
  </si>
  <si>
    <r>
      <rPr>
        <sz val="12"/>
        <rFont val="標楷體"/>
        <family val="4"/>
        <charset val="136"/>
      </rPr>
      <t>　　其他</t>
    </r>
    <phoneticPr fontId="2" type="noConversion"/>
  </si>
  <si>
    <r>
      <rPr>
        <sz val="12"/>
        <rFont val="標楷體"/>
        <family val="4"/>
        <charset val="136"/>
      </rPr>
      <t>　減：</t>
    </r>
    <phoneticPr fontId="2" type="noConversion"/>
  </si>
  <si>
    <r>
      <rPr>
        <sz val="12"/>
        <rFont val="標楷體"/>
        <family val="4"/>
        <charset val="136"/>
      </rPr>
      <t>　　填補短絀</t>
    </r>
    <phoneticPr fontId="2" type="noConversion"/>
  </si>
  <si>
    <r>
      <rPr>
        <sz val="12"/>
        <rFont val="標楷體"/>
        <family val="4"/>
        <charset val="136"/>
      </rPr>
      <t>　　解繳國庫</t>
    </r>
    <phoneticPr fontId="2" type="noConversion"/>
  </si>
  <si>
    <r>
      <rPr>
        <sz val="12"/>
        <rFont val="標楷體"/>
        <family val="4"/>
        <charset val="136"/>
      </rPr>
      <t>期末基金數額</t>
    </r>
    <phoneticPr fontId="2" type="noConversion"/>
  </si>
  <si>
    <r>
      <rPr>
        <sz val="18"/>
        <rFont val="標楷體"/>
        <family val="4"/>
        <charset val="136"/>
      </rPr>
      <t>預計平衡表</t>
    </r>
    <phoneticPr fontId="2" type="noConversion"/>
  </si>
  <si>
    <r>
      <rPr>
        <sz val="12"/>
        <rFont val="標楷體"/>
        <family val="4"/>
        <charset val="136"/>
      </rPr>
      <t>科目</t>
    </r>
    <phoneticPr fontId="2" type="noConversion"/>
  </si>
  <si>
    <r>
      <rPr>
        <b/>
        <sz val="12"/>
        <rFont val="標楷體"/>
        <family val="4"/>
        <charset val="136"/>
      </rPr>
      <t>資產</t>
    </r>
    <phoneticPr fontId="2" type="noConversion"/>
  </si>
  <si>
    <r>
      <rPr>
        <b/>
        <sz val="12"/>
        <rFont val="標楷體"/>
        <family val="4"/>
        <charset val="136"/>
      </rPr>
      <t>流動資產</t>
    </r>
    <phoneticPr fontId="2" type="noConversion"/>
  </si>
  <si>
    <r>
      <rPr>
        <sz val="12"/>
        <rFont val="標楷體"/>
        <family val="4"/>
        <charset val="136"/>
      </rPr>
      <t>　現金</t>
    </r>
    <phoneticPr fontId="2" type="noConversion"/>
  </si>
  <si>
    <r>
      <rPr>
        <sz val="12"/>
        <rFont val="標楷體"/>
        <family val="4"/>
        <charset val="136"/>
      </rPr>
      <t>　流動金融資產</t>
    </r>
    <phoneticPr fontId="2" type="noConversion"/>
  </si>
  <si>
    <r>
      <rPr>
        <sz val="12"/>
        <rFont val="標楷體"/>
        <family val="4"/>
        <charset val="136"/>
      </rPr>
      <t>　應收款項</t>
    </r>
    <phoneticPr fontId="2" type="noConversion"/>
  </si>
  <si>
    <r>
      <rPr>
        <sz val="12"/>
        <rFont val="標楷體"/>
        <family val="4"/>
        <charset val="136"/>
      </rPr>
      <t>　預付款項</t>
    </r>
    <phoneticPr fontId="2" type="noConversion"/>
  </si>
  <si>
    <r>
      <rPr>
        <sz val="12"/>
        <rFont val="標楷體"/>
        <family val="4"/>
        <charset val="136"/>
      </rPr>
      <t>　短期貸墊款</t>
    </r>
    <phoneticPr fontId="2" type="noConversion"/>
  </si>
  <si>
    <r>
      <rPr>
        <b/>
        <sz val="12"/>
        <rFont val="標楷體"/>
        <family val="4"/>
        <charset val="136"/>
      </rPr>
      <t>投資、長期應收款、貸墊款及準備金</t>
    </r>
    <phoneticPr fontId="2" type="noConversion"/>
  </si>
  <si>
    <r>
      <rPr>
        <sz val="12"/>
        <rFont val="標楷體"/>
        <family val="4"/>
        <charset val="136"/>
      </rPr>
      <t>　長期投資</t>
    </r>
    <phoneticPr fontId="2" type="noConversion"/>
  </si>
  <si>
    <r>
      <rPr>
        <sz val="12"/>
        <rFont val="標楷體"/>
        <family val="4"/>
        <charset val="136"/>
      </rPr>
      <t>　長期貸款</t>
    </r>
    <phoneticPr fontId="2" type="noConversion"/>
  </si>
  <si>
    <r>
      <rPr>
        <b/>
        <sz val="12"/>
        <rFont val="標楷體"/>
        <family val="4"/>
        <charset val="136"/>
      </rPr>
      <t>無形資產</t>
    </r>
    <phoneticPr fontId="2" type="noConversion"/>
  </si>
  <si>
    <r>
      <rPr>
        <sz val="12"/>
        <rFont val="標楷體"/>
        <family val="4"/>
        <charset val="136"/>
      </rPr>
      <t>　無形資產</t>
    </r>
    <phoneticPr fontId="2" type="noConversion"/>
  </si>
  <si>
    <r>
      <rPr>
        <b/>
        <sz val="12"/>
        <rFont val="標楷體"/>
        <family val="4"/>
        <charset val="136"/>
      </rPr>
      <t>其他資產</t>
    </r>
    <phoneticPr fontId="2" type="noConversion"/>
  </si>
  <si>
    <r>
      <rPr>
        <sz val="12"/>
        <rFont val="標楷體"/>
        <family val="4"/>
        <charset val="136"/>
      </rPr>
      <t>　非業務資產</t>
    </r>
    <phoneticPr fontId="2" type="noConversion"/>
  </si>
  <si>
    <r>
      <rPr>
        <sz val="12"/>
        <rFont val="標楷體"/>
        <family val="4"/>
        <charset val="136"/>
      </rPr>
      <t>　什項資產</t>
    </r>
    <phoneticPr fontId="2" type="noConversion"/>
  </si>
  <si>
    <r>
      <rPr>
        <b/>
        <sz val="12"/>
        <rFont val="標楷體"/>
        <family val="4"/>
        <charset val="136"/>
      </rPr>
      <t>合計</t>
    </r>
    <phoneticPr fontId="2" type="noConversion"/>
  </si>
  <si>
    <r>
      <rPr>
        <b/>
        <sz val="12"/>
        <rFont val="標楷體"/>
        <family val="4"/>
        <charset val="136"/>
      </rPr>
      <t>負債</t>
    </r>
    <phoneticPr fontId="2" type="noConversion"/>
  </si>
  <si>
    <r>
      <rPr>
        <b/>
        <sz val="12"/>
        <rFont val="標楷體"/>
        <family val="4"/>
        <charset val="136"/>
      </rPr>
      <t>流動負債</t>
    </r>
    <phoneticPr fontId="2" type="noConversion"/>
  </si>
  <si>
    <r>
      <rPr>
        <sz val="12"/>
        <rFont val="標楷體"/>
        <family val="4"/>
        <charset val="136"/>
      </rPr>
      <t>　短期債務</t>
    </r>
    <phoneticPr fontId="2" type="noConversion"/>
  </si>
  <si>
    <r>
      <rPr>
        <sz val="12"/>
        <rFont val="標楷體"/>
        <family val="4"/>
        <charset val="136"/>
      </rPr>
      <t>　應付款項</t>
    </r>
    <phoneticPr fontId="2" type="noConversion"/>
  </si>
  <si>
    <r>
      <rPr>
        <sz val="12"/>
        <rFont val="標楷體"/>
        <family val="4"/>
        <charset val="136"/>
      </rPr>
      <t>　預收款項</t>
    </r>
    <phoneticPr fontId="2" type="noConversion"/>
  </si>
  <si>
    <r>
      <rPr>
        <sz val="12"/>
        <rFont val="標楷體"/>
        <family val="4"/>
        <charset val="136"/>
      </rPr>
      <t>　流動金融負債</t>
    </r>
    <phoneticPr fontId="2" type="noConversion"/>
  </si>
  <si>
    <r>
      <rPr>
        <b/>
        <sz val="12"/>
        <rFont val="標楷體"/>
        <family val="4"/>
        <charset val="136"/>
      </rPr>
      <t>其他負債</t>
    </r>
    <phoneticPr fontId="2" type="noConversion"/>
  </si>
  <si>
    <r>
      <rPr>
        <sz val="12"/>
        <rFont val="標楷體"/>
        <family val="4"/>
        <charset val="136"/>
      </rPr>
      <t>　負債準備</t>
    </r>
    <phoneticPr fontId="2" type="noConversion"/>
  </si>
  <si>
    <r>
      <rPr>
        <sz val="12"/>
        <rFont val="標楷體"/>
        <family val="4"/>
        <charset val="136"/>
      </rPr>
      <t>　什項負債</t>
    </r>
    <phoneticPr fontId="2" type="noConversion"/>
  </si>
  <si>
    <r>
      <rPr>
        <b/>
        <sz val="12"/>
        <rFont val="標楷體"/>
        <family val="4"/>
        <charset val="136"/>
      </rPr>
      <t>淨值</t>
    </r>
    <phoneticPr fontId="2" type="noConversion"/>
  </si>
  <si>
    <r>
      <rPr>
        <b/>
        <sz val="12"/>
        <rFont val="標楷體"/>
        <family val="4"/>
        <charset val="136"/>
      </rPr>
      <t>基金</t>
    </r>
    <phoneticPr fontId="2" type="noConversion"/>
  </si>
  <si>
    <r>
      <rPr>
        <sz val="12"/>
        <rFont val="標楷體"/>
        <family val="4"/>
        <charset val="136"/>
      </rPr>
      <t>　基金</t>
    </r>
    <phoneticPr fontId="2" type="noConversion"/>
  </si>
  <si>
    <r>
      <rPr>
        <b/>
        <sz val="12"/>
        <rFont val="標楷體"/>
        <family val="4"/>
        <charset val="136"/>
      </rPr>
      <t>公積</t>
    </r>
    <phoneticPr fontId="2" type="noConversion"/>
  </si>
  <si>
    <r>
      <rPr>
        <sz val="12"/>
        <rFont val="標楷體"/>
        <family val="4"/>
        <charset val="136"/>
      </rPr>
      <t>　資本公積</t>
    </r>
    <phoneticPr fontId="2" type="noConversion"/>
  </si>
  <si>
    <r>
      <rPr>
        <sz val="12"/>
        <rFont val="標楷體"/>
        <family val="4"/>
        <charset val="136"/>
      </rPr>
      <t>　累積賸餘</t>
    </r>
    <phoneticPr fontId="2" type="noConversion"/>
  </si>
  <si>
    <r>
      <rPr>
        <sz val="12"/>
        <rFont val="標楷體"/>
        <family val="4"/>
        <charset val="136"/>
      </rPr>
      <t>　　　　　　　　　　　　</t>
    </r>
    <r>
      <rPr>
        <sz val="12"/>
        <rFont val="Times New Roman"/>
        <family val="1"/>
      </rPr>
      <t xml:space="preserve">   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31</t>
    </r>
    <r>
      <rPr>
        <sz val="12"/>
        <rFont val="標楷體"/>
        <family val="4"/>
        <charset val="136"/>
      </rPr>
      <t>日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       </t>
    </r>
    <r>
      <rPr>
        <sz val="12"/>
        <rFont val="標楷體"/>
        <family val="4"/>
        <charset val="136"/>
      </rPr>
      <t>　　單位：新臺幣千元</t>
    </r>
    <phoneticPr fontId="2" type="noConversion"/>
  </si>
  <si>
    <r>
      <rPr>
        <sz val="12"/>
        <rFont val="標楷體"/>
        <family val="4"/>
        <charset val="136"/>
      </rPr>
      <t>比較增減</t>
    </r>
    <r>
      <rPr>
        <sz val="12"/>
        <rFont val="Times New Roman"/>
        <family val="1"/>
      </rPr>
      <t>(-)</t>
    </r>
    <phoneticPr fontId="2" type="noConversion"/>
  </si>
  <si>
    <r>
      <rPr>
        <b/>
        <sz val="12"/>
        <rFont val="標楷體"/>
        <family val="4"/>
        <charset val="136"/>
      </rPr>
      <t>累積餘絀</t>
    </r>
    <r>
      <rPr>
        <b/>
        <sz val="12"/>
        <rFont val="Times New Roman"/>
        <family val="1"/>
      </rPr>
      <t>(-)</t>
    </r>
    <phoneticPr fontId="2" type="noConversion"/>
  </si>
  <si>
    <r>
      <rPr>
        <sz val="12"/>
        <rFont val="標楷體"/>
        <family val="4"/>
        <charset val="136"/>
      </rPr>
      <t>　　　　　　　　　　　　　　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年度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 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　單位：新臺幣千元</t>
    </r>
    <phoneticPr fontId="2" type="noConversion"/>
  </si>
  <si>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度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目</t>
    </r>
  </si>
  <si>
    <r>
      <rPr>
        <sz val="12"/>
        <rFont val="標楷體"/>
        <family val="4"/>
        <charset val="136"/>
      </rPr>
      <t>數量</t>
    </r>
    <phoneticPr fontId="2" type="noConversion"/>
  </si>
  <si>
    <r>
      <rPr>
        <sz val="12"/>
        <rFont val="標楷體"/>
        <family val="4"/>
        <charset val="136"/>
      </rPr>
      <t>單位成本
（元）或平
均利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費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率</t>
    </r>
    <phoneticPr fontId="2" type="noConversion"/>
  </si>
  <si>
    <r>
      <rPr>
        <b/>
        <sz val="12"/>
        <rFont val="標楷體"/>
        <family val="4"/>
        <charset val="136"/>
      </rPr>
      <t>本年度預算數</t>
    </r>
  </si>
  <si>
    <r>
      <t xml:space="preserve">  </t>
    </r>
    <r>
      <rPr>
        <sz val="12"/>
        <rFont val="標楷體"/>
        <family val="4"/>
        <charset val="136"/>
      </rPr>
      <t>保險給付</t>
    </r>
    <phoneticPr fontId="2" type="noConversion"/>
  </si>
  <si>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勞工保險</t>
    </r>
    <phoneticPr fontId="2" type="noConversion"/>
  </si>
  <si>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就業保險</t>
    </r>
    <phoneticPr fontId="2" type="noConversion"/>
  </si>
  <si>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農民健康保險</t>
    </r>
    <phoneticPr fontId="2" type="noConversion"/>
  </si>
  <si>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職業災害勞工保護</t>
    </r>
    <phoneticPr fontId="2" type="noConversion"/>
  </si>
  <si>
    <r>
      <rPr>
        <b/>
        <sz val="12"/>
        <rFont val="標楷體"/>
        <family val="4"/>
        <charset val="136"/>
      </rPr>
      <t>上年度預算數</t>
    </r>
    <phoneticPr fontId="2" type="noConversion"/>
  </si>
  <si>
    <r>
      <rPr>
        <b/>
        <sz val="12"/>
        <rFont val="標楷體"/>
        <family val="4"/>
        <charset val="136"/>
      </rPr>
      <t>前年度決算數</t>
    </r>
    <phoneticPr fontId="2" type="noConversion"/>
  </si>
  <si>
    <r>
      <rPr>
        <sz val="18"/>
        <rFont val="標楷體"/>
        <family val="4"/>
        <charset val="136"/>
      </rPr>
      <t>各項費用彙計表</t>
    </r>
    <phoneticPr fontId="2" type="noConversion"/>
  </si>
  <si>
    <r>
      <rPr>
        <sz val="12"/>
        <rFont val="標楷體"/>
        <family val="4"/>
        <charset val="136"/>
      </rPr>
      <t>　　　　　　　　　　　</t>
    </r>
    <r>
      <rPr>
        <sz val="12"/>
        <rFont val="Times New Roman"/>
        <family val="1"/>
      </rPr>
      <t xml:space="preserve">             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年度　</t>
    </r>
    <r>
      <rPr>
        <sz val="12"/>
        <rFont val="Times New Roman"/>
        <family val="1"/>
      </rPr>
      <t xml:space="preserve">                                </t>
    </r>
    <r>
      <rPr>
        <sz val="12"/>
        <rFont val="標楷體"/>
        <family val="4"/>
        <charset val="136"/>
      </rPr>
      <t>單位：新臺幣千元</t>
    </r>
    <phoneticPr fontId="2" type="noConversion"/>
  </si>
  <si>
    <r>
      <rPr>
        <sz val="12"/>
        <rFont val="標楷體"/>
        <family val="4"/>
        <charset val="136"/>
      </rPr>
      <t>科　　　　　　目</t>
    </r>
  </si>
  <si>
    <r>
      <rPr>
        <sz val="12"/>
        <rFont val="標楷體"/>
        <family val="4"/>
        <charset val="136"/>
      </rPr>
      <t>合計</t>
    </r>
    <phoneticPr fontId="2" type="noConversion"/>
  </si>
  <si>
    <r>
      <rPr>
        <sz val="11"/>
        <rFont val="標楷體"/>
        <family val="4"/>
        <charset val="136"/>
      </rPr>
      <t>投融資業
務成本</t>
    </r>
    <phoneticPr fontId="2" type="noConversion"/>
  </si>
  <si>
    <r>
      <rPr>
        <sz val="11"/>
        <rFont val="標楷體"/>
        <family val="4"/>
        <charset val="136"/>
      </rPr>
      <t>保險成本</t>
    </r>
    <phoneticPr fontId="2" type="noConversion"/>
  </si>
  <si>
    <r>
      <rPr>
        <sz val="11"/>
        <rFont val="標楷體"/>
        <family val="4"/>
        <charset val="136"/>
      </rPr>
      <t>其他業
務成本</t>
    </r>
    <phoneticPr fontId="2" type="noConversion"/>
  </si>
  <si>
    <r>
      <rPr>
        <sz val="11"/>
        <rFont val="標楷體"/>
        <family val="4"/>
        <charset val="136"/>
      </rPr>
      <t>其他業務
外費用</t>
    </r>
    <phoneticPr fontId="2" type="noConversion"/>
  </si>
  <si>
    <r>
      <rPr>
        <b/>
        <sz val="11"/>
        <rFont val="標楷體"/>
        <family val="4"/>
        <charset val="136"/>
      </rPr>
      <t>服務費用</t>
    </r>
  </si>
  <si>
    <r>
      <rPr>
        <sz val="11"/>
        <rFont val="標楷體"/>
        <family val="4"/>
        <charset val="136"/>
      </rPr>
      <t>　水電費</t>
    </r>
    <phoneticPr fontId="2" type="noConversion"/>
  </si>
  <si>
    <r>
      <rPr>
        <sz val="11"/>
        <rFont val="標楷體"/>
        <family val="4"/>
        <charset val="136"/>
      </rPr>
      <t>　旅運費</t>
    </r>
    <phoneticPr fontId="2" type="noConversion"/>
  </si>
  <si>
    <r>
      <rPr>
        <sz val="11"/>
        <rFont val="標楷體"/>
        <family val="4"/>
        <charset val="136"/>
      </rPr>
      <t>　印刷裝訂與廣告費</t>
    </r>
    <phoneticPr fontId="2" type="noConversion"/>
  </si>
  <si>
    <r>
      <rPr>
        <sz val="11"/>
        <rFont val="標楷體"/>
        <family val="4"/>
        <charset val="136"/>
      </rPr>
      <t>　修理保養及保固費</t>
    </r>
    <phoneticPr fontId="2" type="noConversion"/>
  </si>
  <si>
    <r>
      <rPr>
        <sz val="11"/>
        <rFont val="標楷體"/>
        <family val="4"/>
        <charset val="136"/>
      </rPr>
      <t>　保險費</t>
    </r>
    <phoneticPr fontId="2" type="noConversion"/>
  </si>
  <si>
    <r>
      <rPr>
        <sz val="11"/>
        <rFont val="標楷體"/>
        <family val="4"/>
        <charset val="136"/>
      </rPr>
      <t>　一般服務費</t>
    </r>
    <phoneticPr fontId="2" type="noConversion"/>
  </si>
  <si>
    <r>
      <rPr>
        <sz val="11"/>
        <rFont val="標楷體"/>
        <family val="4"/>
        <charset val="136"/>
      </rPr>
      <t>　專業服務費</t>
    </r>
    <phoneticPr fontId="2" type="noConversion"/>
  </si>
  <si>
    <r>
      <rPr>
        <b/>
        <sz val="11"/>
        <rFont val="標楷體"/>
        <family val="4"/>
        <charset val="136"/>
      </rPr>
      <t>租金與利息</t>
    </r>
    <phoneticPr fontId="2" type="noConversion"/>
  </si>
  <si>
    <r>
      <rPr>
        <sz val="11"/>
        <rFont val="標楷體"/>
        <family val="4"/>
        <charset val="136"/>
      </rPr>
      <t>　利息</t>
    </r>
    <phoneticPr fontId="2" type="noConversion"/>
  </si>
  <si>
    <r>
      <rPr>
        <b/>
        <sz val="11"/>
        <rFont val="標楷體"/>
        <family val="4"/>
        <charset val="136"/>
      </rPr>
      <t>折舊、折耗及攤銷</t>
    </r>
    <phoneticPr fontId="2" type="noConversion"/>
  </si>
  <si>
    <r>
      <rPr>
        <sz val="11"/>
        <rFont val="標楷體"/>
        <family val="4"/>
        <charset val="136"/>
      </rPr>
      <t>　攤銷</t>
    </r>
    <phoneticPr fontId="2" type="noConversion"/>
  </si>
  <si>
    <r>
      <rPr>
        <b/>
        <sz val="11"/>
        <rFont val="標楷體"/>
        <family val="4"/>
        <charset val="136"/>
      </rPr>
      <t>稅捐與規費</t>
    </r>
    <r>
      <rPr>
        <b/>
        <sz val="11"/>
        <rFont val="Times New Roman"/>
        <family val="1"/>
      </rPr>
      <t>(</t>
    </r>
    <r>
      <rPr>
        <b/>
        <sz val="11"/>
        <rFont val="標楷體"/>
        <family val="4"/>
        <charset val="136"/>
      </rPr>
      <t>強制費</t>
    </r>
    <r>
      <rPr>
        <b/>
        <sz val="11"/>
        <rFont val="Times New Roman"/>
        <family val="1"/>
      </rPr>
      <t>)</t>
    </r>
    <phoneticPr fontId="2" type="noConversion"/>
  </si>
  <si>
    <r>
      <rPr>
        <sz val="11"/>
        <rFont val="標楷體"/>
        <family val="4"/>
        <charset val="136"/>
      </rPr>
      <t>　土地稅</t>
    </r>
    <phoneticPr fontId="2" type="noConversion"/>
  </si>
  <si>
    <r>
      <rPr>
        <sz val="11"/>
        <rFont val="標楷體"/>
        <family val="4"/>
        <charset val="136"/>
      </rPr>
      <t>　房屋稅</t>
    </r>
    <phoneticPr fontId="2" type="noConversion"/>
  </si>
  <si>
    <r>
      <rPr>
        <sz val="11"/>
        <rFont val="標楷體"/>
        <family val="4"/>
        <charset val="136"/>
      </rPr>
      <t>　規費</t>
    </r>
    <phoneticPr fontId="2" type="noConversion"/>
  </si>
  <si>
    <r>
      <rPr>
        <b/>
        <sz val="11"/>
        <rFont val="標楷體"/>
        <family val="4"/>
        <charset val="136"/>
      </rPr>
      <t>短絀、賠償與保險給付</t>
    </r>
    <phoneticPr fontId="2" type="noConversion"/>
  </si>
  <si>
    <r>
      <rPr>
        <sz val="11"/>
        <rFont val="標楷體"/>
        <family val="4"/>
        <charset val="136"/>
      </rPr>
      <t>　各項短絀</t>
    </r>
    <phoneticPr fontId="2" type="noConversion"/>
  </si>
  <si>
    <r>
      <rPr>
        <sz val="11"/>
        <rFont val="標楷體"/>
        <family val="4"/>
        <charset val="136"/>
      </rPr>
      <t>　保險給付</t>
    </r>
    <phoneticPr fontId="2" type="noConversion"/>
  </si>
  <si>
    <r>
      <rPr>
        <sz val="11"/>
        <rFont val="標楷體"/>
        <family val="4"/>
        <charset val="136"/>
      </rPr>
      <t>　提存</t>
    </r>
    <phoneticPr fontId="2" type="noConversion"/>
  </si>
  <si>
    <r>
      <rPr>
        <b/>
        <sz val="11"/>
        <rFont val="標楷體"/>
        <family val="4"/>
        <charset val="136"/>
      </rPr>
      <t>其他</t>
    </r>
    <phoneticPr fontId="2" type="noConversion"/>
  </si>
  <si>
    <r>
      <rPr>
        <sz val="11"/>
        <rFont val="標楷體"/>
        <family val="4"/>
        <charset val="136"/>
      </rPr>
      <t>　其他費用</t>
    </r>
    <phoneticPr fontId="2" type="noConversion"/>
  </si>
  <si>
    <r>
      <rPr>
        <b/>
        <sz val="11"/>
        <rFont val="標楷體"/>
        <family val="4"/>
        <charset val="136"/>
      </rPr>
      <t>總　　　　　計</t>
    </r>
    <phoneticPr fontId="2" type="noConversion"/>
  </si>
  <si>
    <r>
      <rPr>
        <u/>
        <sz val="16"/>
        <rFont val="標楷體"/>
        <family val="4"/>
        <charset val="136"/>
      </rPr>
      <t>勞</t>
    </r>
    <r>
      <rPr>
        <u/>
        <sz val="16"/>
        <rFont val="Times New Roman"/>
        <family val="1"/>
      </rPr>
      <t xml:space="preserve"> </t>
    </r>
    <r>
      <rPr>
        <u/>
        <sz val="16"/>
        <rFont val="標楷體"/>
        <family val="4"/>
        <charset val="136"/>
      </rPr>
      <t>工</t>
    </r>
    <r>
      <rPr>
        <u/>
        <sz val="16"/>
        <rFont val="Times New Roman"/>
        <family val="1"/>
      </rPr>
      <t xml:space="preserve"> </t>
    </r>
    <r>
      <rPr>
        <u/>
        <sz val="16"/>
        <rFont val="標楷體"/>
        <family val="4"/>
        <charset val="136"/>
      </rPr>
      <t>保</t>
    </r>
    <r>
      <rPr>
        <u/>
        <sz val="16"/>
        <rFont val="Times New Roman"/>
        <family val="1"/>
      </rPr>
      <t xml:space="preserve"> </t>
    </r>
    <r>
      <rPr>
        <u/>
        <sz val="16"/>
        <rFont val="標楷體"/>
        <family val="4"/>
        <charset val="136"/>
      </rPr>
      <t>險</t>
    </r>
    <r>
      <rPr>
        <u/>
        <sz val="16"/>
        <rFont val="Times New Roman"/>
        <family val="1"/>
      </rPr>
      <t xml:space="preserve"> </t>
    </r>
    <r>
      <rPr>
        <u/>
        <sz val="16"/>
        <rFont val="標楷體"/>
        <family val="4"/>
        <charset val="136"/>
      </rPr>
      <t>局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作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業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基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金</t>
    </r>
    <phoneticPr fontId="2" type="noConversion"/>
  </si>
  <si>
    <r>
      <t xml:space="preserve">      </t>
    </r>
    <r>
      <rPr>
        <sz val="18"/>
        <rFont val="標楷體"/>
        <family val="4"/>
        <charset val="136"/>
      </rPr>
      <t>各項費用</t>
    </r>
    <r>
      <rPr>
        <sz val="18"/>
        <rFont val="Times New Roman"/>
        <family val="1"/>
      </rPr>
      <t xml:space="preserve"> </t>
    </r>
    <r>
      <rPr>
        <sz val="18"/>
        <rFont val="標楷體"/>
        <family val="4"/>
        <charset val="136"/>
      </rPr>
      <t>彙計表</t>
    </r>
    <phoneticPr fontId="2" type="noConversion"/>
  </si>
  <si>
    <r>
      <t xml:space="preserve">   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  106</t>
    </r>
    <r>
      <rPr>
        <sz val="12"/>
        <rFont val="標楷體"/>
        <family val="4"/>
        <charset val="136"/>
      </rPr>
      <t>年度</t>
    </r>
    <phoneticPr fontId="2" type="noConversion"/>
  </si>
  <si>
    <r>
      <rPr>
        <sz val="12"/>
        <rFont val="標楷體"/>
        <family val="4"/>
        <charset val="136"/>
      </rPr>
      <t>單位：新臺幣千元</t>
    </r>
    <phoneticPr fontId="2" type="noConversion"/>
  </si>
  <si>
    <r>
      <rPr>
        <sz val="12"/>
        <rFont val="標楷體"/>
        <family val="4"/>
        <charset val="136"/>
      </rPr>
      <t>勞動部勞工保險局</t>
    </r>
    <phoneticPr fontId="2" type="noConversion"/>
  </si>
  <si>
    <r>
      <rPr>
        <sz val="12"/>
        <rFont val="標楷體"/>
        <family val="4"/>
        <charset val="136"/>
      </rPr>
      <t>勞動基金運用局</t>
    </r>
    <phoneticPr fontId="2" type="noConversion"/>
  </si>
  <si>
    <r>
      <rPr>
        <sz val="12"/>
        <rFont val="標楷體"/>
        <family val="4"/>
        <charset val="136"/>
      </rPr>
      <t>職業安全衛生署</t>
    </r>
    <phoneticPr fontId="2" type="noConversion"/>
  </si>
  <si>
    <r>
      <rPr>
        <sz val="12"/>
        <rFont val="標楷體"/>
        <family val="4"/>
        <charset val="136"/>
      </rPr>
      <t>勞動部及所屬單位</t>
    </r>
    <phoneticPr fontId="2" type="noConversion"/>
  </si>
  <si>
    <r>
      <rPr>
        <sz val="12"/>
        <rFont val="標楷體"/>
        <family val="4"/>
        <charset val="136"/>
      </rPr>
      <t>小計</t>
    </r>
    <phoneticPr fontId="2" type="noConversion"/>
  </si>
  <si>
    <r>
      <t xml:space="preserve">  </t>
    </r>
    <r>
      <rPr>
        <sz val="11"/>
        <rFont val="標楷體"/>
        <family val="4"/>
        <charset val="136"/>
      </rPr>
      <t>旅運費</t>
    </r>
    <phoneticPr fontId="2" type="noConversion"/>
  </si>
  <si>
    <r>
      <rPr>
        <sz val="18"/>
        <rFont val="標楷體"/>
        <family val="4"/>
        <charset val="136"/>
      </rPr>
      <t>不動產投資收入分析表</t>
    </r>
    <phoneticPr fontId="2" type="noConversion"/>
  </si>
  <si>
    <r>
      <rPr>
        <sz val="12"/>
        <rFont val="標楷體"/>
        <family val="4"/>
        <charset val="136"/>
      </rPr>
      <t>　　　　　　　　　　　　　　</t>
    </r>
    <r>
      <rPr>
        <sz val="12"/>
        <rFont val="Times New Roman"/>
        <family val="1"/>
      </rPr>
      <t xml:space="preserve">  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年度　</t>
    </r>
    <r>
      <rPr>
        <sz val="12"/>
        <rFont val="Times New Roman"/>
        <family val="1"/>
      </rPr>
      <t xml:space="preserve">       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單位：新臺幣千元</t>
    </r>
    <phoneticPr fontId="2" type="noConversion"/>
  </si>
  <si>
    <r>
      <rPr>
        <sz val="12"/>
        <rFont val="標楷體"/>
        <family val="4"/>
        <charset val="136"/>
      </rPr>
      <t>投資名稱</t>
    </r>
    <phoneticPr fontId="2" type="noConversion"/>
  </si>
  <si>
    <r>
      <rPr>
        <sz val="12"/>
        <rFont val="標楷體"/>
        <family val="4"/>
        <charset val="136"/>
      </rPr>
      <t>投資金額</t>
    </r>
    <phoneticPr fontId="19" type="noConversion"/>
  </si>
  <si>
    <r>
      <rPr>
        <sz val="12"/>
        <rFont val="標楷體"/>
        <family val="4"/>
        <charset val="136"/>
      </rPr>
      <t>本年度
收入</t>
    </r>
    <phoneticPr fontId="19" type="noConversion"/>
  </si>
  <si>
    <r>
      <rPr>
        <sz val="12"/>
        <rFont val="標楷體"/>
        <family val="4"/>
        <charset val="136"/>
      </rPr>
      <t>以前年度
已投資額</t>
    </r>
    <phoneticPr fontId="19" type="noConversion"/>
  </si>
  <si>
    <r>
      <rPr>
        <sz val="12"/>
        <rFont val="標楷體"/>
        <family val="4"/>
        <charset val="136"/>
      </rPr>
      <t>本年度擬
投資金額</t>
    </r>
    <phoneticPr fontId="19" type="noConversion"/>
  </si>
  <si>
    <r>
      <rPr>
        <sz val="12"/>
        <rFont val="標楷體"/>
        <family val="4"/>
        <charset val="136"/>
      </rPr>
      <t>合計</t>
    </r>
    <phoneticPr fontId="19" type="noConversion"/>
  </si>
  <si>
    <r>
      <rPr>
        <b/>
        <sz val="12"/>
        <rFont val="標楷體"/>
        <family val="4"/>
        <charset val="136"/>
      </rPr>
      <t>不動產投資收入</t>
    </r>
    <phoneticPr fontId="19" type="noConversion"/>
  </si>
  <si>
    <r>
      <rPr>
        <sz val="12"/>
        <rFont val="標楷體"/>
        <family val="4"/>
        <charset val="136"/>
      </rPr>
      <t>台北市羅斯福路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段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號、南海路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9</t>
    </r>
    <r>
      <rPr>
        <sz val="12"/>
        <rFont val="標楷體"/>
        <family val="4"/>
        <charset val="136"/>
      </rPr>
      <t>樓</t>
    </r>
    <phoneticPr fontId="19" type="noConversion"/>
  </si>
  <si>
    <r>
      <rPr>
        <sz val="12"/>
        <rFont val="標楷體"/>
        <family val="4"/>
        <charset val="136"/>
      </rPr>
      <t>台北市南昌路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段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停車場</t>
    </r>
    <r>
      <rPr>
        <sz val="12"/>
        <rFont val="Times New Roman"/>
        <family val="1"/>
      </rPr>
      <t>)</t>
    </r>
    <phoneticPr fontId="19" type="noConversion"/>
  </si>
  <si>
    <r>
      <rPr>
        <sz val="12"/>
        <rFont val="標楷體"/>
        <family val="4"/>
        <charset val="136"/>
      </rPr>
      <t>台北市濟南路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段</t>
    </r>
    <r>
      <rPr>
        <sz val="12"/>
        <rFont val="Times New Roman"/>
        <family val="1"/>
      </rPr>
      <t>42</t>
    </r>
    <r>
      <rPr>
        <sz val="12"/>
        <rFont val="標楷體"/>
        <family val="4"/>
        <charset val="136"/>
      </rPr>
      <t>號</t>
    </r>
    <phoneticPr fontId="19" type="noConversion"/>
  </si>
  <si>
    <r>
      <rPr>
        <sz val="12"/>
        <rFont val="標楷體"/>
        <family val="4"/>
        <charset val="136"/>
      </rPr>
      <t>台北市興隆路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段</t>
    </r>
    <r>
      <rPr>
        <sz val="12"/>
        <rFont val="Times New Roman"/>
        <family val="1"/>
      </rPr>
      <t>304</t>
    </r>
    <r>
      <rPr>
        <sz val="12"/>
        <rFont val="標楷體"/>
        <family val="4"/>
        <charset val="136"/>
      </rPr>
      <t>巷</t>
    </r>
    <r>
      <rPr>
        <sz val="12"/>
        <rFont val="Times New Roman"/>
        <family val="1"/>
      </rPr>
      <t>27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27-1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31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33</t>
    </r>
    <r>
      <rPr>
        <sz val="12"/>
        <rFont val="標楷體"/>
        <family val="4"/>
        <charset val="136"/>
      </rPr>
      <t>號</t>
    </r>
    <phoneticPr fontId="19" type="noConversion"/>
  </si>
  <si>
    <r>
      <rPr>
        <sz val="12"/>
        <rFont val="標楷體"/>
        <family val="4"/>
        <charset val="136"/>
      </rPr>
      <t>宜蘭市和睦路</t>
    </r>
    <r>
      <rPr>
        <sz val="12"/>
        <rFont val="Times New Roman"/>
        <family val="1"/>
      </rPr>
      <t>1-10</t>
    </r>
    <r>
      <rPr>
        <sz val="12"/>
        <rFont val="標楷體"/>
        <family val="4"/>
        <charset val="136"/>
      </rPr>
      <t>號</t>
    </r>
    <phoneticPr fontId="19" type="noConversion"/>
  </si>
  <si>
    <r>
      <rPr>
        <sz val="12"/>
        <rFont val="標楷體"/>
        <family val="4"/>
        <charset val="136"/>
      </rPr>
      <t>澎湖縣馬公市三民路</t>
    </r>
    <r>
      <rPr>
        <sz val="12"/>
        <rFont val="Times New Roman"/>
        <family val="1"/>
      </rPr>
      <t>36</t>
    </r>
    <r>
      <rPr>
        <sz val="12"/>
        <rFont val="標楷體"/>
        <family val="4"/>
        <charset val="136"/>
      </rPr>
      <t>號</t>
    </r>
    <phoneticPr fontId="19" type="noConversion"/>
  </si>
  <si>
    <r>
      <rPr>
        <sz val="12"/>
        <rFont val="標楷體"/>
        <family val="4"/>
        <charset val="136"/>
      </rPr>
      <t>花蓮市自由街</t>
    </r>
    <r>
      <rPr>
        <sz val="12"/>
        <rFont val="Times New Roman"/>
        <family val="1"/>
      </rPr>
      <t>140</t>
    </r>
    <r>
      <rPr>
        <sz val="12"/>
        <rFont val="標楷體"/>
        <family val="4"/>
        <charset val="136"/>
      </rPr>
      <t>號</t>
    </r>
    <phoneticPr fontId="19" type="noConversion"/>
  </si>
  <si>
    <r>
      <rPr>
        <sz val="12"/>
        <rFont val="標楷體"/>
        <family val="4"/>
        <charset val="136"/>
      </rPr>
      <t>台北市杭州南路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段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巷</t>
    </r>
    <r>
      <rPr>
        <sz val="12"/>
        <rFont val="Times New Roman"/>
        <family val="1"/>
      </rPr>
      <t>13-1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13-2</t>
    </r>
    <r>
      <rPr>
        <sz val="12"/>
        <rFont val="標楷體"/>
        <family val="4"/>
        <charset val="136"/>
      </rPr>
      <t>號</t>
    </r>
    <phoneticPr fontId="19" type="noConversion"/>
  </si>
  <si>
    <r>
      <rPr>
        <sz val="12"/>
        <rFont val="標楷體"/>
        <family val="4"/>
        <charset val="136"/>
      </rPr>
      <t>台北市中山區正義段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小段</t>
    </r>
    <r>
      <rPr>
        <sz val="12"/>
        <rFont val="Times New Roman"/>
        <family val="1"/>
      </rPr>
      <t>217</t>
    </r>
    <r>
      <rPr>
        <sz val="12"/>
        <rFont val="標楷體"/>
        <family val="4"/>
        <charset val="136"/>
      </rPr>
      <t>地號</t>
    </r>
    <phoneticPr fontId="19" type="noConversion"/>
  </si>
  <si>
    <r>
      <rPr>
        <sz val="12"/>
        <rFont val="標楷體"/>
        <family val="4"/>
        <charset val="136"/>
      </rPr>
      <t>台北市大安區懷生段四小段</t>
    </r>
    <r>
      <rPr>
        <sz val="12"/>
        <rFont val="Times New Roman"/>
        <family val="1"/>
      </rPr>
      <t>350</t>
    </r>
    <r>
      <rPr>
        <sz val="12"/>
        <rFont val="標楷體"/>
        <family val="4"/>
        <charset val="136"/>
      </rPr>
      <t>地號</t>
    </r>
    <phoneticPr fontId="19" type="noConversion"/>
  </si>
  <si>
    <r>
      <rPr>
        <sz val="12"/>
        <rFont val="標楷體"/>
        <family val="4"/>
        <charset val="136"/>
      </rPr>
      <t>台北市中正區河堤段四小段</t>
    </r>
    <r>
      <rPr>
        <sz val="12"/>
        <rFont val="Times New Roman"/>
        <family val="1"/>
      </rPr>
      <t>(96-1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96-2</t>
    </r>
    <r>
      <rPr>
        <sz val="12"/>
        <rFont val="標楷體"/>
        <family val="4"/>
        <charset val="136"/>
      </rPr>
      <t>地號</t>
    </r>
    <r>
      <rPr>
        <sz val="12"/>
        <rFont val="Times New Roman"/>
        <family val="1"/>
      </rPr>
      <t>)</t>
    </r>
    <phoneticPr fontId="19" type="noConversion"/>
  </si>
  <si>
    <r>
      <rPr>
        <sz val="12"/>
        <rFont val="標楷體"/>
        <family val="4"/>
        <charset val="136"/>
      </rPr>
      <t>台北市中正區成功段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小段</t>
    </r>
    <r>
      <rPr>
        <sz val="12"/>
        <rFont val="Times New Roman"/>
        <family val="1"/>
      </rPr>
      <t>10-1</t>
    </r>
    <r>
      <rPr>
        <sz val="12"/>
        <rFont val="標楷體"/>
        <family val="4"/>
        <charset val="136"/>
      </rPr>
      <t>等地號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原希望廣場</t>
    </r>
    <r>
      <rPr>
        <sz val="12"/>
        <rFont val="Times New Roman"/>
        <family val="1"/>
      </rPr>
      <t>)</t>
    </r>
    <phoneticPr fontId="19" type="noConversion"/>
  </si>
  <si>
    <r>
      <rPr>
        <sz val="18"/>
        <rFont val="標楷體"/>
        <family val="4"/>
        <charset val="136"/>
      </rPr>
      <t>保費收入分析表</t>
    </r>
    <phoneticPr fontId="2" type="noConversion"/>
  </si>
  <si>
    <r>
      <rPr>
        <sz val="12"/>
        <rFont val="標楷體"/>
        <family val="4"/>
        <charset val="136"/>
      </rPr>
      <t>　　　　　　　　　　　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年度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　　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單位：新臺幣千元</t>
    </r>
    <phoneticPr fontId="2" type="noConversion"/>
  </si>
  <si>
    <r>
      <rPr>
        <sz val="11.5"/>
        <rFont val="標楷體"/>
        <family val="4"/>
        <charset val="136"/>
      </rPr>
      <t xml:space="preserve">投保人數
</t>
    </r>
    <r>
      <rPr>
        <sz val="11.5"/>
        <rFont val="Times New Roman"/>
        <family val="1"/>
      </rPr>
      <t>(</t>
    </r>
    <r>
      <rPr>
        <sz val="11.5"/>
        <rFont val="標楷體"/>
        <family val="4"/>
        <charset val="136"/>
      </rPr>
      <t>人</t>
    </r>
    <r>
      <rPr>
        <sz val="11.5"/>
        <rFont val="Times New Roman"/>
        <family val="1"/>
      </rPr>
      <t>)</t>
    </r>
    <phoneticPr fontId="2" type="noConversion"/>
  </si>
  <si>
    <r>
      <rPr>
        <sz val="11.5"/>
        <rFont val="標楷體"/>
        <family val="4"/>
        <charset val="136"/>
      </rPr>
      <t>平均月投保
薪資</t>
    </r>
    <r>
      <rPr>
        <sz val="11.5"/>
        <rFont val="Times New Roman"/>
        <family val="1"/>
      </rPr>
      <t xml:space="preserve"> (</t>
    </r>
    <r>
      <rPr>
        <sz val="11.5"/>
        <rFont val="標楷體"/>
        <family val="4"/>
        <charset val="136"/>
      </rPr>
      <t>元</t>
    </r>
    <r>
      <rPr>
        <sz val="11.5"/>
        <rFont val="Times New Roman"/>
        <family val="1"/>
      </rPr>
      <t>)</t>
    </r>
    <phoneticPr fontId="2" type="noConversion"/>
  </si>
  <si>
    <r>
      <rPr>
        <sz val="11.5"/>
        <rFont val="標楷體"/>
        <family val="4"/>
        <charset val="136"/>
      </rPr>
      <t xml:space="preserve">保險費率
</t>
    </r>
    <r>
      <rPr>
        <sz val="11.5"/>
        <rFont val="Times New Roman"/>
        <family val="1"/>
      </rPr>
      <t>(%)</t>
    </r>
    <phoneticPr fontId="2" type="noConversion"/>
  </si>
  <si>
    <r>
      <rPr>
        <sz val="11.5"/>
        <rFont val="標楷體"/>
        <family val="4"/>
        <charset val="136"/>
      </rPr>
      <t>金額</t>
    </r>
    <phoneticPr fontId="2" type="noConversion"/>
  </si>
  <si>
    <r>
      <rPr>
        <sz val="12"/>
        <rFont val="標楷體"/>
        <family val="4"/>
        <charset val="136"/>
      </rPr>
      <t>係參酌歷年統計資料及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歲至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歲主要勞動人口由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年將開始縮減，另考量積極辦理輔導加保作業及近年來因景氣走緩，請領老年給付之退保人數亦趨緩等因素編列。</t>
    </r>
    <phoneticPr fontId="2" type="noConversion"/>
  </si>
  <si>
    <r>
      <rPr>
        <sz val="12"/>
        <rFont val="標楷體"/>
        <family val="4"/>
        <charset val="136"/>
      </rPr>
      <t>平均月投保薪資係參酌歷年統計資料編列。</t>
    </r>
    <phoneticPr fontId="2" type="noConversion"/>
  </si>
  <si>
    <r>
      <rPr>
        <sz val="12"/>
        <rFont val="標楷體"/>
        <family val="4"/>
        <charset val="136"/>
      </rPr>
      <t>保險費率</t>
    </r>
    <r>
      <rPr>
        <sz val="12"/>
        <rFont val="Times New Roman"/>
        <family val="1"/>
      </rPr>
      <t>9.72%</t>
    </r>
    <r>
      <rPr>
        <sz val="12"/>
        <rFont val="標楷體"/>
        <family val="4"/>
        <charset val="136"/>
      </rPr>
      <t>，包括：</t>
    </r>
    <phoneticPr fontId="2" type="noConversion"/>
  </si>
  <si>
    <r>
      <rPr>
        <sz val="12"/>
        <rFont val="標楷體"/>
        <family val="4"/>
        <charset val="136"/>
      </rPr>
      <t>普通事故保險費率</t>
    </r>
    <r>
      <rPr>
        <sz val="12"/>
        <rFont val="Times New Roman"/>
        <family val="1"/>
      </rPr>
      <t>9.5%</t>
    </r>
    <r>
      <rPr>
        <sz val="12"/>
        <rFont val="標楷體"/>
        <family val="4"/>
        <charset val="136"/>
      </rPr>
      <t>，係依照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年修正施行之勞工保險條例第</t>
    </r>
    <r>
      <rPr>
        <sz val="12"/>
        <rFont val="Times New Roman"/>
        <family val="1"/>
      </rPr>
      <t>13</t>
    </r>
    <r>
      <rPr>
        <sz val="12"/>
        <rFont val="標楷體"/>
        <family val="4"/>
        <charset val="136"/>
      </rPr>
      <t>條規定，普通事故保險費率於施行後第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年調高</t>
    </r>
    <r>
      <rPr>
        <sz val="12"/>
        <rFont val="Times New Roman"/>
        <family val="1"/>
      </rPr>
      <t>0.5%</t>
    </r>
    <r>
      <rPr>
        <sz val="12"/>
        <rFont val="標楷體"/>
        <family val="4"/>
        <charset val="136"/>
      </rPr>
      <t>，其後每年調高</t>
    </r>
    <r>
      <rPr>
        <sz val="12"/>
        <rFont val="Times New Roman"/>
        <family val="1"/>
      </rPr>
      <t>0.5%</t>
    </r>
    <r>
      <rPr>
        <sz val="12"/>
        <rFont val="標楷體"/>
        <family val="4"/>
        <charset val="136"/>
      </rPr>
      <t>至費率為</t>
    </r>
    <r>
      <rPr>
        <sz val="12"/>
        <rFont val="Times New Roman"/>
        <family val="1"/>
      </rPr>
      <t>10%</t>
    </r>
    <r>
      <rPr>
        <sz val="12"/>
        <rFont val="標楷體"/>
        <family val="4"/>
        <charset val="136"/>
      </rPr>
      <t>，並自</t>
    </r>
    <r>
      <rPr>
        <sz val="12"/>
        <rFont val="Times New Roman"/>
        <family val="1"/>
      </rPr>
      <t>10%</t>
    </r>
    <r>
      <rPr>
        <sz val="12"/>
        <rFont val="標楷體"/>
        <family val="4"/>
        <charset val="136"/>
      </rPr>
      <t>當年起，每兩年調高</t>
    </r>
    <r>
      <rPr>
        <sz val="12"/>
        <rFont val="Times New Roman"/>
        <family val="1"/>
      </rPr>
      <t>0.5%</t>
    </r>
    <r>
      <rPr>
        <sz val="12"/>
        <rFont val="標楷體"/>
        <family val="4"/>
        <charset val="136"/>
      </rPr>
      <t>至上限</t>
    </r>
    <r>
      <rPr>
        <sz val="12"/>
        <rFont val="Times New Roman"/>
        <family val="1"/>
      </rPr>
      <t>13%(</t>
    </r>
    <r>
      <rPr>
        <sz val="12"/>
        <rFont val="標楷體"/>
        <family val="4"/>
        <charset val="136"/>
      </rPr>
      <t>依就業保險法第</t>
    </r>
    <r>
      <rPr>
        <sz val="12"/>
        <rFont val="Times New Roman"/>
        <family val="1"/>
      </rPr>
      <t>41</t>
    </r>
    <r>
      <rPr>
        <sz val="12"/>
        <rFont val="標楷體"/>
        <family val="4"/>
        <charset val="136"/>
      </rPr>
      <t>條規定，勞工保險普通事故保險費率</t>
    </r>
    <r>
      <rPr>
        <sz val="12"/>
        <rFont val="Times New Roman"/>
        <family val="1"/>
      </rPr>
      <t>1%</t>
    </r>
    <r>
      <rPr>
        <sz val="12"/>
        <rFont val="標楷體"/>
        <family val="4"/>
        <charset val="136"/>
      </rPr>
      <t>移作就業保險之費率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編列。
</t>
    </r>
    <r>
      <rPr>
        <sz val="12"/>
        <rFont val="Times New Roman"/>
        <family val="1"/>
      </rPr>
      <t xml:space="preserve"> </t>
    </r>
    <phoneticPr fontId="2" type="noConversion"/>
  </si>
  <si>
    <r>
      <rPr>
        <sz val="12"/>
        <rFont val="標楷體"/>
        <family val="4"/>
        <charset val="136"/>
      </rPr>
      <t>職業災害平均費率</t>
    </r>
    <r>
      <rPr>
        <sz val="12"/>
        <rFont val="Times New Roman"/>
        <family val="1"/>
      </rPr>
      <t>0.22%</t>
    </r>
    <r>
      <rPr>
        <sz val="12"/>
        <rFont val="標楷體"/>
        <family val="4"/>
        <charset val="136"/>
      </rPr>
      <t>。</t>
    </r>
    <phoneticPr fontId="2" type="noConversion"/>
  </si>
  <si>
    <r>
      <rPr>
        <sz val="12"/>
        <rFont val="標楷體"/>
        <family val="4"/>
        <charset val="136"/>
      </rPr>
      <t>投保人數係參酌歷年統計資料就保人數均逐年穩定成長因素編列。</t>
    </r>
    <phoneticPr fontId="2" type="noConversion"/>
  </si>
  <si>
    <r>
      <rPr>
        <sz val="12"/>
        <rFont val="標楷體"/>
        <family val="4"/>
        <charset val="136"/>
      </rPr>
      <t>考量農保被保險人年齡層老化，申領農保重度身心障礙給付及喪葬津貼經本局逕予退保人數增加，暨主管機關要求基層農會及本局積極清查農保被保險人加保資格，致農保退保人數增加，使農保投保總人數逐年下降等因素編列。</t>
    </r>
    <phoneticPr fontId="2" type="noConversion"/>
  </si>
  <si>
    <r>
      <rPr>
        <sz val="18"/>
        <rFont val="標楷體"/>
        <family val="4"/>
        <charset val="136"/>
      </rPr>
      <t>保費收入分析表</t>
    </r>
    <r>
      <rPr>
        <sz val="18"/>
        <rFont val="Times New Roman"/>
        <family val="1"/>
      </rPr>
      <t>(</t>
    </r>
    <r>
      <rPr>
        <sz val="18"/>
        <rFont val="標楷體"/>
        <family val="4"/>
        <charset val="136"/>
      </rPr>
      <t>附表</t>
    </r>
    <r>
      <rPr>
        <sz val="18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</si>
  <si>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　　　　　　　　　　　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年度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   </t>
    </r>
    <r>
      <rPr>
        <sz val="12"/>
        <rFont val="標楷體"/>
        <family val="4"/>
        <charset val="136"/>
      </rPr>
      <t>　　　　單位：新臺幣千元</t>
    </r>
    <phoneticPr fontId="2" type="noConversion"/>
  </si>
  <si>
    <r>
      <rPr>
        <sz val="12"/>
        <rFont val="標楷體"/>
        <family val="4"/>
        <charset val="136"/>
      </rPr>
      <t>普通事故</t>
    </r>
    <r>
      <rPr>
        <sz val="12"/>
        <rFont val="Times New Roman"/>
        <family val="1"/>
      </rPr>
      <t>345,084,992</t>
    </r>
    <r>
      <rPr>
        <sz val="12"/>
        <rFont val="標楷體"/>
        <family val="4"/>
        <charset val="136"/>
      </rPr>
      <t>千元，職業災害</t>
    </r>
    <r>
      <rPr>
        <sz val="12"/>
        <rFont val="Times New Roman"/>
        <family val="1"/>
      </rPr>
      <t>8,104,204</t>
    </r>
    <r>
      <rPr>
        <sz val="12"/>
        <rFont val="標楷體"/>
        <family val="4"/>
        <charset val="136"/>
      </rPr>
      <t>千元。</t>
    </r>
    <phoneticPr fontId="19" type="noConversion"/>
  </si>
  <si>
    <r>
      <rPr>
        <sz val="12"/>
        <rFont val="標楷體"/>
        <family val="4"/>
        <charset val="136"/>
      </rPr>
      <t>普通事故保險費由被保險人負擔</t>
    </r>
    <r>
      <rPr>
        <sz val="12"/>
        <rFont val="Times New Roman"/>
        <family val="1"/>
      </rPr>
      <t>20%</t>
    </r>
    <r>
      <rPr>
        <sz val="12"/>
        <rFont val="標楷體"/>
        <family val="4"/>
        <charset val="136"/>
      </rPr>
      <t>，投保單位負擔</t>
    </r>
    <r>
      <rPr>
        <sz val="12"/>
        <rFont val="Times New Roman"/>
        <family val="1"/>
      </rPr>
      <t>70%</t>
    </r>
    <r>
      <rPr>
        <sz val="12"/>
        <rFont val="標楷體"/>
        <family val="4"/>
        <charset val="136"/>
      </rPr>
      <t>，政府補助</t>
    </r>
    <r>
      <rPr>
        <sz val="12"/>
        <rFont val="Times New Roman"/>
        <family val="1"/>
      </rPr>
      <t>10%</t>
    </r>
    <r>
      <rPr>
        <sz val="12"/>
        <rFont val="標楷體"/>
        <family val="4"/>
        <charset val="136"/>
      </rPr>
      <t>；職業災害保險費全部由投保單位負擔。</t>
    </r>
  </si>
  <si>
    <r>
      <rPr>
        <sz val="12"/>
        <rFont val="標楷體"/>
        <family val="4"/>
        <charset val="136"/>
      </rPr>
      <t>普通事故及職業災害保險費由被保險人負擔</t>
    </r>
    <r>
      <rPr>
        <sz val="12"/>
        <rFont val="Times New Roman"/>
        <family val="1"/>
      </rPr>
      <t>20%</t>
    </r>
    <r>
      <rPr>
        <sz val="12"/>
        <rFont val="標楷體"/>
        <family val="4"/>
        <charset val="136"/>
      </rPr>
      <t>，政府補助</t>
    </r>
    <r>
      <rPr>
        <sz val="12"/>
        <rFont val="Times New Roman"/>
        <family val="1"/>
      </rPr>
      <t>80%</t>
    </r>
    <r>
      <rPr>
        <sz val="12"/>
        <rFont val="標楷體"/>
        <family val="4"/>
        <charset val="136"/>
      </rPr>
      <t>。</t>
    </r>
    <phoneticPr fontId="19" type="noConversion"/>
  </si>
  <si>
    <r>
      <rPr>
        <sz val="12"/>
        <rFont val="標楷體"/>
        <family val="4"/>
        <charset val="136"/>
      </rPr>
      <t>普通事故及職業災害保險費由被保險人負擔</t>
    </r>
    <r>
      <rPr>
        <sz val="12"/>
        <rFont val="Times New Roman"/>
        <family val="1"/>
      </rPr>
      <t>60%</t>
    </r>
    <r>
      <rPr>
        <sz val="12"/>
        <rFont val="標楷體"/>
        <family val="4"/>
        <charset val="136"/>
      </rPr>
      <t>，政府補助</t>
    </r>
    <r>
      <rPr>
        <sz val="12"/>
        <rFont val="Times New Roman"/>
        <family val="1"/>
      </rPr>
      <t>40%</t>
    </r>
    <r>
      <rPr>
        <sz val="12"/>
        <rFont val="標楷體"/>
        <family val="4"/>
        <charset val="136"/>
      </rPr>
      <t>。</t>
    </r>
    <phoneticPr fontId="19" type="noConversion"/>
  </si>
  <si>
    <r>
      <rPr>
        <sz val="12"/>
        <rFont val="標楷體"/>
        <family val="4"/>
        <charset val="136"/>
      </rPr>
      <t>普通事故保險費由被保險人負擔</t>
    </r>
    <r>
      <rPr>
        <sz val="12"/>
        <rFont val="Times New Roman"/>
        <family val="1"/>
      </rPr>
      <t>80%</t>
    </r>
    <r>
      <rPr>
        <sz val="12"/>
        <rFont val="標楷體"/>
        <family val="4"/>
        <charset val="136"/>
      </rPr>
      <t>，政府補助</t>
    </r>
    <r>
      <rPr>
        <sz val="12"/>
        <rFont val="Times New Roman"/>
        <family val="1"/>
      </rPr>
      <t>20%</t>
    </r>
    <r>
      <rPr>
        <sz val="12"/>
        <rFont val="標楷體"/>
        <family val="4"/>
        <charset val="136"/>
      </rPr>
      <t>，無職業災害保險費。</t>
    </r>
    <phoneticPr fontId="19" type="noConversion"/>
  </si>
  <si>
    <r>
      <rPr>
        <sz val="12"/>
        <rFont val="標楷體"/>
        <family val="4"/>
        <charset val="136"/>
      </rPr>
      <t>普通事故及職業災害保險費由被保險人負擔</t>
    </r>
    <r>
      <rPr>
        <sz val="12"/>
        <rFont val="Times New Roman"/>
        <family val="1"/>
      </rPr>
      <t>80%</t>
    </r>
    <r>
      <rPr>
        <sz val="12"/>
        <rFont val="標楷體"/>
        <family val="4"/>
        <charset val="136"/>
      </rPr>
      <t>，政府補助</t>
    </r>
    <r>
      <rPr>
        <sz val="12"/>
        <rFont val="Times New Roman"/>
        <family val="1"/>
      </rPr>
      <t>20%</t>
    </r>
    <r>
      <rPr>
        <sz val="12"/>
        <rFont val="標楷體"/>
        <family val="4"/>
        <charset val="136"/>
      </rPr>
      <t>。</t>
    </r>
    <phoneticPr fontId="19" type="noConversion"/>
  </si>
  <si>
    <r>
      <rPr>
        <sz val="12"/>
        <rFont val="標楷體"/>
        <family val="4"/>
        <charset val="136"/>
      </rPr>
      <t>職業災害勞工醫療期間退保自願繼續加保者，其保險費由被保險人負擔</t>
    </r>
    <r>
      <rPr>
        <sz val="12"/>
        <rFont val="Times New Roman"/>
        <family val="1"/>
      </rPr>
      <t>35%</t>
    </r>
    <r>
      <rPr>
        <sz val="12"/>
        <rFont val="標楷體"/>
        <family val="4"/>
        <charset val="136"/>
      </rPr>
      <t>，職業災害勞工保護法第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條第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項規定之專款補助</t>
    </r>
    <r>
      <rPr>
        <sz val="12"/>
        <rFont val="Times New Roman"/>
        <family val="1"/>
      </rPr>
      <t>65%</t>
    </r>
    <r>
      <rPr>
        <sz val="12"/>
        <rFont val="標楷體"/>
        <family val="4"/>
        <charset val="136"/>
      </rPr>
      <t>。</t>
    </r>
    <phoneticPr fontId="19" type="noConversion"/>
  </si>
  <si>
    <r>
      <rPr>
        <sz val="12"/>
        <rFont val="標楷體"/>
        <family val="4"/>
        <charset val="136"/>
      </rPr>
      <t>職業災害保險費全部由投保單位負擔。</t>
    </r>
    <phoneticPr fontId="19" type="noConversion"/>
  </si>
  <si>
    <r>
      <rPr>
        <sz val="12"/>
        <rFont val="標楷體"/>
        <family val="4"/>
        <charset val="136"/>
      </rPr>
      <t>普通事故保險費由被保險人負擔</t>
    </r>
    <r>
      <rPr>
        <sz val="12"/>
        <rFont val="Times New Roman"/>
        <family val="1"/>
      </rPr>
      <t>20%</t>
    </r>
    <r>
      <rPr>
        <sz val="12"/>
        <rFont val="標楷體"/>
        <family val="4"/>
        <charset val="136"/>
      </rPr>
      <t>，投保單位負擔</t>
    </r>
    <r>
      <rPr>
        <sz val="12"/>
        <rFont val="Times New Roman"/>
        <family val="1"/>
      </rPr>
      <t>70%(</t>
    </r>
    <r>
      <rPr>
        <sz val="12"/>
        <rFont val="標楷體"/>
        <family val="4"/>
        <charset val="136"/>
      </rPr>
      <t>其中依性別工作平等法第</t>
    </r>
    <r>
      <rPr>
        <sz val="12"/>
        <rFont val="Times New Roman"/>
        <family val="1"/>
      </rPr>
      <t>16</t>
    </r>
    <r>
      <rPr>
        <sz val="12"/>
        <rFont val="標楷體"/>
        <family val="4"/>
        <charset val="136"/>
      </rPr>
      <t>條規定，政府補助</t>
    </r>
    <r>
      <rPr>
        <sz val="12"/>
        <rFont val="Times New Roman"/>
        <family val="1"/>
      </rPr>
      <t>1,183,092</t>
    </r>
    <r>
      <rPr>
        <sz val="12"/>
        <rFont val="標楷體"/>
        <family val="4"/>
        <charset val="136"/>
      </rPr>
      <t>千元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，政府補助</t>
    </r>
    <r>
      <rPr>
        <sz val="12"/>
        <rFont val="Times New Roman"/>
        <family val="1"/>
      </rPr>
      <t>10%</t>
    </r>
    <r>
      <rPr>
        <sz val="12"/>
        <rFont val="標楷體"/>
        <family val="4"/>
        <charset val="136"/>
      </rPr>
      <t>。</t>
    </r>
    <phoneticPr fontId="2" type="noConversion"/>
  </si>
  <si>
    <r>
      <rPr>
        <sz val="12"/>
        <rFont val="標楷體"/>
        <family val="4"/>
        <charset val="136"/>
      </rPr>
      <t>扣除政府機關及政府補助後依逾期繳納保費數之</t>
    </r>
    <r>
      <rPr>
        <sz val="12"/>
        <rFont val="Times New Roman"/>
        <family val="1"/>
      </rPr>
      <t>0.1%</t>
    </r>
    <r>
      <rPr>
        <sz val="12"/>
        <rFont val="標楷體"/>
        <family val="4"/>
        <charset val="136"/>
      </rPr>
      <t>，逾期</t>
    </r>
    <r>
      <rPr>
        <sz val="12"/>
        <rFont val="Times New Roman"/>
        <family val="1"/>
      </rPr>
      <t>23</t>
    </r>
    <r>
      <rPr>
        <sz val="12"/>
        <rFont val="標楷體"/>
        <family val="4"/>
        <charset val="136"/>
      </rPr>
      <t>天計列，分列普通事故</t>
    </r>
    <r>
      <rPr>
        <sz val="12"/>
        <rFont val="Times New Roman"/>
        <family val="1"/>
      </rPr>
      <t>247,094</t>
    </r>
    <r>
      <rPr>
        <sz val="12"/>
        <rFont val="標楷體"/>
        <family val="4"/>
        <charset val="136"/>
      </rPr>
      <t>千元，職業災害</t>
    </r>
    <r>
      <rPr>
        <sz val="12"/>
        <rFont val="Times New Roman"/>
        <family val="1"/>
      </rPr>
      <t>6,434</t>
    </r>
    <r>
      <rPr>
        <sz val="12"/>
        <rFont val="標楷體"/>
        <family val="4"/>
        <charset val="136"/>
      </rPr>
      <t>千元。</t>
    </r>
    <phoneticPr fontId="19" type="noConversion"/>
  </si>
  <si>
    <r>
      <rPr>
        <sz val="12"/>
        <rFont val="標楷體"/>
        <family val="4"/>
        <charset val="136"/>
      </rPr>
      <t>保險費由被保險人負擔</t>
    </r>
    <r>
      <rPr>
        <sz val="12"/>
        <rFont val="Times New Roman"/>
        <family val="1"/>
      </rPr>
      <t>20%</t>
    </r>
    <r>
      <rPr>
        <sz val="12"/>
        <rFont val="標楷體"/>
        <family val="4"/>
        <charset val="136"/>
      </rPr>
      <t>，投保單位負擔</t>
    </r>
    <r>
      <rPr>
        <sz val="12"/>
        <rFont val="Times New Roman"/>
        <family val="1"/>
      </rPr>
      <t>70%</t>
    </r>
    <r>
      <rPr>
        <sz val="12"/>
        <rFont val="標楷體"/>
        <family val="4"/>
        <charset val="136"/>
      </rPr>
      <t>，政府補助</t>
    </r>
    <r>
      <rPr>
        <sz val="12"/>
        <rFont val="Times New Roman"/>
        <family val="1"/>
      </rPr>
      <t>10%</t>
    </r>
    <r>
      <rPr>
        <sz val="12"/>
        <rFont val="標楷體"/>
        <family val="4"/>
        <charset val="136"/>
      </rPr>
      <t>。</t>
    </r>
  </si>
  <si>
    <r>
      <rPr>
        <sz val="12"/>
        <rFont val="標楷體"/>
        <family val="4"/>
        <charset val="136"/>
      </rPr>
      <t>保險費由被保險人負擔</t>
    </r>
    <r>
      <rPr>
        <sz val="12"/>
        <rFont val="Times New Roman"/>
        <family val="1"/>
      </rPr>
      <t>20%</t>
    </r>
    <r>
      <rPr>
        <sz val="12"/>
        <rFont val="標楷體"/>
        <family val="4"/>
        <charset val="136"/>
      </rPr>
      <t>，投保單位負擔</t>
    </r>
    <r>
      <rPr>
        <sz val="12"/>
        <rFont val="Times New Roman"/>
        <family val="1"/>
      </rPr>
      <t>70%(</t>
    </r>
    <r>
      <rPr>
        <sz val="12"/>
        <rFont val="標楷體"/>
        <family val="4"/>
        <charset val="136"/>
      </rPr>
      <t>其中依性別工作平等法第</t>
    </r>
    <r>
      <rPr>
        <sz val="12"/>
        <rFont val="Times New Roman"/>
        <family val="1"/>
      </rPr>
      <t>16</t>
    </r>
    <r>
      <rPr>
        <sz val="12"/>
        <rFont val="標楷體"/>
        <family val="4"/>
        <charset val="136"/>
      </rPr>
      <t>條規定，政府補助</t>
    </r>
    <r>
      <rPr>
        <sz val="12"/>
        <rFont val="Times New Roman"/>
        <family val="1"/>
      </rPr>
      <t>124,866</t>
    </r>
    <r>
      <rPr>
        <sz val="12"/>
        <rFont val="標楷體"/>
        <family val="4"/>
        <charset val="136"/>
      </rPr>
      <t>千元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，政府補助</t>
    </r>
    <r>
      <rPr>
        <sz val="12"/>
        <rFont val="Times New Roman"/>
        <family val="1"/>
      </rPr>
      <t>10%</t>
    </r>
    <r>
      <rPr>
        <sz val="12"/>
        <rFont val="標楷體"/>
        <family val="4"/>
        <charset val="136"/>
      </rPr>
      <t>。</t>
    </r>
    <phoneticPr fontId="2" type="noConversion"/>
  </si>
  <si>
    <r>
      <rPr>
        <sz val="12"/>
        <rFont val="標楷體"/>
        <family val="4"/>
        <charset val="136"/>
      </rPr>
      <t>扣除政府機關及政府補助後依逾期繳納保費數之</t>
    </r>
    <r>
      <rPr>
        <sz val="12"/>
        <rFont val="Times New Roman"/>
        <family val="1"/>
      </rPr>
      <t>0.1%</t>
    </r>
    <r>
      <rPr>
        <sz val="12"/>
        <rFont val="標楷體"/>
        <family val="4"/>
        <charset val="136"/>
      </rPr>
      <t>，逾期</t>
    </r>
    <r>
      <rPr>
        <sz val="12"/>
        <rFont val="Times New Roman"/>
        <family val="1"/>
      </rPr>
      <t>23</t>
    </r>
    <r>
      <rPr>
        <sz val="12"/>
        <rFont val="標楷體"/>
        <family val="4"/>
        <charset val="136"/>
      </rPr>
      <t>天計列。</t>
    </r>
    <phoneticPr fontId="19" type="noConversion"/>
  </si>
  <si>
    <r>
      <rPr>
        <sz val="12"/>
        <rFont val="標楷體"/>
        <family val="4"/>
        <charset val="136"/>
      </rPr>
      <t>保險費由被保險人負擔</t>
    </r>
    <r>
      <rPr>
        <sz val="12"/>
        <rFont val="Times New Roman"/>
        <family val="1"/>
      </rPr>
      <t>30%</t>
    </r>
    <r>
      <rPr>
        <sz val="12"/>
        <rFont val="標楷體"/>
        <family val="4"/>
        <charset val="136"/>
      </rPr>
      <t>，政府補助</t>
    </r>
    <r>
      <rPr>
        <sz val="12"/>
        <rFont val="Times New Roman"/>
        <family val="1"/>
      </rPr>
      <t>70%</t>
    </r>
    <r>
      <rPr>
        <sz val="12"/>
        <rFont val="標楷體"/>
        <family val="4"/>
        <charset val="136"/>
      </rPr>
      <t>。</t>
    </r>
  </si>
  <si>
    <r>
      <rPr>
        <sz val="12"/>
        <rFont val="標楷體"/>
        <family val="4"/>
        <charset val="136"/>
      </rPr>
      <t>扣除政府補助後依逾期繳納保費數之</t>
    </r>
    <r>
      <rPr>
        <sz val="12"/>
        <rFont val="Times New Roman"/>
        <family val="1"/>
      </rPr>
      <t>0.2%</t>
    </r>
    <r>
      <rPr>
        <sz val="12"/>
        <rFont val="標楷體"/>
        <family val="4"/>
        <charset val="136"/>
      </rPr>
      <t>，逾期</t>
    </r>
    <r>
      <rPr>
        <sz val="12"/>
        <rFont val="Times New Roman"/>
        <family val="1"/>
      </rPr>
      <t>317</t>
    </r>
    <r>
      <rPr>
        <sz val="12"/>
        <rFont val="標楷體"/>
        <family val="4"/>
        <charset val="136"/>
      </rPr>
      <t>天計列。</t>
    </r>
    <phoneticPr fontId="19" type="noConversion"/>
  </si>
  <si>
    <r>
      <rPr>
        <sz val="18"/>
        <rFont val="標楷體"/>
        <family val="4"/>
        <charset val="136"/>
      </rPr>
      <t>保險給付分析表</t>
    </r>
    <phoneticPr fontId="2" type="noConversion"/>
  </si>
  <si>
    <r>
      <rPr>
        <sz val="12"/>
        <rFont val="標楷體"/>
        <family val="4"/>
        <charset val="136"/>
      </rPr>
      <t>　　　　　　　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　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 xml:space="preserve"> 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年度　</t>
    </r>
    <r>
      <rPr>
        <sz val="12"/>
        <rFont val="Times New Roman"/>
        <family val="1"/>
      </rPr>
      <t xml:space="preserve">                 </t>
    </r>
    <r>
      <rPr>
        <sz val="12"/>
        <rFont val="標楷體"/>
        <family val="4"/>
        <charset val="136"/>
      </rPr>
      <t>　　　　單位：新臺幣千元</t>
    </r>
    <phoneticPr fontId="2" type="noConversion"/>
  </si>
  <si>
    <r>
      <rPr>
        <sz val="12"/>
        <rFont val="標楷體"/>
        <family val="4"/>
        <charset val="136"/>
      </rPr>
      <t>科目及業務項目</t>
    </r>
    <phoneticPr fontId="19" type="noConversion"/>
  </si>
  <si>
    <r>
      <rPr>
        <sz val="10.5"/>
        <rFont val="標楷體"/>
        <family val="4"/>
        <charset val="136"/>
      </rPr>
      <t>人次、人日、件數或給付次數</t>
    </r>
    <phoneticPr fontId="19" type="noConversion"/>
  </si>
  <si>
    <r>
      <rPr>
        <sz val="12"/>
        <rFont val="標楷體"/>
        <family val="4"/>
        <charset val="136"/>
      </rPr>
      <t>每單位金額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（元）</t>
    </r>
    <phoneticPr fontId="19" type="noConversion"/>
  </si>
  <si>
    <r>
      <rPr>
        <sz val="12"/>
        <rFont val="標楷體"/>
        <family val="4"/>
        <charset val="136"/>
      </rPr>
      <t>預算數</t>
    </r>
    <phoneticPr fontId="19" type="noConversion"/>
  </si>
  <si>
    <r>
      <rPr>
        <sz val="12"/>
        <rFont val="標楷體"/>
        <family val="4"/>
        <charset val="136"/>
      </rPr>
      <t>說明</t>
    </r>
    <phoneticPr fontId="19" type="noConversion"/>
  </si>
  <si>
    <r>
      <rPr>
        <sz val="11"/>
        <rFont val="標楷體"/>
        <family val="4"/>
        <charset val="136"/>
      </rPr>
      <t>全年事故率</t>
    </r>
    <r>
      <rPr>
        <sz val="11"/>
        <rFont val="Times New Roman"/>
        <family val="1"/>
      </rPr>
      <t>14.06%</t>
    </r>
    <r>
      <rPr>
        <b/>
        <sz val="6"/>
        <rFont val="Times New Roman"/>
        <family val="1"/>
      </rPr>
      <t>0</t>
    </r>
    <r>
      <rPr>
        <sz val="11"/>
        <rFont val="標楷體"/>
        <family val="4"/>
        <charset val="136"/>
      </rPr>
      <t>。</t>
    </r>
    <phoneticPr fontId="19" type="noConversion"/>
  </si>
  <si>
    <r>
      <rPr>
        <sz val="11"/>
        <rFont val="標楷體"/>
        <family val="4"/>
        <charset val="136"/>
      </rPr>
      <t>全年事故率</t>
    </r>
    <r>
      <rPr>
        <sz val="11"/>
        <rFont val="Times New Roman"/>
        <family val="1"/>
      </rPr>
      <t>14.78%</t>
    </r>
    <r>
      <rPr>
        <b/>
        <sz val="6"/>
        <rFont val="Times New Roman"/>
        <family val="1"/>
      </rPr>
      <t>0</t>
    </r>
    <r>
      <rPr>
        <sz val="11"/>
        <rFont val="標楷體"/>
        <family val="4"/>
        <charset val="136"/>
      </rPr>
      <t>。</t>
    </r>
    <phoneticPr fontId="19" type="noConversion"/>
  </si>
  <si>
    <r>
      <rPr>
        <sz val="11"/>
        <rFont val="標楷體"/>
        <family val="4"/>
        <charset val="136"/>
      </rPr>
      <t>全年事故率</t>
    </r>
    <r>
      <rPr>
        <sz val="11"/>
        <rFont val="Times New Roman"/>
        <family val="1"/>
      </rPr>
      <t>5.52%</t>
    </r>
    <r>
      <rPr>
        <b/>
        <sz val="6"/>
        <rFont val="Times New Roman"/>
        <family val="1"/>
      </rPr>
      <t>0</t>
    </r>
    <r>
      <rPr>
        <sz val="11"/>
        <rFont val="標楷體"/>
        <family val="4"/>
        <charset val="136"/>
      </rPr>
      <t>。</t>
    </r>
    <phoneticPr fontId="19" type="noConversion"/>
  </si>
  <si>
    <r>
      <rPr>
        <sz val="11"/>
        <rFont val="標楷體"/>
        <family val="4"/>
        <charset val="136"/>
      </rPr>
      <t>全年事故率</t>
    </r>
    <r>
      <rPr>
        <sz val="11"/>
        <rFont val="Times New Roman"/>
        <family val="1"/>
      </rPr>
      <t>7.89%</t>
    </r>
    <r>
      <rPr>
        <b/>
        <sz val="6"/>
        <rFont val="Times New Roman"/>
        <family val="1"/>
      </rPr>
      <t>0</t>
    </r>
    <r>
      <rPr>
        <sz val="11"/>
        <rFont val="標楷體"/>
        <family val="4"/>
        <charset val="136"/>
      </rPr>
      <t>。</t>
    </r>
    <phoneticPr fontId="19" type="noConversion"/>
  </si>
  <si>
    <r>
      <rPr>
        <sz val="11"/>
        <rFont val="標楷體"/>
        <family val="4"/>
        <charset val="136"/>
      </rPr>
      <t>全年事故率</t>
    </r>
    <r>
      <rPr>
        <sz val="11"/>
        <rFont val="Times New Roman"/>
        <family val="1"/>
      </rPr>
      <t>1.89%</t>
    </r>
    <r>
      <rPr>
        <b/>
        <sz val="6"/>
        <rFont val="Times New Roman"/>
        <family val="1"/>
      </rPr>
      <t>0</t>
    </r>
    <r>
      <rPr>
        <sz val="11"/>
        <rFont val="標楷體"/>
        <family val="4"/>
        <charset val="136"/>
      </rPr>
      <t>。</t>
    </r>
    <phoneticPr fontId="19" type="noConversion"/>
  </si>
  <si>
    <r>
      <rPr>
        <sz val="11"/>
        <rFont val="標楷體"/>
        <family val="4"/>
        <charset val="136"/>
      </rPr>
      <t>全年事故率</t>
    </r>
    <r>
      <rPr>
        <sz val="11"/>
        <rFont val="Times New Roman"/>
        <family val="1"/>
      </rPr>
      <t>0.31%</t>
    </r>
    <r>
      <rPr>
        <b/>
        <sz val="6"/>
        <rFont val="Times New Roman"/>
        <family val="1"/>
      </rPr>
      <t>0</t>
    </r>
    <r>
      <rPr>
        <sz val="11"/>
        <rFont val="標楷體"/>
        <family val="4"/>
        <charset val="136"/>
      </rPr>
      <t>。</t>
    </r>
    <phoneticPr fontId="19" type="noConversion"/>
  </si>
  <si>
    <r>
      <rPr>
        <sz val="11"/>
        <rFont val="標楷體"/>
        <family val="4"/>
        <charset val="136"/>
      </rPr>
      <t>全年事故率</t>
    </r>
    <r>
      <rPr>
        <sz val="11"/>
        <rFont val="Times New Roman"/>
        <family val="1"/>
      </rPr>
      <t>0.56%</t>
    </r>
    <r>
      <rPr>
        <b/>
        <sz val="6"/>
        <rFont val="Times New Roman"/>
        <family val="1"/>
      </rPr>
      <t>0</t>
    </r>
    <r>
      <rPr>
        <sz val="11"/>
        <rFont val="標楷體"/>
        <family val="4"/>
        <charset val="136"/>
      </rPr>
      <t>。</t>
    </r>
    <phoneticPr fontId="19" type="noConversion"/>
  </si>
  <si>
    <r>
      <rPr>
        <sz val="11"/>
        <rFont val="標楷體"/>
        <family val="4"/>
        <charset val="136"/>
      </rPr>
      <t>全年事故率</t>
    </r>
    <r>
      <rPr>
        <sz val="11"/>
        <rFont val="Times New Roman"/>
        <family val="1"/>
      </rPr>
      <t>7.90%</t>
    </r>
    <r>
      <rPr>
        <b/>
        <sz val="6"/>
        <rFont val="Times New Roman"/>
        <family val="1"/>
      </rPr>
      <t>0</t>
    </r>
    <r>
      <rPr>
        <sz val="11"/>
        <rFont val="標楷體"/>
        <family val="4"/>
        <charset val="136"/>
      </rPr>
      <t>。</t>
    </r>
    <phoneticPr fontId="19" type="noConversion"/>
  </si>
  <si>
    <r>
      <rPr>
        <sz val="11"/>
        <rFont val="標楷體"/>
        <family val="4"/>
        <charset val="136"/>
      </rPr>
      <t>全年事故率</t>
    </r>
    <r>
      <rPr>
        <sz val="11"/>
        <rFont val="Times New Roman"/>
        <family val="1"/>
      </rPr>
      <t>1.91%</t>
    </r>
    <r>
      <rPr>
        <b/>
        <sz val="6"/>
        <rFont val="Times New Roman"/>
        <family val="1"/>
      </rPr>
      <t>0</t>
    </r>
    <r>
      <rPr>
        <sz val="11"/>
        <rFont val="標楷體"/>
        <family val="4"/>
        <charset val="136"/>
      </rPr>
      <t>。</t>
    </r>
    <phoneticPr fontId="19" type="noConversion"/>
  </si>
  <si>
    <r>
      <rPr>
        <sz val="11"/>
        <rFont val="標楷體"/>
        <family val="4"/>
        <charset val="136"/>
      </rPr>
      <t>全年事故率</t>
    </r>
    <r>
      <rPr>
        <sz val="11"/>
        <rFont val="Times New Roman"/>
        <family val="1"/>
      </rPr>
      <t>11.77%</t>
    </r>
    <r>
      <rPr>
        <b/>
        <sz val="6"/>
        <rFont val="Times New Roman"/>
        <family val="1"/>
      </rPr>
      <t>0</t>
    </r>
    <r>
      <rPr>
        <sz val="11"/>
        <rFont val="標楷體"/>
        <family val="4"/>
        <charset val="136"/>
      </rPr>
      <t>。</t>
    </r>
    <phoneticPr fontId="19" type="noConversion"/>
  </si>
  <si>
    <r>
      <rPr>
        <sz val="11"/>
        <rFont val="標楷體"/>
        <family val="4"/>
        <charset val="136"/>
      </rPr>
      <t>全年事故率</t>
    </r>
    <r>
      <rPr>
        <sz val="11"/>
        <rFont val="Times New Roman"/>
        <family val="1"/>
      </rPr>
      <t>1.12%</t>
    </r>
    <r>
      <rPr>
        <b/>
        <sz val="6"/>
        <rFont val="Times New Roman"/>
        <family val="1"/>
      </rPr>
      <t>0</t>
    </r>
    <r>
      <rPr>
        <sz val="11"/>
        <rFont val="標楷體"/>
        <family val="4"/>
        <charset val="136"/>
      </rPr>
      <t>。</t>
    </r>
    <phoneticPr fontId="19" type="noConversion"/>
  </si>
  <si>
    <r>
      <rPr>
        <sz val="11"/>
        <rFont val="標楷體"/>
        <family val="4"/>
        <charset val="136"/>
      </rPr>
      <t>全年事故率</t>
    </r>
    <r>
      <rPr>
        <sz val="11"/>
        <rFont val="Times New Roman"/>
        <family val="1"/>
      </rPr>
      <t>0.06%</t>
    </r>
    <r>
      <rPr>
        <b/>
        <sz val="6"/>
        <rFont val="Times New Roman"/>
        <family val="1"/>
      </rPr>
      <t>0</t>
    </r>
    <r>
      <rPr>
        <sz val="11"/>
        <rFont val="標楷體"/>
        <family val="4"/>
        <charset val="136"/>
      </rPr>
      <t>。</t>
    </r>
    <phoneticPr fontId="19" type="noConversion"/>
  </si>
  <si>
    <r>
      <rPr>
        <sz val="11"/>
        <rFont val="標楷體"/>
        <family val="4"/>
        <charset val="136"/>
      </rPr>
      <t>全年事故率</t>
    </r>
    <r>
      <rPr>
        <sz val="11"/>
        <rFont val="Times New Roman"/>
        <family val="1"/>
      </rPr>
      <t>0.242%</t>
    </r>
    <r>
      <rPr>
        <b/>
        <sz val="6"/>
        <rFont val="Times New Roman"/>
        <family val="1"/>
      </rPr>
      <t>0</t>
    </r>
    <r>
      <rPr>
        <sz val="11"/>
        <rFont val="標楷體"/>
        <family val="4"/>
        <charset val="136"/>
      </rPr>
      <t>。</t>
    </r>
    <phoneticPr fontId="19" type="noConversion"/>
  </si>
  <si>
    <r>
      <rPr>
        <sz val="11"/>
        <rFont val="標楷體"/>
        <family val="4"/>
        <charset val="136"/>
      </rPr>
      <t>全年事故率</t>
    </r>
    <r>
      <rPr>
        <sz val="11"/>
        <rFont val="Times New Roman"/>
        <family val="1"/>
      </rPr>
      <t>0.001%</t>
    </r>
    <r>
      <rPr>
        <b/>
        <sz val="6"/>
        <rFont val="Times New Roman"/>
        <family val="1"/>
      </rPr>
      <t>0</t>
    </r>
    <r>
      <rPr>
        <sz val="11"/>
        <rFont val="標楷體"/>
        <family val="4"/>
        <charset val="136"/>
      </rPr>
      <t>。</t>
    </r>
    <phoneticPr fontId="19" type="noConversion"/>
  </si>
  <si>
    <r>
      <rPr>
        <sz val="11"/>
        <rFont val="標楷體"/>
        <family val="4"/>
        <charset val="136"/>
      </rPr>
      <t>全年事故率</t>
    </r>
    <r>
      <rPr>
        <sz val="11"/>
        <rFont val="Times New Roman"/>
        <family val="1"/>
      </rPr>
      <t>0.01%</t>
    </r>
    <r>
      <rPr>
        <b/>
        <sz val="6"/>
        <rFont val="Times New Roman"/>
        <family val="1"/>
      </rPr>
      <t>0</t>
    </r>
    <r>
      <rPr>
        <sz val="11"/>
        <rFont val="標楷體"/>
        <family val="4"/>
        <charset val="136"/>
      </rPr>
      <t>。</t>
    </r>
    <phoneticPr fontId="19" type="noConversion"/>
  </si>
  <si>
    <r>
      <rPr>
        <sz val="11"/>
        <rFont val="標楷體"/>
        <family val="4"/>
        <charset val="136"/>
      </rPr>
      <t>全年住院率</t>
    </r>
    <r>
      <rPr>
        <sz val="11"/>
        <rFont val="Times New Roman"/>
        <family val="1"/>
      </rPr>
      <t>0.319%</t>
    </r>
    <phoneticPr fontId="19" type="noConversion"/>
  </si>
  <si>
    <r>
      <rPr>
        <sz val="11"/>
        <rFont val="標楷體"/>
        <family val="4"/>
        <charset val="136"/>
      </rPr>
      <t>全年就診率</t>
    </r>
    <r>
      <rPr>
        <sz val="11"/>
        <rFont val="Times New Roman"/>
        <family val="1"/>
      </rPr>
      <t>12.269%</t>
    </r>
    <phoneticPr fontId="19" type="noConversion"/>
  </si>
  <si>
    <r>
      <rPr>
        <sz val="11"/>
        <rFont val="標楷體"/>
        <family val="4"/>
        <charset val="136"/>
      </rPr>
      <t>按檢查類別，預估全年受檢人數。</t>
    </r>
    <phoneticPr fontId="19" type="noConversion"/>
  </si>
  <si>
    <r>
      <rPr>
        <sz val="11"/>
        <rFont val="標楷體"/>
        <family val="4"/>
        <charset val="136"/>
      </rPr>
      <t>投保人數</t>
    </r>
    <r>
      <rPr>
        <sz val="11"/>
        <rFont val="Times New Roman"/>
        <family val="1"/>
      </rPr>
      <t>6,470,000</t>
    </r>
    <r>
      <rPr>
        <sz val="11"/>
        <rFont val="標楷體"/>
        <family val="4"/>
        <charset val="136"/>
      </rPr>
      <t>人。</t>
    </r>
    <phoneticPr fontId="19" type="noConversion"/>
  </si>
  <si>
    <r>
      <rPr>
        <sz val="11"/>
        <rFont val="標楷體"/>
        <family val="4"/>
        <charset val="136"/>
      </rPr>
      <t>全年事故率</t>
    </r>
    <r>
      <rPr>
        <sz val="11"/>
        <rFont val="Times New Roman"/>
        <family val="1"/>
      </rPr>
      <t>11.13%</t>
    </r>
    <r>
      <rPr>
        <b/>
        <sz val="6"/>
        <rFont val="Times New Roman"/>
        <family val="1"/>
      </rPr>
      <t>0</t>
    </r>
    <r>
      <rPr>
        <sz val="11"/>
        <rFont val="標楷體"/>
        <family val="4"/>
        <charset val="136"/>
      </rPr>
      <t>。</t>
    </r>
    <phoneticPr fontId="19" type="noConversion"/>
  </si>
  <si>
    <r>
      <rPr>
        <sz val="11"/>
        <rFont val="標楷體"/>
        <family val="4"/>
        <charset val="136"/>
      </rPr>
      <t>全年事故率</t>
    </r>
    <r>
      <rPr>
        <sz val="11"/>
        <rFont val="Times New Roman"/>
        <family val="1"/>
      </rPr>
      <t>4.71%</t>
    </r>
    <r>
      <rPr>
        <b/>
        <sz val="6"/>
        <rFont val="Times New Roman"/>
        <family val="1"/>
      </rPr>
      <t>0</t>
    </r>
    <r>
      <rPr>
        <sz val="11"/>
        <rFont val="標楷體"/>
        <family val="4"/>
        <charset val="136"/>
      </rPr>
      <t>。</t>
    </r>
    <phoneticPr fontId="19" type="noConversion"/>
  </si>
  <si>
    <r>
      <rPr>
        <sz val="11"/>
        <rFont val="標楷體"/>
        <family val="4"/>
        <charset val="136"/>
      </rPr>
      <t>全年事故率</t>
    </r>
    <r>
      <rPr>
        <sz val="11"/>
        <rFont val="Times New Roman"/>
        <family val="1"/>
      </rPr>
      <t>1.11%</t>
    </r>
    <r>
      <rPr>
        <b/>
        <sz val="6"/>
        <rFont val="Times New Roman"/>
        <family val="1"/>
      </rPr>
      <t>0</t>
    </r>
    <r>
      <rPr>
        <sz val="11"/>
        <rFont val="標楷體"/>
        <family val="4"/>
        <charset val="136"/>
      </rPr>
      <t>。</t>
    </r>
    <phoneticPr fontId="19" type="noConversion"/>
  </si>
  <si>
    <r>
      <rPr>
        <sz val="11"/>
        <rFont val="標楷體"/>
        <family val="4"/>
        <charset val="136"/>
      </rPr>
      <t>全年事故率</t>
    </r>
    <r>
      <rPr>
        <sz val="11"/>
        <rFont val="Times New Roman"/>
        <family val="1"/>
      </rPr>
      <t>13.74%</t>
    </r>
    <r>
      <rPr>
        <b/>
        <sz val="6"/>
        <rFont val="Times New Roman"/>
        <family val="1"/>
      </rPr>
      <t>0</t>
    </r>
    <r>
      <rPr>
        <sz val="11"/>
        <rFont val="標楷體"/>
        <family val="4"/>
        <charset val="136"/>
      </rPr>
      <t>。</t>
    </r>
    <phoneticPr fontId="19" type="noConversion"/>
  </si>
  <si>
    <r>
      <rPr>
        <sz val="11"/>
        <rFont val="標楷體"/>
        <family val="4"/>
        <charset val="136"/>
      </rPr>
      <t>依照「失業被保險人及其眷屬全民健康保險保險費補助辦法」，被保險人及其非自願離職退保當時，隨同被保險人參加全民健康保險之眷屬，於被保險人依就業保險法請領失業給付或職業訓練生活津貼期間，按月補助其參加全民健康保險自付部分之保險費。</t>
    </r>
    <phoneticPr fontId="19" type="noConversion"/>
  </si>
  <si>
    <r>
      <rPr>
        <sz val="11"/>
        <rFont val="標楷體"/>
        <family val="4"/>
        <charset val="136"/>
      </rPr>
      <t>全年預估</t>
    </r>
    <r>
      <rPr>
        <sz val="11"/>
        <rFont val="Times New Roman"/>
        <family val="1"/>
      </rPr>
      <t>1,100</t>
    </r>
    <r>
      <rPr>
        <sz val="11"/>
        <rFont val="標楷體"/>
        <family val="4"/>
        <charset val="136"/>
      </rPr>
      <t>件。</t>
    </r>
    <phoneticPr fontId="19" type="noConversion"/>
  </si>
  <si>
    <r>
      <rPr>
        <sz val="11"/>
        <rFont val="標楷體"/>
        <family val="4"/>
        <charset val="136"/>
      </rPr>
      <t>全年預估</t>
    </r>
    <r>
      <rPr>
        <sz val="11"/>
        <rFont val="Times New Roman"/>
        <family val="1"/>
      </rPr>
      <t>14,500</t>
    </r>
    <r>
      <rPr>
        <sz val="11"/>
        <rFont val="標楷體"/>
        <family val="4"/>
        <charset val="136"/>
      </rPr>
      <t>件。</t>
    </r>
    <phoneticPr fontId="19" type="noConversion"/>
  </si>
  <si>
    <r>
      <rPr>
        <sz val="11"/>
        <rFont val="標楷體"/>
        <family val="4"/>
        <charset val="136"/>
      </rPr>
      <t>全年預估</t>
    </r>
    <r>
      <rPr>
        <sz val="11"/>
        <rFont val="Times New Roman"/>
        <family val="1"/>
      </rPr>
      <t>31,000</t>
    </r>
    <r>
      <rPr>
        <sz val="11"/>
        <rFont val="標楷體"/>
        <family val="4"/>
        <charset val="136"/>
      </rPr>
      <t>件。</t>
    </r>
    <phoneticPr fontId="19" type="noConversion"/>
  </si>
  <si>
    <r>
      <rPr>
        <sz val="11"/>
        <rFont val="標楷體"/>
        <family val="4"/>
        <charset val="136"/>
      </rPr>
      <t>全年預估</t>
    </r>
    <r>
      <rPr>
        <sz val="11"/>
        <rFont val="Times New Roman"/>
        <family val="1"/>
      </rPr>
      <t>180</t>
    </r>
    <r>
      <rPr>
        <sz val="11"/>
        <rFont val="標楷體"/>
        <family val="4"/>
        <charset val="136"/>
      </rPr>
      <t>件。</t>
    </r>
    <phoneticPr fontId="19" type="noConversion"/>
  </si>
  <si>
    <r>
      <rPr>
        <sz val="11"/>
        <rFont val="標楷體"/>
        <family val="4"/>
        <charset val="136"/>
      </rPr>
      <t>全年預估</t>
    </r>
    <r>
      <rPr>
        <sz val="11"/>
        <rFont val="Times New Roman"/>
        <family val="1"/>
      </rPr>
      <t>288</t>
    </r>
    <r>
      <rPr>
        <sz val="11"/>
        <rFont val="標楷體"/>
        <family val="4"/>
        <charset val="136"/>
      </rPr>
      <t>人次。</t>
    </r>
    <phoneticPr fontId="19" type="noConversion"/>
  </si>
  <si>
    <r>
      <rPr>
        <sz val="11"/>
        <rFont val="標楷體"/>
        <family val="4"/>
        <charset val="136"/>
      </rPr>
      <t>全年預估</t>
    </r>
    <r>
      <rPr>
        <sz val="11"/>
        <rFont val="Times New Roman"/>
        <family val="1"/>
      </rPr>
      <t>12</t>
    </r>
    <r>
      <rPr>
        <sz val="11"/>
        <rFont val="標楷體"/>
        <family val="4"/>
        <charset val="136"/>
      </rPr>
      <t>人次。</t>
    </r>
    <phoneticPr fontId="19" type="noConversion"/>
  </si>
  <si>
    <r>
      <rPr>
        <sz val="11"/>
        <rFont val="標楷體"/>
        <family val="4"/>
        <charset val="136"/>
      </rPr>
      <t>全年預估</t>
    </r>
    <r>
      <rPr>
        <sz val="11"/>
        <rFont val="Times New Roman"/>
        <family val="1"/>
      </rPr>
      <t>410</t>
    </r>
    <r>
      <rPr>
        <sz val="11"/>
        <rFont val="標楷體"/>
        <family val="4"/>
        <charset val="136"/>
      </rPr>
      <t>人次。</t>
    </r>
    <phoneticPr fontId="19" type="noConversion"/>
  </si>
  <si>
    <r>
      <rPr>
        <sz val="11"/>
        <rFont val="標楷體"/>
        <family val="4"/>
        <charset val="136"/>
      </rPr>
      <t>全年預估</t>
    </r>
    <r>
      <rPr>
        <sz val="11"/>
        <rFont val="Times New Roman"/>
        <family val="1"/>
      </rPr>
      <t>4,200</t>
    </r>
    <r>
      <rPr>
        <sz val="11"/>
        <rFont val="標楷體"/>
        <family val="4"/>
        <charset val="136"/>
      </rPr>
      <t>人次。</t>
    </r>
    <phoneticPr fontId="19" type="noConversion"/>
  </si>
  <si>
    <r>
      <rPr>
        <sz val="11"/>
        <rFont val="標楷體"/>
        <family val="4"/>
        <charset val="136"/>
      </rPr>
      <t>全年預估</t>
    </r>
    <r>
      <rPr>
        <sz val="11"/>
        <rFont val="Times New Roman"/>
        <family val="1"/>
      </rPr>
      <t>10,000</t>
    </r>
    <r>
      <rPr>
        <sz val="11"/>
        <rFont val="標楷體"/>
        <family val="4"/>
        <charset val="136"/>
      </rPr>
      <t>人次。</t>
    </r>
    <phoneticPr fontId="19" type="noConversion"/>
  </si>
  <si>
    <r>
      <rPr>
        <sz val="11"/>
        <rFont val="標楷體"/>
        <family val="4"/>
        <charset val="136"/>
      </rPr>
      <t>全年預估</t>
    </r>
    <r>
      <rPr>
        <sz val="11"/>
        <rFont val="Times New Roman"/>
        <family val="1"/>
      </rPr>
      <t>24</t>
    </r>
    <r>
      <rPr>
        <sz val="11"/>
        <rFont val="標楷體"/>
        <family val="4"/>
        <charset val="136"/>
      </rPr>
      <t>人次。</t>
    </r>
    <phoneticPr fontId="19" type="noConversion"/>
  </si>
  <si>
    <r>
      <rPr>
        <sz val="11"/>
        <rFont val="標楷體"/>
        <family val="4"/>
        <charset val="136"/>
      </rPr>
      <t>全年預估</t>
    </r>
    <r>
      <rPr>
        <sz val="11"/>
        <rFont val="Times New Roman"/>
        <family val="1"/>
      </rPr>
      <t>4,000</t>
    </r>
    <r>
      <rPr>
        <sz val="11"/>
        <rFont val="標楷體"/>
        <family val="4"/>
        <charset val="136"/>
      </rPr>
      <t>人次。</t>
    </r>
    <phoneticPr fontId="19" type="noConversion"/>
  </si>
  <si>
    <r>
      <rPr>
        <sz val="11"/>
        <rFont val="標楷體"/>
        <family val="4"/>
        <charset val="136"/>
      </rPr>
      <t>全年預估</t>
    </r>
    <r>
      <rPr>
        <sz val="11"/>
        <rFont val="Times New Roman"/>
        <family val="1"/>
      </rPr>
      <t>400</t>
    </r>
    <r>
      <rPr>
        <sz val="11"/>
        <rFont val="標楷體"/>
        <family val="4"/>
        <charset val="136"/>
      </rPr>
      <t>件。</t>
    </r>
    <phoneticPr fontId="19" type="noConversion"/>
  </si>
  <si>
    <r>
      <rPr>
        <sz val="11"/>
        <rFont val="標楷體"/>
        <family val="4"/>
        <charset val="136"/>
      </rPr>
      <t>推動職業衛生危害預防、預防職業病健康檢查資料庫及職業性肌肉骨骼疾病預防等</t>
    </r>
    <r>
      <rPr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項計畫。</t>
    </r>
    <phoneticPr fontId="19" type="noConversion"/>
  </si>
  <si>
    <r>
      <rPr>
        <sz val="11"/>
        <rFont val="標楷體"/>
        <family val="4"/>
        <charset val="136"/>
      </rPr>
      <t>推動化學品管理機制與技術建置、高危害事業單位設置工業通風設施改善、營造業職業災害防治及安全衛生全民監督檢舉等</t>
    </r>
    <r>
      <rPr>
        <sz val="11"/>
        <rFont val="Times New Roman"/>
        <family val="1"/>
      </rPr>
      <t>10</t>
    </r>
    <r>
      <rPr>
        <sz val="11"/>
        <rFont val="標楷體"/>
        <family val="4"/>
        <charset val="136"/>
      </rPr>
      <t>項計畫。</t>
    </r>
    <phoneticPr fontId="19" type="noConversion"/>
  </si>
  <si>
    <r>
      <rPr>
        <sz val="11"/>
        <rFont val="標楷體"/>
        <family val="4"/>
        <charset val="136"/>
      </rPr>
      <t>推動職業安全衛生教育訓練評核與分級管理、安全衛生文化發展、勞工安全衛生多元化展示及職業安全危害預防展示活動等</t>
    </r>
    <r>
      <rPr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項計畫。</t>
    </r>
    <phoneticPr fontId="19" type="noConversion"/>
  </si>
  <si>
    <r>
      <rPr>
        <sz val="11"/>
        <rFont val="標楷體"/>
        <family val="4"/>
        <charset val="136"/>
      </rPr>
      <t>推動中小企業安全衛生設施補助、中小型營造工地檢查輔導改善、高風險事業單位輔導及營造業工作環境及設施輔導改善等</t>
    </r>
    <r>
      <rPr>
        <sz val="11"/>
        <rFont val="Times New Roman"/>
        <family val="1"/>
      </rPr>
      <t>7</t>
    </r>
    <r>
      <rPr>
        <sz val="11"/>
        <rFont val="標楷體"/>
        <family val="4"/>
        <charset val="136"/>
      </rPr>
      <t>項計畫。</t>
    </r>
    <phoneticPr fontId="19" type="noConversion"/>
  </si>
  <si>
    <r>
      <rPr>
        <sz val="11"/>
        <rFont val="標楷體"/>
        <family val="4"/>
        <charset val="136"/>
      </rPr>
      <t>依照職業災害預防補助辦法公告受理申請及補助。</t>
    </r>
    <phoneticPr fontId="19" type="noConversion"/>
  </si>
  <si>
    <r>
      <rPr>
        <sz val="11"/>
        <rFont val="標楷體"/>
        <family val="4"/>
        <charset val="136"/>
      </rPr>
      <t>依照職業災害勞工職業重建補助辦法公告受理申請及補助。</t>
    </r>
    <phoneticPr fontId="19" type="noConversion"/>
  </si>
  <si>
    <r>
      <rPr>
        <sz val="11"/>
        <rFont val="標楷體"/>
        <family val="4"/>
        <charset val="136"/>
      </rPr>
      <t>全年預估</t>
    </r>
    <r>
      <rPr>
        <sz val="11"/>
        <rFont val="Times New Roman"/>
        <family val="1"/>
      </rPr>
      <t>5</t>
    </r>
    <r>
      <rPr>
        <sz val="11"/>
        <rFont val="標楷體"/>
        <family val="4"/>
        <charset val="136"/>
      </rPr>
      <t>件。</t>
    </r>
    <phoneticPr fontId="19" type="noConversion"/>
  </si>
  <si>
    <r>
      <rPr>
        <sz val="11"/>
        <rFont val="標楷體"/>
        <family val="4"/>
        <charset val="136"/>
      </rPr>
      <t>全年預估</t>
    </r>
    <r>
      <rPr>
        <sz val="11"/>
        <rFont val="Times New Roman"/>
        <family val="1"/>
      </rPr>
      <t>4</t>
    </r>
    <r>
      <rPr>
        <sz val="11"/>
        <rFont val="標楷體"/>
        <family val="4"/>
        <charset val="136"/>
      </rPr>
      <t>件。</t>
    </r>
    <phoneticPr fontId="19" type="noConversion"/>
  </si>
  <si>
    <r>
      <rPr>
        <sz val="11"/>
        <rFont val="標楷體"/>
        <family val="4"/>
        <charset val="136"/>
      </rPr>
      <t>全年預估</t>
    </r>
    <r>
      <rPr>
        <sz val="11"/>
        <rFont val="Times New Roman"/>
        <family val="1"/>
      </rPr>
      <t>2</t>
    </r>
    <r>
      <rPr>
        <sz val="11"/>
        <rFont val="標楷體"/>
        <family val="4"/>
        <charset val="136"/>
      </rPr>
      <t>件。</t>
    </r>
    <phoneticPr fontId="19" type="noConversion"/>
  </si>
  <si>
    <r>
      <rPr>
        <sz val="18"/>
        <rFont val="標楷體"/>
        <family val="4"/>
        <charset val="136"/>
      </rPr>
      <t>雜項業務成本分析表─職業災害勞工保護</t>
    </r>
    <phoneticPr fontId="2" type="noConversion"/>
  </si>
  <si>
    <r>
      <rPr>
        <sz val="12"/>
        <rFont val="標楷體"/>
        <family val="4"/>
        <charset val="136"/>
      </rPr>
      <t>　　　　　　　　　　　　　　</t>
    </r>
    <r>
      <rPr>
        <sz val="12"/>
        <rFont val="Times New Roman"/>
        <family val="1"/>
      </rPr>
      <t xml:space="preserve"> 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年度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   </t>
    </r>
    <r>
      <rPr>
        <sz val="12"/>
        <rFont val="標楷體"/>
        <family val="4"/>
        <charset val="136"/>
      </rPr>
      <t>　　　　單位：新臺幣千元</t>
    </r>
    <phoneticPr fontId="2" type="noConversion"/>
  </si>
  <si>
    <r>
      <rPr>
        <b/>
        <sz val="12"/>
        <rFont val="標楷體"/>
        <family val="4"/>
        <charset val="136"/>
      </rPr>
      <t>雜項業務成本─職業災害勞工保護</t>
    </r>
    <phoneticPr fontId="19" type="noConversion"/>
  </si>
  <si>
    <r>
      <rPr>
        <sz val="12"/>
        <rFont val="標楷體"/>
        <family val="4"/>
        <charset val="136"/>
      </rPr>
      <t>全年預估</t>
    </r>
    <r>
      <rPr>
        <sz val="12"/>
        <rFont val="Times New Roman"/>
        <family val="1"/>
      </rPr>
      <t>25</t>
    </r>
    <r>
      <rPr>
        <sz val="12"/>
        <rFont val="標楷體"/>
        <family val="4"/>
        <charset val="136"/>
      </rPr>
      <t>件。</t>
    </r>
    <phoneticPr fontId="19" type="noConversion"/>
  </si>
  <si>
    <r>
      <rPr>
        <sz val="12"/>
        <rFont val="標楷體"/>
        <family val="4"/>
        <charset val="136"/>
      </rPr>
      <t>全年預估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件。</t>
    </r>
    <phoneticPr fontId="19" type="noConversion"/>
  </si>
  <si>
    <r>
      <rPr>
        <sz val="12"/>
        <rFont val="標楷體"/>
        <family val="4"/>
        <charset val="136"/>
      </rPr>
      <t>全年預估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人次。</t>
    </r>
    <phoneticPr fontId="19" type="noConversion"/>
  </si>
  <si>
    <r>
      <rPr>
        <sz val="12"/>
        <rFont val="標楷體"/>
        <family val="4"/>
        <charset val="136"/>
      </rPr>
      <t>全年預估</t>
    </r>
    <r>
      <rPr>
        <sz val="12"/>
        <rFont val="Times New Roman"/>
        <family val="1"/>
      </rPr>
      <t>450</t>
    </r>
    <r>
      <rPr>
        <sz val="12"/>
        <rFont val="標楷體"/>
        <family val="4"/>
        <charset val="136"/>
      </rPr>
      <t>人次。</t>
    </r>
    <phoneticPr fontId="19" type="noConversion"/>
  </si>
  <si>
    <r>
      <rPr>
        <sz val="12"/>
        <rFont val="標楷體"/>
        <family val="4"/>
        <charset val="136"/>
      </rPr>
      <t>全年預估</t>
    </r>
    <r>
      <rPr>
        <sz val="12"/>
        <rFont val="Times New Roman"/>
        <family val="1"/>
      </rPr>
      <t>650</t>
    </r>
    <r>
      <rPr>
        <sz val="12"/>
        <rFont val="標楷體"/>
        <family val="4"/>
        <charset val="136"/>
      </rPr>
      <t>人次。</t>
    </r>
    <phoneticPr fontId="19" type="noConversion"/>
  </si>
  <si>
    <r>
      <rPr>
        <sz val="12"/>
        <rFont val="標楷體"/>
        <family val="4"/>
        <charset val="136"/>
      </rPr>
      <t>全年預估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人次。</t>
    </r>
    <phoneticPr fontId="19" type="noConversion"/>
  </si>
  <si>
    <r>
      <rPr>
        <sz val="12"/>
        <rFont val="標楷體"/>
        <family val="4"/>
        <charset val="136"/>
      </rPr>
      <t>全年預估</t>
    </r>
    <r>
      <rPr>
        <sz val="12"/>
        <rFont val="Times New Roman"/>
        <family val="1"/>
      </rPr>
      <t>13</t>
    </r>
    <r>
      <rPr>
        <sz val="12"/>
        <rFont val="標楷體"/>
        <family val="4"/>
        <charset val="136"/>
      </rPr>
      <t>人次。</t>
    </r>
    <phoneticPr fontId="19" type="noConversion"/>
  </si>
  <si>
    <r>
      <rPr>
        <sz val="12"/>
        <rFont val="標楷體"/>
        <family val="4"/>
        <charset val="136"/>
      </rPr>
      <t>全年預估</t>
    </r>
    <r>
      <rPr>
        <sz val="12"/>
        <rFont val="Times New Roman"/>
        <family val="1"/>
      </rPr>
      <t>453</t>
    </r>
    <r>
      <rPr>
        <sz val="12"/>
        <rFont val="標楷體"/>
        <family val="4"/>
        <charset val="136"/>
      </rPr>
      <t>人次。</t>
    </r>
    <phoneticPr fontId="19" type="noConversion"/>
  </si>
  <si>
    <r>
      <rPr>
        <sz val="12"/>
        <rFont val="標楷體"/>
        <family val="4"/>
        <charset val="136"/>
      </rPr>
      <t>全年預估</t>
    </r>
    <r>
      <rPr>
        <sz val="12"/>
        <rFont val="Times New Roman"/>
        <family val="1"/>
      </rPr>
      <t>121</t>
    </r>
    <r>
      <rPr>
        <sz val="12"/>
        <rFont val="標楷體"/>
        <family val="4"/>
        <charset val="136"/>
      </rPr>
      <t>件。</t>
    </r>
    <phoneticPr fontId="19" type="noConversion"/>
  </si>
  <si>
    <r>
      <rPr>
        <sz val="12"/>
        <rFont val="標楷體"/>
        <family val="4"/>
        <charset val="136"/>
      </rPr>
      <t>全年預估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件。</t>
    </r>
    <phoneticPr fontId="19" type="noConversion"/>
  </si>
  <si>
    <r>
      <rPr>
        <sz val="12"/>
        <rFont val="標楷體"/>
        <family val="4"/>
        <charset val="136"/>
      </rPr>
      <t>全年預估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件。</t>
    </r>
    <phoneticPr fontId="19" type="noConversion"/>
  </si>
  <si>
    <t>　投融資業務收入</t>
    <phoneticPr fontId="2" type="noConversion"/>
  </si>
  <si>
    <t>　　事業投資收入</t>
    <phoneticPr fontId="2" type="noConversion"/>
  </si>
  <si>
    <t>　　  勞工保險－普通</t>
    <phoneticPr fontId="2" type="noConversion"/>
  </si>
  <si>
    <t>　　融資業務收入</t>
    <phoneticPr fontId="2" type="noConversion"/>
  </si>
  <si>
    <t>　　兌換賸餘</t>
    <phoneticPr fontId="2" type="noConversion"/>
  </si>
  <si>
    <t>　　  就業保險</t>
    <phoneticPr fontId="2" type="noConversion"/>
  </si>
  <si>
    <t>　　不動產投資收入</t>
    <phoneticPr fontId="2" type="noConversion"/>
  </si>
  <si>
    <t>　　出售證券收入</t>
    <phoneticPr fontId="2" type="noConversion"/>
  </si>
  <si>
    <t>　　存款利息收入</t>
    <phoneticPr fontId="2" type="noConversion"/>
  </si>
  <si>
    <t>　　  勞工保險－職災</t>
    <phoneticPr fontId="2" type="noConversion"/>
  </si>
  <si>
    <t>　　  農民保險</t>
    <phoneticPr fontId="2" type="noConversion"/>
  </si>
  <si>
    <t>　　  職災保護－已加保勞工</t>
    <phoneticPr fontId="2" type="noConversion"/>
  </si>
  <si>
    <t>　　  職災保護－未加保勞工</t>
    <phoneticPr fontId="2" type="noConversion"/>
  </si>
  <si>
    <t>　　手續費收入</t>
    <phoneticPr fontId="2" type="noConversion"/>
  </si>
  <si>
    <r>
      <t>　　其他投融資業務收入</t>
    </r>
    <r>
      <rPr>
        <sz val="9"/>
        <rFont val="Times New Roman"/>
        <family val="1"/>
      </rPr>
      <t/>
    </r>
    <phoneticPr fontId="2" type="noConversion"/>
  </si>
  <si>
    <t>　保險收入</t>
    <phoneticPr fontId="2" type="noConversion"/>
  </si>
  <si>
    <t>　　保費收入</t>
    <phoneticPr fontId="2" type="noConversion"/>
  </si>
  <si>
    <t xml:space="preserve">  　收回責任準備</t>
    <phoneticPr fontId="2" type="noConversion"/>
  </si>
  <si>
    <t>　其他業務收入</t>
    <phoneticPr fontId="2" type="noConversion"/>
  </si>
  <si>
    <t>　　其他補助收入</t>
    <phoneticPr fontId="2" type="noConversion"/>
  </si>
  <si>
    <t>　　雜項業務收入</t>
    <phoneticPr fontId="2" type="noConversion"/>
  </si>
  <si>
    <t>業務成本與費用</t>
    <phoneticPr fontId="2" type="noConversion"/>
  </si>
  <si>
    <t xml:space="preserve">  投融資業務成本</t>
    <phoneticPr fontId="2" type="noConversion"/>
  </si>
  <si>
    <t>　　事業投資成本</t>
    <phoneticPr fontId="2" type="noConversion"/>
  </si>
  <si>
    <t>　　融資業務成本</t>
    <phoneticPr fontId="2" type="noConversion"/>
  </si>
  <si>
    <t>　　兌換短絀</t>
    <phoneticPr fontId="2" type="noConversion"/>
  </si>
  <si>
    <t>　　不動產投資成本</t>
    <phoneticPr fontId="2" type="noConversion"/>
  </si>
  <si>
    <t>　　出售證券成本</t>
    <phoneticPr fontId="2" type="noConversion"/>
  </si>
  <si>
    <t>　　其他投融資業務成本</t>
    <phoneticPr fontId="2" type="noConversion"/>
  </si>
  <si>
    <t>　保險成本</t>
    <phoneticPr fontId="2" type="noConversion"/>
  </si>
  <si>
    <t>　　保險給付</t>
    <phoneticPr fontId="2" type="noConversion"/>
  </si>
  <si>
    <t>　　  勞工保險－普通</t>
    <phoneticPr fontId="2" type="noConversion"/>
  </si>
  <si>
    <t>　　  勞工保險－職災</t>
    <phoneticPr fontId="2" type="noConversion"/>
  </si>
  <si>
    <t>　　  就業保險</t>
    <phoneticPr fontId="2" type="noConversion"/>
  </si>
  <si>
    <t>　　  農民保險</t>
    <phoneticPr fontId="2" type="noConversion"/>
  </si>
  <si>
    <t>　　  職災保護－已加保勞工</t>
    <phoneticPr fontId="2" type="noConversion"/>
  </si>
  <si>
    <t>　　提存責任準備</t>
    <phoneticPr fontId="2" type="noConversion"/>
  </si>
  <si>
    <t>　　  職災保護－未加保勞工</t>
    <phoneticPr fontId="2" type="noConversion"/>
  </si>
  <si>
    <t>　　呆帳</t>
    <phoneticPr fontId="2" type="noConversion"/>
  </si>
  <si>
    <t>　其他業務成本</t>
    <phoneticPr fontId="2" type="noConversion"/>
  </si>
  <si>
    <t>　　雜項業務成本</t>
    <phoneticPr fontId="2" type="noConversion"/>
  </si>
  <si>
    <t>業務賸餘(短絀－)</t>
    <phoneticPr fontId="2" type="noConversion"/>
  </si>
  <si>
    <t>業務外收入</t>
    <phoneticPr fontId="2" type="noConversion"/>
  </si>
  <si>
    <t>　財務收入</t>
    <phoneticPr fontId="2" type="noConversion"/>
  </si>
  <si>
    <t>　　利息收入</t>
    <phoneticPr fontId="2" type="noConversion"/>
  </si>
  <si>
    <t>　其他業務外收入</t>
    <phoneticPr fontId="2" type="noConversion"/>
  </si>
  <si>
    <t>　　違規罰款收入</t>
    <phoneticPr fontId="2" type="noConversion"/>
  </si>
  <si>
    <t>　　收回呆帳</t>
    <phoneticPr fontId="2" type="noConversion"/>
  </si>
  <si>
    <t>　　雜項收入</t>
    <phoneticPr fontId="2" type="noConversion"/>
  </si>
  <si>
    <t>業務外費用</t>
    <phoneticPr fontId="2" type="noConversion"/>
  </si>
  <si>
    <t>　其他業務外費用</t>
    <phoneticPr fontId="2" type="noConversion"/>
  </si>
  <si>
    <t>　　雜項費用</t>
    <phoneticPr fontId="2" type="noConversion"/>
  </si>
  <si>
    <t>業務外賸餘(短絀－)</t>
    <phoneticPr fontId="2" type="noConversion"/>
  </si>
  <si>
    <r>
      <rPr>
        <sz val="12"/>
        <rFont val="標楷體"/>
        <family val="4"/>
        <charset val="136"/>
      </rPr>
      <t>　本期賸餘</t>
    </r>
    <phoneticPr fontId="2" type="noConversion"/>
  </si>
  <si>
    <t>現金流量預計表</t>
    <phoneticPr fontId="2" type="noConversion"/>
  </si>
  <si>
    <t>預算數</t>
    <phoneticPr fontId="2" type="noConversion"/>
  </si>
  <si>
    <t>說明</t>
  </si>
  <si>
    <t>　本期賸餘（短絀－）</t>
    <phoneticPr fontId="2" type="noConversion"/>
  </si>
  <si>
    <t>科目及業務項目</t>
    <phoneticPr fontId="2" type="noConversion"/>
  </si>
  <si>
    <t>單位</t>
  </si>
  <si>
    <t>投融資業務收入</t>
    <phoneticPr fontId="2" type="noConversion"/>
  </si>
  <si>
    <t>年</t>
    <phoneticPr fontId="2" type="noConversion"/>
  </si>
  <si>
    <t xml:space="preserve">  勞工保險</t>
    <phoneticPr fontId="2" type="noConversion"/>
  </si>
  <si>
    <t>　  融資業務收入</t>
    <phoneticPr fontId="2" type="noConversion"/>
  </si>
  <si>
    <t xml:space="preserve">        普通事故</t>
    <phoneticPr fontId="2" type="noConversion"/>
  </si>
  <si>
    <t xml:space="preserve">        職業災害</t>
    <phoneticPr fontId="2" type="noConversion"/>
  </si>
  <si>
    <t xml:space="preserve">      普通事故</t>
    <phoneticPr fontId="2" type="noConversion"/>
  </si>
  <si>
    <t>　  不動產投資收入</t>
    <phoneticPr fontId="2" type="noConversion"/>
  </si>
  <si>
    <t>　  出售證券收入</t>
    <phoneticPr fontId="2" type="noConversion"/>
  </si>
  <si>
    <t xml:space="preserve">        普通事故</t>
    <phoneticPr fontId="2" type="noConversion"/>
  </si>
  <si>
    <t xml:space="preserve"> 　　   國外投資</t>
    <phoneticPr fontId="2" type="noConversion"/>
  </si>
  <si>
    <t xml:space="preserve">  　存款利息收入</t>
    <phoneticPr fontId="2" type="noConversion"/>
  </si>
  <si>
    <t xml:space="preserve">        國內</t>
    <phoneticPr fontId="2" type="noConversion"/>
  </si>
  <si>
    <t xml:space="preserve">        國外</t>
    <phoneticPr fontId="2" type="noConversion"/>
  </si>
  <si>
    <t xml:space="preserve">      職業災害</t>
    <phoneticPr fontId="2" type="noConversion"/>
  </si>
  <si>
    <t xml:space="preserve">  　其他投融資業務收入</t>
    <phoneticPr fontId="2" type="noConversion"/>
  </si>
  <si>
    <t xml:space="preserve">        職業災害</t>
    <phoneticPr fontId="2" type="noConversion"/>
  </si>
  <si>
    <t xml:space="preserve">  就業保險</t>
    <phoneticPr fontId="2" type="noConversion"/>
  </si>
  <si>
    <t>　  存款利息收入</t>
    <phoneticPr fontId="2" type="noConversion"/>
  </si>
  <si>
    <t>　  其他投融資業務收入</t>
    <phoneticPr fontId="2" type="noConversion"/>
  </si>
  <si>
    <t xml:space="preserve">  農民健康保險</t>
    <phoneticPr fontId="2" type="noConversion"/>
  </si>
  <si>
    <t xml:space="preserve">  職業災害勞工保護</t>
    <phoneticPr fontId="2" type="noConversion"/>
  </si>
  <si>
    <r>
      <rPr>
        <sz val="12"/>
        <rFont val="標楷體"/>
        <family val="4"/>
        <charset val="136"/>
      </rPr>
      <t>　　　　　　　　　　　　　</t>
    </r>
    <r>
      <rPr>
        <sz val="12"/>
        <rFont val="Times New Roman"/>
        <family val="1"/>
      </rPr>
      <t xml:space="preserve">     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年度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   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　單位：新臺幣千元</t>
    </r>
    <phoneticPr fontId="2" type="noConversion"/>
  </si>
  <si>
    <r>
      <rPr>
        <sz val="12"/>
        <rFont val="標楷體"/>
        <family val="4"/>
        <charset val="136"/>
      </rPr>
      <t>本科目勞動部勞工保險局辦理</t>
    </r>
    <r>
      <rPr>
        <sz val="12"/>
        <rFont val="Times New Roman"/>
        <family val="1"/>
      </rPr>
      <t>498,120</t>
    </r>
    <r>
      <rPr>
        <sz val="12"/>
        <rFont val="標楷體"/>
        <family val="4"/>
        <charset val="136"/>
      </rPr>
      <t>千元；勞動基金運用局辦理</t>
    </r>
    <r>
      <rPr>
        <sz val="12"/>
        <rFont val="Times New Roman"/>
        <family val="1"/>
      </rPr>
      <t>30,975,162</t>
    </r>
    <r>
      <rPr>
        <sz val="12"/>
        <rFont val="標楷體"/>
        <family val="4"/>
        <charset val="136"/>
      </rPr>
      <t>千元。</t>
    </r>
    <phoneticPr fontId="2" type="noConversion"/>
  </si>
  <si>
    <t xml:space="preserve">      未加保勞工</t>
    <phoneticPr fontId="2" type="noConversion"/>
  </si>
  <si>
    <t xml:space="preserve"> 　　 普通事故</t>
    <phoneticPr fontId="2" type="noConversion"/>
  </si>
  <si>
    <t xml:space="preserve">        國內投資</t>
    <phoneticPr fontId="2" type="noConversion"/>
  </si>
  <si>
    <t xml:space="preserve">      票券</t>
    <phoneticPr fontId="2" type="noConversion"/>
  </si>
  <si>
    <t>　　  債券</t>
    <phoneticPr fontId="2" type="noConversion"/>
  </si>
  <si>
    <t xml:space="preserve"> 　   國外投資</t>
    <phoneticPr fontId="2" type="noConversion"/>
  </si>
  <si>
    <t xml:space="preserve">      加保勞工</t>
    <phoneticPr fontId="2" type="noConversion"/>
  </si>
  <si>
    <t>　    國內</t>
    <phoneticPr fontId="2" type="noConversion"/>
  </si>
  <si>
    <t>　    國外</t>
    <phoneticPr fontId="2" type="noConversion"/>
  </si>
  <si>
    <t>保險收入</t>
  </si>
  <si>
    <t>　勞工保險</t>
    <phoneticPr fontId="2" type="noConversion"/>
  </si>
  <si>
    <t>　  保費收入</t>
    <phoneticPr fontId="2" type="noConversion"/>
  </si>
  <si>
    <t>　    保費收入</t>
    <phoneticPr fontId="2" type="noConversion"/>
  </si>
  <si>
    <t>　    滯納金收入</t>
    <phoneticPr fontId="2" type="noConversion"/>
  </si>
  <si>
    <t>　就業保險</t>
    <phoneticPr fontId="2" type="noConversion"/>
  </si>
  <si>
    <t>　農民健康保險</t>
    <phoneticPr fontId="2" type="noConversion"/>
  </si>
  <si>
    <t>　職業災害勞工保護</t>
    <phoneticPr fontId="2" type="noConversion"/>
  </si>
  <si>
    <t>　  收回責任準備</t>
    <phoneticPr fontId="2" type="noConversion"/>
  </si>
  <si>
    <t>　    已加保勞工</t>
    <phoneticPr fontId="2" type="noConversion"/>
  </si>
  <si>
    <t>　    未加保勞工</t>
    <phoneticPr fontId="2" type="noConversion"/>
  </si>
  <si>
    <t>其他業務收入</t>
    <phoneticPr fontId="2" type="noConversion"/>
  </si>
  <si>
    <t>　  其他補助收入</t>
    <phoneticPr fontId="2" type="noConversion"/>
  </si>
  <si>
    <t>　  雜項業務收入</t>
    <phoneticPr fontId="2" type="noConversion"/>
  </si>
  <si>
    <t>投融資業務成本</t>
    <phoneticPr fontId="2" type="noConversion"/>
  </si>
  <si>
    <t>　  事業投資成本</t>
    <phoneticPr fontId="2" type="noConversion"/>
  </si>
  <si>
    <t>　　   服務費用</t>
    <phoneticPr fontId="2" type="noConversion"/>
  </si>
  <si>
    <t>　　  　 一般服務費</t>
    <phoneticPr fontId="2" type="noConversion"/>
  </si>
  <si>
    <t xml:space="preserve">  　融資業務成本(普通事故)</t>
    <phoneticPr fontId="2" type="noConversion"/>
  </si>
  <si>
    <t>　  兌換短絀(普通事故)</t>
    <phoneticPr fontId="2" type="noConversion"/>
  </si>
  <si>
    <t xml:space="preserve">    不動產投資成本(普通事故)</t>
    <phoneticPr fontId="2" type="noConversion"/>
  </si>
  <si>
    <t>　  出售證券成本(普通事故)</t>
    <phoneticPr fontId="2" type="noConversion"/>
  </si>
  <si>
    <t>　  其他投融資業務成本</t>
    <phoneticPr fontId="2" type="noConversion"/>
  </si>
  <si>
    <t>　　　     旅運費</t>
    <phoneticPr fontId="2" type="noConversion"/>
  </si>
  <si>
    <t>　　　         普通事故</t>
    <phoneticPr fontId="2" type="noConversion"/>
  </si>
  <si>
    <t>　  兌換短絀</t>
    <phoneticPr fontId="2" type="noConversion"/>
  </si>
  <si>
    <t>科  目</t>
    <phoneticPr fontId="2" type="noConversion"/>
  </si>
  <si>
    <t xml:space="preserve">             其他</t>
    <phoneticPr fontId="2" type="noConversion"/>
  </si>
  <si>
    <t xml:space="preserve">                 其他費用</t>
    <phoneticPr fontId="2" type="noConversion"/>
  </si>
  <si>
    <t>其他業務成本</t>
    <phoneticPr fontId="2" type="noConversion"/>
  </si>
  <si>
    <t xml:space="preserve">    雜項業務成本</t>
    <phoneticPr fontId="2" type="noConversion"/>
  </si>
  <si>
    <t xml:space="preserve">    雜項業務成本(未加保勞工)</t>
    <phoneticPr fontId="2" type="noConversion"/>
  </si>
  <si>
    <t xml:space="preserve">        其他費用</t>
    <phoneticPr fontId="2" type="noConversion"/>
  </si>
  <si>
    <t xml:space="preserve">      租金與利息</t>
    <phoneticPr fontId="2" type="noConversion"/>
  </si>
  <si>
    <t xml:space="preserve">      其他</t>
    <phoneticPr fontId="2" type="noConversion"/>
  </si>
  <si>
    <t xml:space="preserve">        利息</t>
    <phoneticPr fontId="2" type="noConversion"/>
  </si>
  <si>
    <t>　  雜項業務成本</t>
    <phoneticPr fontId="2" type="noConversion"/>
  </si>
  <si>
    <t>　    其他</t>
    <phoneticPr fontId="2" type="noConversion"/>
  </si>
  <si>
    <t>　      其他費用</t>
    <phoneticPr fontId="2" type="noConversion"/>
  </si>
  <si>
    <t>　      利息</t>
    <phoneticPr fontId="2" type="noConversion"/>
  </si>
  <si>
    <t>　    短絀、賠償與保險給付</t>
    <phoneticPr fontId="2" type="noConversion"/>
  </si>
  <si>
    <t>　      保險給付</t>
    <phoneticPr fontId="2" type="noConversion"/>
  </si>
  <si>
    <t xml:space="preserve">    其他業務外費用</t>
    <phoneticPr fontId="2" type="noConversion"/>
  </si>
  <si>
    <t>　　</t>
  </si>
  <si>
    <t xml:space="preserve">    其他業務外費用</t>
    <phoneticPr fontId="2" type="noConversion"/>
  </si>
  <si>
    <t xml:space="preserve">      雜項費用</t>
    <phoneticPr fontId="2" type="noConversion"/>
  </si>
  <si>
    <t xml:space="preserve">      雜項費用</t>
    <phoneticPr fontId="2" type="noConversion"/>
  </si>
  <si>
    <t xml:space="preserve">    財務收入</t>
    <phoneticPr fontId="2" type="noConversion"/>
  </si>
  <si>
    <t xml:space="preserve">      利息收入</t>
    <phoneticPr fontId="2" type="noConversion"/>
  </si>
  <si>
    <t xml:space="preserve">    其他業務外收入</t>
    <phoneticPr fontId="2" type="noConversion"/>
  </si>
  <si>
    <t xml:space="preserve">      違規罰款收入</t>
    <phoneticPr fontId="2" type="noConversion"/>
  </si>
  <si>
    <t xml:space="preserve">      雜項收入</t>
    <phoneticPr fontId="2" type="noConversion"/>
  </si>
  <si>
    <t xml:space="preserve">      利息收入</t>
    <phoneticPr fontId="2" type="noConversion"/>
  </si>
  <si>
    <t xml:space="preserve">      雜項收入</t>
    <phoneticPr fontId="2" type="noConversion"/>
  </si>
  <si>
    <t xml:space="preserve">      收回呆帳</t>
    <phoneticPr fontId="2" type="noConversion"/>
  </si>
  <si>
    <t xml:space="preserve">      收回呆帳</t>
    <phoneticPr fontId="2" type="noConversion"/>
  </si>
  <si>
    <t>　    服務費用</t>
    <phoneticPr fontId="2" type="noConversion"/>
  </si>
  <si>
    <t>　    短絀、賠償與保險給付</t>
    <phoneticPr fontId="2" type="noConversion"/>
  </si>
  <si>
    <t>　　    水電費</t>
    <phoneticPr fontId="2" type="noConversion"/>
  </si>
  <si>
    <t>　　    印刷裝訂與廣告費</t>
    <phoneticPr fontId="2" type="noConversion"/>
  </si>
  <si>
    <t>　　    修理保養及保固費</t>
    <phoneticPr fontId="2" type="noConversion"/>
  </si>
  <si>
    <t>　　    保險費</t>
    <phoneticPr fontId="2" type="noConversion"/>
  </si>
  <si>
    <t>　　    一般服務費</t>
    <phoneticPr fontId="2" type="noConversion"/>
  </si>
  <si>
    <t>　　    專業服務費</t>
    <phoneticPr fontId="2" type="noConversion"/>
  </si>
  <si>
    <t>　    稅捐與規費(強制費)</t>
    <phoneticPr fontId="2" type="noConversion"/>
  </si>
  <si>
    <t>　　    土地稅</t>
    <phoneticPr fontId="2" type="noConversion"/>
  </si>
  <si>
    <t>　　    規費</t>
    <phoneticPr fontId="2" type="noConversion"/>
  </si>
  <si>
    <t>　      房屋稅</t>
    <phoneticPr fontId="2" type="noConversion"/>
  </si>
  <si>
    <t>　　    各項短絀</t>
    <phoneticPr fontId="2" type="noConversion"/>
  </si>
  <si>
    <t>　    其他</t>
    <phoneticPr fontId="2" type="noConversion"/>
  </si>
  <si>
    <t>　      其他費用</t>
    <phoneticPr fontId="2" type="noConversion"/>
  </si>
  <si>
    <t>　        普通事故</t>
    <phoneticPr fontId="2" type="noConversion"/>
  </si>
  <si>
    <t>　        職業災害</t>
    <phoneticPr fontId="2" type="noConversion"/>
  </si>
  <si>
    <t>　      一般服務費</t>
    <phoneticPr fontId="2" type="noConversion"/>
  </si>
  <si>
    <t>　    租金與利息</t>
    <phoneticPr fontId="2" type="noConversion"/>
  </si>
  <si>
    <t>　　    利息</t>
    <phoneticPr fontId="2" type="noConversion"/>
  </si>
  <si>
    <t>　　　    普通事故</t>
    <phoneticPr fontId="2" type="noConversion"/>
  </si>
  <si>
    <t>　　    各項短絀</t>
    <phoneticPr fontId="2" type="noConversion"/>
  </si>
  <si>
    <t>　　　  各項短絀</t>
    <phoneticPr fontId="2" type="noConversion"/>
  </si>
  <si>
    <t>　    折舊、折耗及攤銷</t>
    <phoneticPr fontId="2" type="noConversion"/>
  </si>
  <si>
    <t>　　　  攤銷</t>
    <phoneticPr fontId="2" type="noConversion"/>
  </si>
  <si>
    <r>
      <rPr>
        <sz val="18"/>
        <rFont val="標楷體"/>
        <family val="4"/>
        <charset val="136"/>
      </rPr>
      <t>保險成本說明</t>
    </r>
    <phoneticPr fontId="2" type="noConversion"/>
  </si>
  <si>
    <r>
      <rPr>
        <sz val="12"/>
        <rFont val="標楷體"/>
        <family val="4"/>
        <charset val="136"/>
      </rPr>
      <t>編列</t>
    </r>
    <r>
      <rPr>
        <sz val="12"/>
        <rFont val="Times New Roman"/>
        <family val="1"/>
      </rPr>
      <t>338,014,904</t>
    </r>
    <r>
      <rPr>
        <sz val="12"/>
        <rFont val="標楷體"/>
        <family val="4"/>
        <charset val="136"/>
      </rPr>
      <t>千元，係參考以前年度統計資料預估各項給付事故率及單價等因素，詳第</t>
    </r>
    <r>
      <rPr>
        <sz val="12"/>
        <rFont val="Times New Roman"/>
        <family val="1"/>
      </rPr>
      <t>55~57</t>
    </r>
    <r>
      <rPr>
        <sz val="12"/>
        <rFont val="標楷體"/>
        <family val="4"/>
        <charset val="136"/>
      </rPr>
      <t>頁保險給付分析表，其中：</t>
    </r>
    <phoneticPr fontId="2" type="noConversion"/>
  </si>
  <si>
    <r>
      <rPr>
        <sz val="12"/>
        <rFont val="標楷體"/>
        <family val="4"/>
        <charset val="136"/>
      </rPr>
      <t>普通事故：編列</t>
    </r>
    <r>
      <rPr>
        <sz val="12"/>
        <rFont val="Times New Roman"/>
        <family val="1"/>
      </rPr>
      <t>330,221,806</t>
    </r>
    <r>
      <rPr>
        <sz val="12"/>
        <rFont val="標楷體"/>
        <family val="4"/>
        <charset val="136"/>
      </rPr>
      <t>千元，主要包含生育、傷病、失能、老年及死亡五項給付。</t>
    </r>
    <phoneticPr fontId="2" type="noConversion"/>
  </si>
  <si>
    <r>
      <rPr>
        <sz val="12"/>
        <rFont val="標楷體"/>
        <family val="4"/>
        <charset val="136"/>
      </rPr>
      <t>職業災害：編列</t>
    </r>
    <r>
      <rPr>
        <sz val="12"/>
        <rFont val="Times New Roman"/>
        <family val="1"/>
      </rPr>
      <t>7,793,098</t>
    </r>
    <r>
      <rPr>
        <sz val="12"/>
        <rFont val="標楷體"/>
        <family val="4"/>
        <charset val="136"/>
      </rPr>
      <t>千元，主要包含傷病、醫療、失能及死亡四項給付。</t>
    </r>
    <phoneticPr fontId="2" type="noConversion"/>
  </si>
  <si>
    <r>
      <rPr>
        <sz val="12"/>
        <rFont val="標楷體"/>
        <family val="4"/>
        <charset val="136"/>
      </rPr>
      <t>編列</t>
    </r>
    <r>
      <rPr>
        <sz val="12"/>
        <rFont val="Times New Roman"/>
        <family val="1"/>
      </rPr>
      <t>358,997</t>
    </r>
    <r>
      <rPr>
        <sz val="12"/>
        <rFont val="標楷體"/>
        <family val="4"/>
        <charset val="136"/>
      </rPr>
      <t>千元，係按其他應收款及催收款項餘額依回收情況提列呆帳。</t>
    </r>
    <phoneticPr fontId="2" type="noConversion"/>
  </si>
  <si>
    <r>
      <rPr>
        <sz val="12"/>
        <rFont val="標楷體"/>
        <family val="4"/>
        <charset val="136"/>
      </rPr>
      <t>編列</t>
    </r>
    <r>
      <rPr>
        <sz val="12"/>
        <rFont val="Times New Roman"/>
        <family val="1"/>
      </rPr>
      <t>18,783,045</t>
    </r>
    <r>
      <rPr>
        <sz val="12"/>
        <rFont val="標楷體"/>
        <family val="4"/>
        <charset val="136"/>
      </rPr>
      <t>千元，係參考以前年度相關給付、津貼執行情形，包含失業給付、提早就業獎助津貼、職業訓練生活津貼、育嬰留職停薪津貼及補助全民健保費，詳第</t>
    </r>
    <r>
      <rPr>
        <sz val="12"/>
        <rFont val="Times New Roman"/>
        <family val="1"/>
      </rPr>
      <t>57~58</t>
    </r>
    <r>
      <rPr>
        <sz val="12"/>
        <rFont val="標楷體"/>
        <family val="4"/>
        <charset val="136"/>
      </rPr>
      <t>頁保險給付分析表。</t>
    </r>
    <phoneticPr fontId="2" type="noConversion"/>
  </si>
  <si>
    <r>
      <rPr>
        <sz val="12"/>
        <rFont val="標楷體"/>
        <family val="4"/>
        <charset val="136"/>
      </rPr>
      <t>編列</t>
    </r>
    <r>
      <rPr>
        <sz val="12"/>
        <rFont val="Times New Roman"/>
        <family val="1"/>
      </rPr>
      <t>28,622</t>
    </r>
    <r>
      <rPr>
        <sz val="12"/>
        <rFont val="標楷體"/>
        <family val="4"/>
        <charset val="136"/>
      </rPr>
      <t>千元，係按其他應收款及催收款項餘額依回收情況提列呆帳。</t>
    </r>
    <phoneticPr fontId="2" type="noConversion"/>
  </si>
  <si>
    <r>
      <rPr>
        <sz val="12"/>
        <rFont val="標楷體"/>
        <family val="4"/>
        <charset val="136"/>
      </rPr>
      <t>編列</t>
    </r>
    <r>
      <rPr>
        <sz val="12"/>
        <rFont val="Times New Roman"/>
        <family val="1"/>
      </rPr>
      <t>7,718,714</t>
    </r>
    <r>
      <rPr>
        <sz val="12"/>
        <rFont val="標楷體"/>
        <family val="4"/>
        <charset val="136"/>
      </rPr>
      <t>千元，係參考以前年度統計資料預估各項給付事故率及單價等因素，詳第</t>
    </r>
    <r>
      <rPr>
        <sz val="12"/>
        <rFont val="Times New Roman"/>
        <family val="1"/>
      </rPr>
      <t>58</t>
    </r>
    <r>
      <rPr>
        <sz val="12"/>
        <rFont val="標楷體"/>
        <family val="4"/>
        <charset val="136"/>
      </rPr>
      <t>頁保險給付分析表，其中：</t>
    </r>
    <phoneticPr fontId="2" type="noConversion"/>
  </si>
  <si>
    <r>
      <rPr>
        <sz val="12"/>
        <rFont val="標楷體"/>
        <family val="4"/>
        <charset val="136"/>
      </rPr>
      <t>保險支出：編列</t>
    </r>
    <r>
      <rPr>
        <sz val="12"/>
        <rFont val="Times New Roman"/>
        <family val="1"/>
      </rPr>
      <t>7,718,480</t>
    </r>
    <r>
      <rPr>
        <sz val="12"/>
        <rFont val="標楷體"/>
        <family val="4"/>
        <charset val="136"/>
      </rPr>
      <t>千元，包含本人生育給付、配偶生育給付、身心障礙給付及喪葬津貼。</t>
    </r>
    <phoneticPr fontId="2" type="noConversion"/>
  </si>
  <si>
    <r>
      <rPr>
        <sz val="12"/>
        <rFont val="標楷體"/>
        <family val="4"/>
        <charset val="136"/>
      </rPr>
      <t>複檢費用：編列</t>
    </r>
    <r>
      <rPr>
        <sz val="12"/>
        <rFont val="Times New Roman"/>
        <family val="1"/>
      </rPr>
      <t>234</t>
    </r>
    <r>
      <rPr>
        <sz val="12"/>
        <rFont val="標楷體"/>
        <family val="4"/>
        <charset val="136"/>
      </rPr>
      <t>千元，係身心障礙給付之複檢費用。</t>
    </r>
    <phoneticPr fontId="2" type="noConversion"/>
  </si>
  <si>
    <r>
      <rPr>
        <sz val="12"/>
        <rFont val="標楷體"/>
        <family val="4"/>
        <charset val="136"/>
      </rPr>
      <t>編列</t>
    </r>
    <r>
      <rPr>
        <sz val="12"/>
        <rFont val="Times New Roman"/>
        <family val="1"/>
      </rPr>
      <t>13,834</t>
    </r>
    <r>
      <rPr>
        <sz val="12"/>
        <rFont val="標楷體"/>
        <family val="4"/>
        <charset val="136"/>
      </rPr>
      <t>千元，係按應收保費、其他應收款及催收款項餘額依回收情況提列呆帳。</t>
    </r>
    <phoneticPr fontId="2" type="noConversion"/>
  </si>
  <si>
    <r>
      <rPr>
        <sz val="12"/>
        <rFont val="標楷體"/>
        <family val="4"/>
        <charset val="136"/>
      </rPr>
      <t>已加保勞工部分之各項補助係參考以前年度執行情形，編列</t>
    </r>
    <r>
      <rPr>
        <sz val="12"/>
        <rFont val="Times New Roman"/>
        <family val="1"/>
      </rPr>
      <t>220,579</t>
    </r>
    <r>
      <rPr>
        <sz val="12"/>
        <rFont val="標楷體"/>
        <family val="4"/>
        <charset val="136"/>
      </rPr>
      <t>千元。</t>
    </r>
    <phoneticPr fontId="2" type="noConversion"/>
  </si>
  <si>
    <r>
      <rPr>
        <sz val="12"/>
        <rFont val="標楷體"/>
        <family val="4"/>
        <charset val="136"/>
      </rPr>
      <t>編列</t>
    </r>
    <r>
      <rPr>
        <sz val="12"/>
        <rFont val="Times New Roman"/>
        <family val="1"/>
      </rPr>
      <t>19,898</t>
    </r>
    <r>
      <rPr>
        <sz val="12"/>
        <rFont val="標楷體"/>
        <family val="4"/>
        <charset val="136"/>
      </rPr>
      <t>千元，係職業災害勞工保護未加保勞工之收入減成本與費用後之餘額，悉數轉列提存責任準備。</t>
    </r>
    <phoneticPr fontId="2" type="noConversion"/>
  </si>
  <si>
    <r>
      <rPr>
        <sz val="12"/>
        <rFont val="標楷體"/>
        <family val="4"/>
        <charset val="136"/>
      </rPr>
      <t>編列</t>
    </r>
    <r>
      <rPr>
        <sz val="12"/>
        <rFont val="Times New Roman"/>
        <family val="1"/>
      </rPr>
      <t>840</t>
    </r>
    <r>
      <rPr>
        <sz val="12"/>
        <rFont val="標楷體"/>
        <family val="4"/>
        <charset val="136"/>
      </rPr>
      <t>千元，係按催收款項餘額依回收情況提列呆帳。</t>
    </r>
    <phoneticPr fontId="2" type="noConversion"/>
  </si>
  <si>
    <t xml:space="preserve"> 　   短絀、賠償與保險給付</t>
    <phoneticPr fontId="2" type="noConversion"/>
  </si>
  <si>
    <t xml:space="preserve">   　   其他</t>
    <phoneticPr fontId="2" type="noConversion"/>
  </si>
  <si>
    <t>　          普通事故</t>
    <phoneticPr fontId="2" type="noConversion"/>
  </si>
  <si>
    <t>　      　  職業災害</t>
    <phoneticPr fontId="2" type="noConversion"/>
  </si>
  <si>
    <t xml:space="preserve">        其他</t>
    <phoneticPr fontId="2" type="noConversion"/>
  </si>
  <si>
    <t>　        其他費用</t>
    <phoneticPr fontId="2" type="noConversion"/>
  </si>
  <si>
    <t xml:space="preserve">          其他費用 </t>
    <phoneticPr fontId="2" type="noConversion"/>
  </si>
  <si>
    <t>保費收入</t>
    <phoneticPr fontId="2" type="noConversion"/>
  </si>
  <si>
    <t xml:space="preserve">  　保費收入</t>
    <phoneticPr fontId="2" type="noConversion"/>
  </si>
  <si>
    <t>　    產業勞工及交通公
      用事業之員工</t>
    <phoneticPr fontId="2" type="noConversion"/>
  </si>
  <si>
    <t xml:space="preserve">　    公司、行號之員工 </t>
    <phoneticPr fontId="2" type="noConversion"/>
  </si>
  <si>
    <t>　    漁會之甲類會員</t>
    <phoneticPr fontId="2" type="noConversion"/>
  </si>
  <si>
    <t>　    職業勞工</t>
    <phoneticPr fontId="2" type="noConversion"/>
  </si>
  <si>
    <t>　    其他各業勞工</t>
    <phoneticPr fontId="2" type="noConversion"/>
  </si>
  <si>
    <t>　    被裁減資遣員工</t>
    <phoneticPr fontId="2" type="noConversion"/>
  </si>
  <si>
    <t>　    外僱船員</t>
    <phoneticPr fontId="2" type="noConversion"/>
  </si>
  <si>
    <t>　    職災續保勞工</t>
    <phoneticPr fontId="2" type="noConversion"/>
  </si>
  <si>
    <t>　    育嬰續保人員</t>
    <phoneticPr fontId="2" type="noConversion"/>
  </si>
  <si>
    <t xml:space="preserve">　    新聞、文化、公益
      及合作事業之員工          </t>
    <phoneticPr fontId="2" type="noConversion"/>
  </si>
  <si>
    <t>　    政府機關及公、私
      立學校之員工</t>
    <phoneticPr fontId="2" type="noConversion"/>
  </si>
  <si>
    <t>　    職業訓練機構接受
      訓練者</t>
    <phoneticPr fontId="2" type="noConversion"/>
  </si>
  <si>
    <t>　    受僱從事漁業生產
      之勞動者</t>
    <phoneticPr fontId="2" type="noConversion"/>
  </si>
  <si>
    <t>　    已領取老年給付勞
      工再參加職業災害
      保險者</t>
    <phoneticPr fontId="2" type="noConversion"/>
  </si>
  <si>
    <t xml:space="preserve">　    公司、行號之員工          </t>
    <phoneticPr fontId="2" type="noConversion"/>
  </si>
  <si>
    <t xml:space="preserve">　    新聞、文化、公益
      及合作事業之員工  </t>
    <phoneticPr fontId="2" type="noConversion"/>
  </si>
  <si>
    <t>　　    政府補助</t>
    <phoneticPr fontId="19" type="noConversion"/>
  </si>
  <si>
    <t>　 　   被保險人負擔</t>
    <phoneticPr fontId="19" type="noConversion"/>
  </si>
  <si>
    <t>　　　  投保單位負擔</t>
    <phoneticPr fontId="19" type="noConversion"/>
  </si>
  <si>
    <t>　　    被保險人負擔</t>
    <phoneticPr fontId="19" type="noConversion"/>
  </si>
  <si>
    <t>　  　  被保險人負擔</t>
    <phoneticPr fontId="19" type="noConversion"/>
  </si>
  <si>
    <t>　　    投保單位負擔</t>
    <phoneticPr fontId="19" type="noConversion"/>
  </si>
  <si>
    <t>　  　  政府補助</t>
    <phoneticPr fontId="19" type="noConversion"/>
  </si>
  <si>
    <t xml:space="preserve">      政府機關及公、私
      立學校之員工</t>
    <phoneticPr fontId="2" type="noConversion"/>
  </si>
  <si>
    <t xml:space="preserve">      職業訓練機構接受
      訓練者</t>
    <phoneticPr fontId="2" type="noConversion"/>
  </si>
  <si>
    <t xml:space="preserve"> 　   職災續保勞工</t>
    <phoneticPr fontId="2" type="noConversion"/>
  </si>
  <si>
    <t>　  滯納金收入</t>
    <phoneticPr fontId="2" type="noConversion"/>
  </si>
  <si>
    <t>　 　   投保單位負擔</t>
    <phoneticPr fontId="19" type="noConversion"/>
  </si>
  <si>
    <t>　　 　 政府補助</t>
    <phoneticPr fontId="19" type="noConversion"/>
  </si>
  <si>
    <t>　 　   政府補助</t>
    <phoneticPr fontId="19" type="noConversion"/>
  </si>
  <si>
    <t xml:space="preserve"> 　 　  被保險人負擔</t>
    <phoneticPr fontId="19" type="noConversion"/>
  </si>
  <si>
    <t>　　　  政府補助</t>
    <phoneticPr fontId="19" type="noConversion"/>
  </si>
  <si>
    <t>　　 　 被保險人負擔</t>
    <phoneticPr fontId="19" type="noConversion"/>
  </si>
  <si>
    <t>　   　 政府補助</t>
    <phoneticPr fontId="19" type="noConversion"/>
  </si>
  <si>
    <t>　      被保險人負擔</t>
    <phoneticPr fontId="19" type="noConversion"/>
  </si>
  <si>
    <t xml:space="preserve"> 　  　 被保險人負擔</t>
    <phoneticPr fontId="19" type="noConversion"/>
  </si>
  <si>
    <t>　   　 專款補助</t>
    <phoneticPr fontId="19" type="noConversion"/>
  </si>
  <si>
    <t xml:space="preserve">      公司、行號之員工          </t>
    <phoneticPr fontId="2" type="noConversion"/>
  </si>
  <si>
    <t>　    被保險人負擔</t>
    <phoneticPr fontId="19" type="noConversion"/>
  </si>
  <si>
    <t>　    政府補助</t>
    <phoneticPr fontId="19" type="noConversion"/>
  </si>
  <si>
    <t xml:space="preserve">  　    被保險人負擔</t>
    <phoneticPr fontId="19" type="noConversion"/>
  </si>
  <si>
    <t>　      投保單位負擔</t>
    <phoneticPr fontId="19" type="noConversion"/>
  </si>
  <si>
    <t xml:space="preserve"> 　     政府補助</t>
    <phoneticPr fontId="19" type="noConversion"/>
  </si>
  <si>
    <t>　　  　被保險人負擔</t>
    <phoneticPr fontId="19" type="noConversion"/>
  </si>
  <si>
    <t>科目及業務項目</t>
    <phoneticPr fontId="19" type="noConversion"/>
  </si>
  <si>
    <t>保險給付</t>
    <phoneticPr fontId="19" type="noConversion"/>
  </si>
  <si>
    <t xml:space="preserve">    其他投融資業務成本</t>
    <phoneticPr fontId="2" type="noConversion"/>
  </si>
  <si>
    <t xml:space="preserve">    其他投融資業務成本</t>
    <phoneticPr fontId="2" type="noConversion"/>
  </si>
  <si>
    <t xml:space="preserve">  勞工保險</t>
    <phoneticPr fontId="2" type="noConversion"/>
  </si>
  <si>
    <t xml:space="preserve">    融資業務成本</t>
    <phoneticPr fontId="2" type="noConversion"/>
  </si>
  <si>
    <t xml:space="preserve">    不動產投資成本</t>
    <phoneticPr fontId="2" type="noConversion"/>
  </si>
  <si>
    <t xml:space="preserve">      服務費用</t>
    <phoneticPr fontId="2" type="noConversion"/>
  </si>
  <si>
    <t xml:space="preserve">        一般服務費</t>
    <phoneticPr fontId="2" type="noConversion"/>
  </si>
  <si>
    <t xml:space="preserve">        水電費</t>
    <phoneticPr fontId="2" type="noConversion"/>
  </si>
  <si>
    <t xml:space="preserve">        印刷裝訂與廣告費</t>
    <phoneticPr fontId="2" type="noConversion"/>
  </si>
  <si>
    <t xml:space="preserve">        修理保養及保固費</t>
    <phoneticPr fontId="2" type="noConversion"/>
  </si>
  <si>
    <t xml:space="preserve">        保險費</t>
    <phoneticPr fontId="2" type="noConversion"/>
  </si>
  <si>
    <t xml:space="preserve">        專業服務費</t>
    <phoneticPr fontId="2" type="noConversion"/>
  </si>
  <si>
    <t xml:space="preserve">      稅捐與規費(強制費)</t>
    <phoneticPr fontId="2" type="noConversion"/>
  </si>
  <si>
    <t xml:space="preserve">        土地稅</t>
    <phoneticPr fontId="2" type="noConversion"/>
  </si>
  <si>
    <t xml:space="preserve">        房屋稅</t>
    <phoneticPr fontId="2" type="noConversion"/>
  </si>
  <si>
    <t xml:space="preserve">        規費</t>
    <phoneticPr fontId="2" type="noConversion"/>
  </si>
  <si>
    <t xml:space="preserve">      短絀、賠償與保險給付</t>
    <phoneticPr fontId="2" type="noConversion"/>
  </si>
  <si>
    <t xml:space="preserve">        各項短絀</t>
    <phoneticPr fontId="2" type="noConversion"/>
  </si>
  <si>
    <t xml:space="preserve">      其他</t>
    <phoneticPr fontId="2" type="noConversion"/>
  </si>
  <si>
    <t xml:space="preserve">        其他費用</t>
    <phoneticPr fontId="2" type="noConversion"/>
  </si>
  <si>
    <t xml:space="preserve">        專業服務費</t>
    <phoneticPr fontId="2" type="noConversion"/>
  </si>
  <si>
    <t xml:space="preserve">      折舊、折耗及攤銷</t>
    <phoneticPr fontId="2" type="noConversion"/>
  </si>
  <si>
    <t xml:space="preserve">        攤銷</t>
    <phoneticPr fontId="2" type="noConversion"/>
  </si>
  <si>
    <t>　　    保險給付</t>
    <phoneticPr fontId="2" type="noConversion"/>
  </si>
  <si>
    <t xml:space="preserve">    滯納金收入</t>
    <phoneticPr fontId="2" type="noConversion"/>
  </si>
  <si>
    <t>　  滯納金收入</t>
    <phoneticPr fontId="2" type="noConversion"/>
  </si>
  <si>
    <t xml:space="preserve"> 　 滯納金收入</t>
    <phoneticPr fontId="2" type="noConversion"/>
  </si>
  <si>
    <t>　　    政府補助</t>
    <phoneticPr fontId="19" type="noConversion"/>
  </si>
  <si>
    <t xml:space="preserve">  勞工保險</t>
    <phoneticPr fontId="19" type="noConversion"/>
  </si>
  <si>
    <t xml:space="preserve">    職業災害</t>
    <phoneticPr fontId="19" type="noConversion"/>
  </si>
  <si>
    <t>　  現金給付</t>
    <phoneticPr fontId="19" type="noConversion"/>
  </si>
  <si>
    <t xml:space="preserve">      普通事故</t>
    <phoneticPr fontId="19" type="noConversion"/>
  </si>
  <si>
    <t>　　 　　   一般勞工</t>
    <phoneticPr fontId="19" type="noConversion"/>
  </si>
  <si>
    <t>　  醫療給付</t>
    <phoneticPr fontId="19" type="noConversion"/>
  </si>
  <si>
    <t xml:space="preserve">  就業保險</t>
    <phoneticPr fontId="19" type="noConversion"/>
  </si>
  <si>
    <t xml:space="preserve">    補助全民健保費</t>
    <phoneticPr fontId="19" type="noConversion"/>
  </si>
  <si>
    <t xml:space="preserve">  農民健康保險</t>
    <phoneticPr fontId="19" type="noConversion"/>
  </si>
  <si>
    <t xml:space="preserve">    現金給付</t>
    <phoneticPr fontId="19" type="noConversion"/>
  </si>
  <si>
    <t xml:space="preserve">  職業災害勞工保護</t>
    <phoneticPr fontId="19" type="noConversion"/>
  </si>
  <si>
    <t xml:space="preserve">    已加保勞工</t>
    <phoneticPr fontId="19" type="noConversion"/>
  </si>
  <si>
    <t>　 　    職業疾病相當勞保失能給付
　 　　  1-7等級且喪失部分工作能力</t>
    <phoneticPr fontId="19" type="noConversion"/>
  </si>
  <si>
    <t>　  　   職業疾病相當勞保失能給付
　 　　  11-15等級且喪失部分工作能
         力</t>
    <phoneticPr fontId="19" type="noConversion"/>
  </si>
  <si>
    <t>　 　   職業衛生與健康管理</t>
    <phoneticPr fontId="19" type="noConversion"/>
  </si>
  <si>
    <t xml:space="preserve">    失業給付</t>
    <phoneticPr fontId="19" type="noConversion"/>
  </si>
  <si>
    <t xml:space="preserve">    提早就業獎助津貼</t>
    <phoneticPr fontId="19" type="noConversion"/>
  </si>
  <si>
    <t xml:space="preserve">    職業訓練生活津貼</t>
    <phoneticPr fontId="19" type="noConversion"/>
  </si>
  <si>
    <t xml:space="preserve">    育嬰留職停薪津貼</t>
    <phoneticPr fontId="19" type="noConversion"/>
  </si>
  <si>
    <t xml:space="preserve">      職業災害</t>
    <phoneticPr fontId="19" type="noConversion"/>
  </si>
  <si>
    <t>　 　　 住院費用</t>
    <phoneticPr fontId="19" type="noConversion"/>
  </si>
  <si>
    <t>　　　　  一般勞工</t>
    <phoneticPr fontId="19" type="noConversion"/>
  </si>
  <si>
    <t>　　　 　 已領老年給付勞工</t>
    <phoneticPr fontId="19" type="noConversion"/>
  </si>
  <si>
    <t>　      門診費用</t>
    <phoneticPr fontId="19" type="noConversion"/>
  </si>
  <si>
    <t>　　 　   門診診療</t>
    <phoneticPr fontId="19" type="noConversion"/>
  </si>
  <si>
    <t>　　　　 　 已領老年給付勞工</t>
    <phoneticPr fontId="19" type="noConversion"/>
  </si>
  <si>
    <t>　　　    預防職業病健康檢查</t>
    <phoneticPr fontId="19" type="noConversion"/>
  </si>
  <si>
    <t xml:space="preserve">      生育給付</t>
    <phoneticPr fontId="19" type="noConversion"/>
  </si>
  <si>
    <t xml:space="preserve">        本人生育</t>
    <phoneticPr fontId="19" type="noConversion"/>
  </si>
  <si>
    <t>　 　   配偶生育</t>
    <phoneticPr fontId="19" type="noConversion"/>
  </si>
  <si>
    <t xml:space="preserve">      身心障礙給付</t>
    <phoneticPr fontId="19" type="noConversion"/>
  </si>
  <si>
    <t xml:space="preserve">      職業疾病生活津貼</t>
    <phoneticPr fontId="19" type="noConversion"/>
  </si>
  <si>
    <t xml:space="preserve">      身體障害生活津貼</t>
    <phoneticPr fontId="19" type="noConversion"/>
  </si>
  <si>
    <t>　       符合勞保失能給付
　       1-3等級且喪失全部工作能力</t>
    <phoneticPr fontId="19" type="noConversion"/>
  </si>
  <si>
    <t>　       符合勞保失能給付
　       1-7等級且喪失部分工作能力</t>
    <phoneticPr fontId="19" type="noConversion"/>
  </si>
  <si>
    <t xml:space="preserve">      職業訓練生活津貼</t>
    <phoneticPr fontId="19" type="noConversion"/>
  </si>
  <si>
    <t xml:space="preserve">      器具補助</t>
    <phoneticPr fontId="19" type="noConversion"/>
  </si>
  <si>
    <t xml:space="preserve">      看護補助</t>
    <phoneticPr fontId="19" type="noConversion"/>
  </si>
  <si>
    <t xml:space="preserve">      家屬補助</t>
    <phoneticPr fontId="19" type="noConversion"/>
  </si>
  <si>
    <t>　 　    職業疾病相當勞保失能給付
　 　    1-3等級且喪失全部工作能力</t>
    <phoneticPr fontId="19" type="noConversion"/>
  </si>
  <si>
    <t>　 　    職業疾病相當勞保失能給付
　 　　  8-10等級且喪失部分工作能力</t>
    <phoneticPr fontId="19" type="noConversion"/>
  </si>
  <si>
    <t>　 　    職業疾病相當勞保失能給付
　 　　  11-15等級且喪失部分工作能
         力</t>
    <phoneticPr fontId="19" type="noConversion"/>
  </si>
  <si>
    <t xml:space="preserve">      職業災害預防與補助</t>
    <phoneticPr fontId="19" type="noConversion"/>
  </si>
  <si>
    <t>　 　　 職業傷病防治與重建</t>
    <phoneticPr fontId="19" type="noConversion"/>
  </si>
  <si>
    <t>　 　　 安全衛生教育訓練及宣導</t>
    <phoneticPr fontId="19" type="noConversion"/>
  </si>
  <si>
    <t>　  　   職業疾病相當勞保失能給付
　  　   1-7等級且喪失部分工作能力</t>
    <phoneticPr fontId="19" type="noConversion"/>
  </si>
  <si>
    <t>　       職業疾病相當勞保失能給付
　  　   8-10等級且喪失部分工作能力</t>
    <phoneticPr fontId="19" type="noConversion"/>
  </si>
  <si>
    <t xml:space="preserve">      喪葬津貼</t>
    <phoneticPr fontId="19" type="noConversion"/>
  </si>
  <si>
    <t xml:space="preserve">   　 複檢費用</t>
    <phoneticPr fontId="19" type="noConversion"/>
  </si>
  <si>
    <t xml:space="preserve"> 　   職業疾病生活津貼-勞保
      效力終止</t>
    <phoneticPr fontId="19" type="noConversion"/>
  </si>
  <si>
    <t>　       職業疾病相當勞保失能給付
　  　   1-3等級且喪失全部工作能力</t>
    <phoneticPr fontId="19" type="noConversion"/>
  </si>
  <si>
    <r>
      <rPr>
        <sz val="11"/>
        <rFont val="標楷體"/>
        <family val="4"/>
        <charset val="136"/>
      </rPr>
      <t>推動職業傷病診治網絡暨傷病防治服務中心、職災勞工個案主動服務及復工協助等</t>
    </r>
    <r>
      <rPr>
        <sz val="11"/>
        <rFont val="Times New Roman"/>
        <family val="1"/>
      </rPr>
      <t>5</t>
    </r>
    <r>
      <rPr>
        <sz val="11"/>
        <rFont val="標楷體"/>
        <family val="4"/>
        <charset val="136"/>
      </rPr>
      <t>項計畫。</t>
    </r>
    <phoneticPr fontId="19" type="noConversion"/>
  </si>
  <si>
    <t>　   　 國家職業災害預防計畫</t>
    <phoneticPr fontId="19" type="noConversion"/>
  </si>
  <si>
    <t>　      一般服務費</t>
    <phoneticPr fontId="2" type="noConversion"/>
  </si>
  <si>
    <t>　      各項短絀</t>
    <phoneticPr fontId="2" type="noConversion"/>
  </si>
  <si>
    <t xml:space="preserve">　 　　 職災預防輔導與安衛設施
        補助     </t>
    <phoneticPr fontId="19" type="noConversion"/>
  </si>
  <si>
    <t>　      補助相關團體辦理職業災
        害預防事項</t>
    <phoneticPr fontId="19" type="noConversion"/>
  </si>
  <si>
    <t xml:space="preserve">      職業災害勞工職業重建補助</t>
    <phoneticPr fontId="19" type="noConversion"/>
  </si>
  <si>
    <t xml:space="preserve">      輔助設施補助</t>
    <phoneticPr fontId="19" type="noConversion"/>
  </si>
  <si>
    <t xml:space="preserve">      補助職業災害勞工醫療期間
      退保自願參加勞保普通事故
      保險者保費</t>
    <phoneticPr fontId="19" type="noConversion"/>
  </si>
  <si>
    <t xml:space="preserve">      複檢費用</t>
    <phoneticPr fontId="19" type="noConversion"/>
  </si>
  <si>
    <t xml:space="preserve">      委託鑑定費用</t>
    <phoneticPr fontId="19" type="noConversion"/>
  </si>
  <si>
    <t xml:space="preserve">   　 生育給付</t>
    <phoneticPr fontId="19" type="noConversion"/>
  </si>
  <si>
    <t>　 　 　普通事故</t>
    <phoneticPr fontId="19" type="noConversion"/>
  </si>
  <si>
    <t xml:space="preserve">      傷病給付</t>
    <phoneticPr fontId="19" type="noConversion"/>
  </si>
  <si>
    <t>　 　   普通事故</t>
    <phoneticPr fontId="19" type="noConversion"/>
  </si>
  <si>
    <t>　 　   職業災害</t>
    <phoneticPr fontId="19" type="noConversion"/>
  </si>
  <si>
    <t>　　 　　 一般勞工</t>
    <phoneticPr fontId="19" type="noConversion"/>
  </si>
  <si>
    <t>　　 　　 已領老年給付勞工</t>
    <phoneticPr fontId="19" type="noConversion"/>
  </si>
  <si>
    <t xml:space="preserve">      失能給付</t>
    <phoneticPr fontId="19" type="noConversion"/>
  </si>
  <si>
    <t>　　      一次金</t>
    <phoneticPr fontId="19" type="noConversion"/>
  </si>
  <si>
    <t>　　 　   差額金</t>
    <phoneticPr fontId="19" type="noConversion"/>
  </si>
  <si>
    <t>　　 　   年金</t>
    <phoneticPr fontId="19" type="noConversion"/>
  </si>
  <si>
    <t>　 　　 職業災害</t>
    <phoneticPr fontId="19" type="noConversion"/>
  </si>
  <si>
    <t>　　　    一般勞工</t>
    <phoneticPr fontId="19" type="noConversion"/>
  </si>
  <si>
    <t>　          一次金</t>
    <phoneticPr fontId="19" type="noConversion"/>
  </si>
  <si>
    <t>　          差額金</t>
    <phoneticPr fontId="19" type="noConversion"/>
  </si>
  <si>
    <t>　          年金</t>
    <phoneticPr fontId="19" type="noConversion"/>
  </si>
  <si>
    <t>　　　      補償一次金</t>
    <phoneticPr fontId="19" type="noConversion"/>
  </si>
  <si>
    <t>　　　    已領老年給付勞工</t>
    <phoneticPr fontId="19" type="noConversion"/>
  </si>
  <si>
    <t>　　　      一次金</t>
    <phoneticPr fontId="19" type="noConversion"/>
  </si>
  <si>
    <t>　　　      差額金</t>
    <phoneticPr fontId="19" type="noConversion"/>
  </si>
  <si>
    <t>　　　      年金</t>
    <phoneticPr fontId="19" type="noConversion"/>
  </si>
  <si>
    <t xml:space="preserve">    普通事故</t>
    <phoneticPr fontId="19" type="noConversion"/>
  </si>
  <si>
    <t>　      普通事故</t>
    <phoneticPr fontId="19" type="noConversion"/>
  </si>
  <si>
    <t>　　  　  已領老年給付勞工</t>
    <phoneticPr fontId="19" type="noConversion"/>
  </si>
  <si>
    <t xml:space="preserve">   　 老年給付</t>
    <phoneticPr fontId="19" type="noConversion"/>
  </si>
  <si>
    <t>　  　  普通事故</t>
    <phoneticPr fontId="19" type="noConversion"/>
  </si>
  <si>
    <t>　　　　  一次請領</t>
    <phoneticPr fontId="19" type="noConversion"/>
  </si>
  <si>
    <t>　　　 　 一次金</t>
    <phoneticPr fontId="19" type="noConversion"/>
  </si>
  <si>
    <t>　　　    差額金</t>
    <phoneticPr fontId="19" type="noConversion"/>
  </si>
  <si>
    <t>　　　    年金</t>
    <phoneticPr fontId="19" type="noConversion"/>
  </si>
  <si>
    <t xml:space="preserve">      死亡給付</t>
    <phoneticPr fontId="19" type="noConversion"/>
  </si>
  <si>
    <t>　　 　   家屬</t>
    <phoneticPr fontId="19" type="noConversion"/>
  </si>
  <si>
    <t>　　　    本人</t>
    <phoneticPr fontId="19" type="noConversion"/>
  </si>
  <si>
    <t>　　        一次金</t>
    <phoneticPr fontId="19" type="noConversion"/>
  </si>
  <si>
    <t>　　　　  　遺屬年金</t>
    <phoneticPr fontId="19" type="noConversion"/>
  </si>
  <si>
    <t>　  　  職業災害</t>
    <phoneticPr fontId="19" type="noConversion"/>
  </si>
  <si>
    <t>　　      一般勞工</t>
    <phoneticPr fontId="19" type="noConversion"/>
  </si>
  <si>
    <t>　　      　遺屬年金</t>
    <phoneticPr fontId="19" type="noConversion"/>
  </si>
  <si>
    <t>　　        職災補償金</t>
    <phoneticPr fontId="19" type="noConversion"/>
  </si>
  <si>
    <t xml:space="preserve">      失蹤津貼</t>
    <phoneticPr fontId="19" type="noConversion"/>
  </si>
  <si>
    <t>　   　 職業災害</t>
    <phoneticPr fontId="19" type="noConversion"/>
  </si>
  <si>
    <t>　 　     已領老年給付勞工</t>
    <phoneticPr fontId="19" type="noConversion"/>
  </si>
  <si>
    <r>
      <rPr>
        <sz val="12"/>
        <rFont val="標楷體"/>
        <family val="4"/>
        <charset val="136"/>
      </rPr>
      <t>係農民健康保險收入減支出後之虧損數，依農民健康保險條例第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條規定，由主管機關撥補。</t>
    </r>
    <phoneticPr fontId="2" type="noConversion"/>
  </si>
  <si>
    <r>
      <rPr>
        <sz val="12"/>
        <rFont val="標楷體"/>
        <family val="4"/>
        <charset val="136"/>
      </rPr>
      <t>編列</t>
    </r>
    <r>
      <rPr>
        <sz val="12"/>
        <rFont val="Times New Roman"/>
        <family val="1"/>
      </rPr>
      <t>5,608,395</t>
    </r>
    <r>
      <rPr>
        <sz val="12"/>
        <rFont val="標楷體"/>
        <family val="4"/>
        <charset val="136"/>
      </rPr>
      <t>千元，係就業保險收入減支出後之餘額，悉數轉列提存責任準備。</t>
    </r>
    <phoneticPr fontId="2" type="noConversion"/>
  </si>
  <si>
    <r>
      <rPr>
        <sz val="13"/>
        <rFont val="標楷體"/>
        <family val="4"/>
        <charset val="136"/>
      </rPr>
      <t>註：本年度信託代理與保證資產</t>
    </r>
    <r>
      <rPr>
        <sz val="13"/>
        <rFont val="Times New Roman"/>
        <family val="1"/>
      </rPr>
      <t>(</t>
    </r>
    <r>
      <rPr>
        <sz val="13"/>
        <rFont val="標楷體"/>
        <family val="4"/>
        <charset val="136"/>
      </rPr>
      <t>負債</t>
    </r>
    <r>
      <rPr>
        <sz val="13"/>
        <rFont val="Times New Roman"/>
        <family val="1"/>
      </rPr>
      <t>)</t>
    </r>
    <r>
      <rPr>
        <sz val="13"/>
        <rFont val="標楷體"/>
        <family val="4"/>
        <charset val="136"/>
      </rPr>
      <t>預計為</t>
    </r>
    <r>
      <rPr>
        <sz val="13"/>
        <rFont val="Times New Roman"/>
        <family val="1"/>
      </rPr>
      <t>137,117</t>
    </r>
    <r>
      <rPr>
        <sz val="13"/>
        <rFont val="標楷體"/>
        <family val="4"/>
        <charset val="136"/>
      </rPr>
      <t>千元，係包括</t>
    </r>
    <r>
      <rPr>
        <sz val="13"/>
        <rFont val="Times New Roman"/>
        <family val="1"/>
      </rPr>
      <t>(</t>
    </r>
    <r>
      <rPr>
        <sz val="13"/>
        <rFont val="標楷體"/>
        <family val="4"/>
        <charset val="136"/>
      </rPr>
      <t>應付</t>
    </r>
    <r>
      <rPr>
        <sz val="13"/>
        <rFont val="Times New Roman"/>
        <family val="1"/>
      </rPr>
      <t>)</t>
    </r>
    <r>
      <rPr>
        <sz val="13"/>
        <rFont val="標楷體"/>
        <family val="4"/>
        <charset val="136"/>
      </rPr>
      <t>保證品</t>
    </r>
    <r>
      <rPr>
        <sz val="13"/>
        <rFont val="Times New Roman"/>
        <family val="1"/>
      </rPr>
      <t>63,066</t>
    </r>
    <r>
      <rPr>
        <sz val="13"/>
        <rFont val="標楷體"/>
        <family val="4"/>
        <charset val="136"/>
      </rPr>
      <t xml:space="preserve">千
</t>
    </r>
    <r>
      <rPr>
        <sz val="13"/>
        <rFont val="Times New Roman"/>
        <family val="1"/>
      </rPr>
      <t xml:space="preserve">        </t>
    </r>
    <r>
      <rPr>
        <sz val="13"/>
        <rFont val="標楷體"/>
        <family val="4"/>
        <charset val="136"/>
      </rPr>
      <t>元及應收</t>
    </r>
    <r>
      <rPr>
        <sz val="13"/>
        <rFont val="Times New Roman"/>
        <family val="1"/>
      </rPr>
      <t>(</t>
    </r>
    <r>
      <rPr>
        <sz val="13"/>
        <rFont val="標楷體"/>
        <family val="4"/>
        <charset val="136"/>
      </rPr>
      <t>受託</t>
    </r>
    <r>
      <rPr>
        <sz val="13"/>
        <rFont val="Times New Roman"/>
        <family val="1"/>
      </rPr>
      <t>)</t>
    </r>
    <r>
      <rPr>
        <sz val="13"/>
        <rFont val="標楷體"/>
        <family val="4"/>
        <charset val="136"/>
      </rPr>
      <t>代收款</t>
    </r>
    <r>
      <rPr>
        <sz val="13"/>
        <rFont val="Times New Roman"/>
        <family val="1"/>
      </rPr>
      <t>74,051</t>
    </r>
    <r>
      <rPr>
        <sz val="13"/>
        <rFont val="標楷體"/>
        <family val="4"/>
        <charset val="136"/>
      </rPr>
      <t xml:space="preserve">千元。
</t>
    </r>
    <r>
      <rPr>
        <sz val="13"/>
        <rFont val="Times New Roman"/>
        <family val="1"/>
      </rPr>
      <t xml:space="preserve">           </t>
    </r>
    <phoneticPr fontId="2" type="noConversion"/>
  </si>
  <si>
    <r>
      <rPr>
        <b/>
        <sz val="16"/>
        <rFont val="標楷體"/>
        <family val="4"/>
        <charset val="136"/>
      </rPr>
      <t>圖</t>
    </r>
    <r>
      <rPr>
        <b/>
        <sz val="16"/>
        <rFont val="Times New Roman"/>
        <family val="1"/>
      </rPr>
      <t>1</t>
    </r>
    <r>
      <rPr>
        <sz val="16"/>
        <rFont val="Times New Roman"/>
        <family val="1"/>
      </rPr>
      <t/>
    </r>
    <phoneticPr fontId="70" type="noConversion"/>
  </si>
  <si>
    <r>
      <t>106</t>
    </r>
    <r>
      <rPr>
        <sz val="18"/>
        <rFont val="標楷體"/>
        <family val="4"/>
        <charset val="136"/>
      </rPr>
      <t>年度收入、成本與費用及賸餘</t>
    </r>
    <phoneticPr fontId="70" type="noConversion"/>
  </si>
  <si>
    <r>
      <rPr>
        <sz val="12"/>
        <rFont val="標楷體"/>
        <family val="4"/>
        <charset val="136"/>
      </rPr>
      <t>單位：新臺幣千元</t>
    </r>
  </si>
  <si>
    <t>收        入</t>
  </si>
  <si>
    <r>
      <t>106</t>
    </r>
    <r>
      <rPr>
        <b/>
        <sz val="12"/>
        <rFont val="標楷體"/>
        <family val="4"/>
        <charset val="136"/>
      </rPr>
      <t>年度預算</t>
    </r>
    <phoneticPr fontId="70" type="noConversion"/>
  </si>
  <si>
    <t>成本與費用及賸餘</t>
    <phoneticPr fontId="70" type="noConversion"/>
  </si>
  <si>
    <t>業務成本與費用</t>
  </si>
  <si>
    <t xml:space="preserve">  投融資業務收入</t>
    <phoneticPr fontId="70" type="noConversion"/>
  </si>
  <si>
    <t xml:space="preserve">  投融資業務成本</t>
    <phoneticPr fontId="70" type="noConversion"/>
  </si>
  <si>
    <t xml:space="preserve">  保險收入</t>
    <phoneticPr fontId="70" type="noConversion"/>
  </si>
  <si>
    <t xml:space="preserve">  保險成本</t>
    <phoneticPr fontId="70" type="noConversion"/>
  </si>
  <si>
    <t xml:space="preserve">  其他業務收入</t>
    <phoneticPr fontId="70" type="noConversion"/>
  </si>
  <si>
    <t xml:space="preserve">  其他業務成本</t>
    <phoneticPr fontId="70" type="noConversion"/>
  </si>
  <si>
    <t>業務外收入</t>
  </si>
  <si>
    <t>業務外費用</t>
  </si>
  <si>
    <t>本期賸餘</t>
  </si>
  <si>
    <t>收入總額</t>
    <phoneticPr fontId="70" type="noConversion"/>
  </si>
  <si>
    <t>成本、費用及賸餘總額</t>
    <phoneticPr fontId="70" type="noConversion"/>
  </si>
  <si>
    <r>
      <rPr>
        <b/>
        <sz val="16"/>
        <rFont val="標楷體"/>
        <family val="4"/>
        <charset val="136"/>
      </rPr>
      <t>圖</t>
    </r>
    <r>
      <rPr>
        <b/>
        <sz val="16"/>
        <rFont val="Times New Roman"/>
        <family val="1"/>
      </rPr>
      <t>2</t>
    </r>
    <phoneticPr fontId="70" type="noConversion"/>
  </si>
  <si>
    <t>單位：新臺幣千元</t>
  </si>
  <si>
    <r>
      <t xml:space="preserve">                  </t>
    </r>
    <r>
      <rPr>
        <sz val="12"/>
        <rFont val="標楷體"/>
        <family val="4"/>
        <charset val="136"/>
      </rPr>
      <t xml:space="preserve">年度
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項目　</t>
    </r>
    <phoneticPr fontId="70" type="noConversion"/>
  </si>
  <si>
    <r>
      <t>102</t>
    </r>
    <r>
      <rPr>
        <sz val="12"/>
        <rFont val="標楷體"/>
        <family val="4"/>
        <charset val="136"/>
      </rPr>
      <t>年度決算</t>
    </r>
    <phoneticPr fontId="70" type="noConversion"/>
  </si>
  <si>
    <r>
      <t>103</t>
    </r>
    <r>
      <rPr>
        <sz val="12"/>
        <rFont val="標楷體"/>
        <family val="4"/>
        <charset val="136"/>
      </rPr>
      <t>年度決算</t>
    </r>
    <phoneticPr fontId="70" type="noConversion"/>
  </si>
  <si>
    <r>
      <t>104</t>
    </r>
    <r>
      <rPr>
        <sz val="12"/>
        <rFont val="標楷體"/>
        <family val="4"/>
        <charset val="136"/>
      </rPr>
      <t>年度決算</t>
    </r>
    <phoneticPr fontId="70" type="noConversion"/>
  </si>
  <si>
    <r>
      <t>105</t>
    </r>
    <r>
      <rPr>
        <sz val="12"/>
        <rFont val="標楷體"/>
        <family val="4"/>
        <charset val="136"/>
      </rPr>
      <t>年度預算</t>
    </r>
    <phoneticPr fontId="70" type="noConversion"/>
  </si>
  <si>
    <r>
      <t>106</t>
    </r>
    <r>
      <rPr>
        <sz val="12"/>
        <rFont val="標楷體"/>
        <family val="4"/>
        <charset val="136"/>
      </rPr>
      <t>年度預算</t>
    </r>
    <phoneticPr fontId="70" type="noConversion"/>
  </si>
  <si>
    <t>收入</t>
  </si>
  <si>
    <t xml:space="preserve">  業務收入</t>
    <phoneticPr fontId="70" type="noConversion"/>
  </si>
  <si>
    <t xml:space="preserve">  業務外收入</t>
    <phoneticPr fontId="70" type="noConversion"/>
  </si>
  <si>
    <t>收入合計</t>
  </si>
  <si>
    <t>費用</t>
    <phoneticPr fontId="70" type="noConversion"/>
  </si>
  <si>
    <t xml:space="preserve">  業務成本與費用</t>
    <phoneticPr fontId="70" type="noConversion"/>
  </si>
  <si>
    <t xml:space="preserve">  業務外費用</t>
    <phoneticPr fontId="70" type="noConversion"/>
  </si>
  <si>
    <t>費用合計</t>
    <phoneticPr fontId="70" type="noConversion"/>
  </si>
  <si>
    <t>本期賸餘</t>
    <phoneticPr fontId="70" type="noConversion"/>
  </si>
  <si>
    <r>
      <t xml:space="preserve">              </t>
    </r>
    <r>
      <rPr>
        <sz val="12"/>
        <rFont val="標楷體"/>
        <family val="4"/>
        <charset val="136"/>
      </rPr>
      <t>年度
項目　</t>
    </r>
    <phoneticPr fontId="70" type="noConversion"/>
  </si>
  <si>
    <r>
      <rPr>
        <b/>
        <sz val="12"/>
        <rFont val="標楷體"/>
        <family val="4"/>
        <charset val="136"/>
      </rPr>
      <t>收入</t>
    </r>
  </si>
  <si>
    <r>
      <rPr>
        <sz val="12"/>
        <rFont val="標楷體"/>
        <family val="4"/>
        <charset val="136"/>
      </rPr>
      <t>業務收入</t>
    </r>
  </si>
  <si>
    <r>
      <rPr>
        <sz val="12"/>
        <rFont val="標楷體"/>
        <family val="4"/>
        <charset val="136"/>
      </rPr>
      <t>業務外收入</t>
    </r>
  </si>
  <si>
    <r>
      <rPr>
        <b/>
        <sz val="12"/>
        <rFont val="標楷體"/>
        <family val="4"/>
        <charset val="136"/>
      </rPr>
      <t>收入合計</t>
    </r>
  </si>
  <si>
    <r>
      <rPr>
        <sz val="12"/>
        <rFont val="標楷體"/>
        <family val="4"/>
        <charset val="136"/>
      </rPr>
      <t>業務成本與費用</t>
    </r>
  </si>
  <si>
    <r>
      <rPr>
        <sz val="12"/>
        <rFont val="標楷體"/>
        <family val="4"/>
        <charset val="136"/>
      </rPr>
      <t>業務外費用</t>
    </r>
  </si>
  <si>
    <r>
      <rPr>
        <b/>
        <sz val="12"/>
        <rFont val="標楷體"/>
        <family val="4"/>
        <charset val="136"/>
      </rPr>
      <t>本期賸餘</t>
    </r>
    <phoneticPr fontId="70" type="noConversion"/>
  </si>
  <si>
    <r>
      <rPr>
        <sz val="18"/>
        <rFont val="標楷體"/>
        <family val="4"/>
        <charset val="136"/>
      </rPr>
      <t>收支餘絀預計表（勞工保險部分）</t>
    </r>
    <phoneticPr fontId="2" type="noConversion"/>
  </si>
  <si>
    <r>
      <rPr>
        <sz val="12"/>
        <rFont val="標楷體"/>
        <family val="4"/>
        <charset val="136"/>
      </rPr>
      <t>　　　　　　　　　　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年度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    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　單位：新臺幣千元</t>
    </r>
    <phoneticPr fontId="2" type="noConversion"/>
  </si>
  <si>
    <r>
      <rPr>
        <sz val="11"/>
        <rFont val="標楷體"/>
        <family val="4"/>
        <charset val="136"/>
      </rPr>
      <t>前年度決算數</t>
    </r>
  </si>
  <si>
    <r>
      <rPr>
        <sz val="11"/>
        <rFont val="標楷體"/>
        <family val="4"/>
        <charset val="136"/>
      </rPr>
      <t>本年度預算數</t>
    </r>
  </si>
  <si>
    <r>
      <rPr>
        <sz val="11"/>
        <rFont val="標楷體"/>
        <family val="4"/>
        <charset val="136"/>
      </rPr>
      <t>上年度預算數</t>
    </r>
  </si>
  <si>
    <r>
      <rPr>
        <sz val="11"/>
        <rFont val="標楷體"/>
        <family val="4"/>
        <charset val="136"/>
      </rPr>
      <t>比較增減</t>
    </r>
    <r>
      <rPr>
        <sz val="11"/>
        <rFont val="Times New Roman"/>
        <family val="1"/>
      </rPr>
      <t>(-)</t>
    </r>
  </si>
  <si>
    <r>
      <rPr>
        <sz val="11"/>
        <rFont val="標楷體"/>
        <family val="4"/>
        <charset val="136"/>
      </rPr>
      <t>金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額</t>
    </r>
    <phoneticPr fontId="2" type="noConversion"/>
  </si>
  <si>
    <r>
      <rPr>
        <sz val="11"/>
        <rFont val="標楷體"/>
        <family val="4"/>
        <charset val="136"/>
      </rPr>
      <t>％</t>
    </r>
  </si>
  <si>
    <t>　投融資業務收入</t>
    <phoneticPr fontId="2" type="noConversion"/>
  </si>
  <si>
    <t>　　事業投資收入</t>
    <phoneticPr fontId="2" type="noConversion"/>
  </si>
  <si>
    <t>　　  普通事故</t>
    <phoneticPr fontId="2" type="noConversion"/>
  </si>
  <si>
    <t>　　融資業務收入</t>
    <phoneticPr fontId="2" type="noConversion"/>
  </si>
  <si>
    <t>　　兌換賸餘</t>
    <phoneticPr fontId="2" type="noConversion"/>
  </si>
  <si>
    <t>　　不動產投資收入</t>
    <phoneticPr fontId="2" type="noConversion"/>
  </si>
  <si>
    <t>　　出售證券收入</t>
    <phoneticPr fontId="2" type="noConversion"/>
  </si>
  <si>
    <t>　　存款利息收入</t>
    <phoneticPr fontId="2" type="noConversion"/>
  </si>
  <si>
    <t xml:space="preserve">      職業災害</t>
    <phoneticPr fontId="2" type="noConversion"/>
  </si>
  <si>
    <t>　　手續費收入</t>
    <phoneticPr fontId="2" type="noConversion"/>
  </si>
  <si>
    <t>　　  普通事故</t>
    <phoneticPr fontId="2" type="noConversion"/>
  </si>
  <si>
    <t>　　其他投融資業務收入</t>
    <phoneticPr fontId="2" type="noConversion"/>
  </si>
  <si>
    <t xml:space="preserve">      職業災害</t>
    <phoneticPr fontId="2" type="noConversion"/>
  </si>
  <si>
    <t>　保險收入</t>
    <phoneticPr fontId="2" type="noConversion"/>
  </si>
  <si>
    <t>　　保費收入</t>
    <phoneticPr fontId="2" type="noConversion"/>
  </si>
  <si>
    <t xml:space="preserve">  　收回責任準備</t>
    <phoneticPr fontId="2" type="noConversion"/>
  </si>
  <si>
    <t>　其他業務收入</t>
    <phoneticPr fontId="2" type="noConversion"/>
  </si>
  <si>
    <t>　　雜項業務收入</t>
    <phoneticPr fontId="2" type="noConversion"/>
  </si>
  <si>
    <t>業務成本與費用</t>
    <phoneticPr fontId="2" type="noConversion"/>
  </si>
  <si>
    <t xml:space="preserve">  投融資業務成本</t>
    <phoneticPr fontId="2" type="noConversion"/>
  </si>
  <si>
    <t>　　事業投資成本</t>
    <phoneticPr fontId="2" type="noConversion"/>
  </si>
  <si>
    <t>　　融資業務成本</t>
    <phoneticPr fontId="2" type="noConversion"/>
  </si>
  <si>
    <t>　　兌換短絀</t>
    <phoneticPr fontId="2" type="noConversion"/>
  </si>
  <si>
    <t>　　不動產投資成本</t>
    <phoneticPr fontId="2" type="noConversion"/>
  </si>
  <si>
    <t>　　出售證券成本</t>
    <phoneticPr fontId="2" type="noConversion"/>
  </si>
  <si>
    <t>　　其他投融資業務成本</t>
    <phoneticPr fontId="2" type="noConversion"/>
  </si>
  <si>
    <t>　保險成本</t>
    <phoneticPr fontId="2" type="noConversion"/>
  </si>
  <si>
    <t>　　保險給付</t>
    <phoneticPr fontId="2" type="noConversion"/>
  </si>
  <si>
    <t>　　提存責任準備</t>
    <phoneticPr fontId="2" type="noConversion"/>
  </si>
  <si>
    <t>　　呆帳</t>
    <phoneticPr fontId="2" type="noConversion"/>
  </si>
  <si>
    <t>業務賸餘(短絀－)</t>
    <phoneticPr fontId="2" type="noConversion"/>
  </si>
  <si>
    <t>業務外收入</t>
    <phoneticPr fontId="2" type="noConversion"/>
  </si>
  <si>
    <t>　財務收入</t>
    <phoneticPr fontId="2" type="noConversion"/>
  </si>
  <si>
    <t>　　利息收入</t>
    <phoneticPr fontId="2" type="noConversion"/>
  </si>
  <si>
    <t>　其他業務外收入</t>
    <phoneticPr fontId="2" type="noConversion"/>
  </si>
  <si>
    <t>　　違規罰款收入</t>
    <phoneticPr fontId="2" type="noConversion"/>
  </si>
  <si>
    <t>　　收回呆帳</t>
    <phoneticPr fontId="2" type="noConversion"/>
  </si>
  <si>
    <t>　　雜項收入</t>
    <phoneticPr fontId="2" type="noConversion"/>
  </si>
  <si>
    <t>業務外費用</t>
    <phoneticPr fontId="2" type="noConversion"/>
  </si>
  <si>
    <t>　其他業務外費用</t>
    <phoneticPr fontId="2" type="noConversion"/>
  </si>
  <si>
    <t>　　雜項費用</t>
    <phoneticPr fontId="2" type="noConversion"/>
  </si>
  <si>
    <t>業務外賸餘(短絀－)</t>
    <phoneticPr fontId="2" type="noConversion"/>
  </si>
  <si>
    <r>
      <rPr>
        <u/>
        <sz val="16"/>
        <rFont val="標楷體"/>
        <family val="4"/>
        <charset val="136"/>
      </rPr>
      <t>勞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動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部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勞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工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保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險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局</t>
    </r>
    <phoneticPr fontId="2" type="noConversion"/>
  </si>
  <si>
    <r>
      <rPr>
        <u/>
        <sz val="16"/>
        <rFont val="標楷體"/>
        <family val="4"/>
        <charset val="136"/>
      </rPr>
      <t>勞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工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保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險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局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作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業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基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金</t>
    </r>
    <phoneticPr fontId="2" type="noConversion"/>
  </si>
  <si>
    <r>
      <rPr>
        <sz val="18"/>
        <rFont val="標楷體"/>
        <family val="4"/>
        <charset val="136"/>
      </rPr>
      <t>現金流量預計表（勞工保險部分）</t>
    </r>
    <phoneticPr fontId="2" type="noConversion"/>
  </si>
  <si>
    <r>
      <rPr>
        <sz val="12"/>
        <rFont val="標楷體"/>
        <family val="4"/>
        <charset val="136"/>
      </rPr>
      <t>　　　　　　　　　　　　　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年度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單位：新臺幣千元</t>
    </r>
    <phoneticPr fontId="2" type="noConversion"/>
  </si>
  <si>
    <r>
      <rPr>
        <sz val="12"/>
        <rFont val="標楷體"/>
        <family val="4"/>
        <charset val="136"/>
      </rPr>
      <t>項目</t>
    </r>
    <phoneticPr fontId="2" type="noConversion"/>
  </si>
  <si>
    <r>
      <rPr>
        <sz val="12"/>
        <rFont val="標楷體"/>
        <family val="4"/>
        <charset val="136"/>
      </rPr>
      <t>預算數</t>
    </r>
    <phoneticPr fontId="2" type="noConversion"/>
  </si>
  <si>
    <r>
      <rPr>
        <sz val="12"/>
        <rFont val="標楷體"/>
        <family val="4"/>
        <charset val="136"/>
      </rPr>
      <t>　本期賸餘（短絀－）</t>
    </r>
    <phoneticPr fontId="2" type="noConversion"/>
  </si>
  <si>
    <r>
      <rPr>
        <sz val="12"/>
        <rFont val="標楷體"/>
        <family val="4"/>
        <charset val="136"/>
      </rPr>
      <t>　調整非現金項目</t>
    </r>
    <phoneticPr fontId="2" type="noConversion"/>
  </si>
  <si>
    <r>
      <t>1.</t>
    </r>
    <r>
      <rPr>
        <sz val="12"/>
        <rFont val="標楷體"/>
        <family val="4"/>
        <charset val="136"/>
      </rPr>
      <t xml:space="preserve">提存呆帳及
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短絀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 xml:space="preserve">不動產
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投資折舊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</si>
  <si>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千元</t>
    </r>
    <phoneticPr fontId="2" type="noConversion"/>
  </si>
  <si>
    <r>
      <t>2.</t>
    </r>
    <r>
      <rPr>
        <sz val="12"/>
        <rFont val="標楷體"/>
        <family val="4"/>
        <charset val="136"/>
      </rPr>
      <t>提存責任準備</t>
    </r>
    <r>
      <rPr>
        <sz val="12"/>
        <rFont val="Times New Roman"/>
        <family val="1"/>
      </rPr>
      <t/>
    </r>
    <phoneticPr fontId="2" type="noConversion"/>
  </si>
  <si>
    <r>
      <rPr>
        <sz val="12"/>
        <rFont val="標楷體"/>
        <family val="4"/>
        <charset val="136"/>
      </rPr>
      <t>　　</t>
    </r>
    <phoneticPr fontId="2" type="noConversion"/>
  </si>
  <si>
    <r>
      <t>3.</t>
    </r>
    <r>
      <rPr>
        <sz val="12"/>
        <rFont val="標楷體"/>
        <family val="4"/>
        <charset val="136"/>
      </rPr>
      <t>流動資產淨減</t>
    </r>
    <phoneticPr fontId="2" type="noConversion"/>
  </si>
  <si>
    <r>
      <t>4.</t>
    </r>
    <r>
      <rPr>
        <sz val="12"/>
        <rFont val="標楷體"/>
        <family val="4"/>
        <charset val="136"/>
      </rPr>
      <t>流動負債淨增</t>
    </r>
    <r>
      <rPr>
        <sz val="12"/>
        <rFont val="Times New Roman"/>
        <family val="1"/>
      </rPr>
      <t xml:space="preserve"> </t>
    </r>
    <phoneticPr fontId="2" type="noConversion"/>
  </si>
  <si>
    <r>
      <rPr>
        <b/>
        <sz val="12"/>
        <rFont val="標楷體"/>
        <family val="4"/>
        <charset val="136"/>
      </rPr>
      <t>　　業務活動之淨現金流入（流出－）</t>
    </r>
    <phoneticPr fontId="2" type="noConversion"/>
  </si>
  <si>
    <r>
      <rPr>
        <b/>
        <sz val="12"/>
        <rFont val="標楷體"/>
        <family val="4"/>
        <charset val="136"/>
      </rPr>
      <t>投資活動之現金流量</t>
    </r>
    <phoneticPr fontId="2" type="noConversion"/>
  </si>
  <si>
    <r>
      <rPr>
        <sz val="12"/>
        <rFont val="標楷體"/>
        <family val="4"/>
        <charset val="136"/>
      </rPr>
      <t>　減少流動金融資產及短期貸墊款</t>
    </r>
    <phoneticPr fontId="2" type="noConversion"/>
  </si>
  <si>
    <r>
      <rPr>
        <sz val="12"/>
        <rFont val="標楷體"/>
        <family val="4"/>
        <charset val="136"/>
      </rPr>
      <t>係減少短期貸墊款。</t>
    </r>
    <phoneticPr fontId="2" type="noConversion"/>
  </si>
  <si>
    <r>
      <rPr>
        <sz val="12"/>
        <rFont val="標楷體"/>
        <family val="4"/>
        <charset val="136"/>
      </rPr>
      <t>　增加流動金融資產及短期貸墊款</t>
    </r>
    <phoneticPr fontId="2" type="noConversion"/>
  </si>
  <si>
    <r>
      <rPr>
        <sz val="12"/>
        <rFont val="標楷體"/>
        <family val="4"/>
        <charset val="136"/>
      </rPr>
      <t>係增加流動金融資產</t>
    </r>
    <r>
      <rPr>
        <sz val="12"/>
        <rFont val="Times New Roman"/>
        <family val="1"/>
      </rPr>
      <t>39,981,223</t>
    </r>
    <r>
      <rPr>
        <sz val="12"/>
        <rFont val="標楷體"/>
        <family val="4"/>
        <charset val="136"/>
      </rPr>
      <t>千元及短期貸款</t>
    </r>
    <r>
      <rPr>
        <sz val="12"/>
        <rFont val="Times New Roman"/>
        <family val="1"/>
      </rPr>
      <t>1,316,900</t>
    </r>
    <r>
      <rPr>
        <sz val="12"/>
        <rFont val="標楷體"/>
        <family val="4"/>
        <charset val="136"/>
      </rPr>
      <t>千元。</t>
    </r>
    <phoneticPr fontId="2" type="noConversion"/>
  </si>
  <si>
    <r>
      <rPr>
        <sz val="12"/>
        <rFont val="標楷體"/>
        <family val="4"/>
        <charset val="136"/>
      </rPr>
      <t>　增加投資、長期應收款、貸墊款及準備金</t>
    </r>
    <phoneticPr fontId="2" type="noConversion"/>
  </si>
  <si>
    <r>
      <rPr>
        <sz val="12"/>
        <rFont val="標楷體"/>
        <family val="4"/>
        <charset val="136"/>
      </rPr>
      <t>係增加長期投資</t>
    </r>
    <r>
      <rPr>
        <sz val="12"/>
        <rFont val="Times New Roman"/>
        <family val="1"/>
      </rPr>
      <t>7,514,825</t>
    </r>
    <r>
      <rPr>
        <sz val="12"/>
        <rFont val="標楷體"/>
        <family val="4"/>
        <charset val="136"/>
      </rPr>
      <t>千元及長期貸款</t>
    </r>
    <r>
      <rPr>
        <sz val="12"/>
        <rFont val="Times New Roman"/>
        <family val="1"/>
      </rPr>
      <t>2,995,730</t>
    </r>
    <r>
      <rPr>
        <sz val="12"/>
        <rFont val="標楷體"/>
        <family val="4"/>
        <charset val="136"/>
      </rPr>
      <t>千元。</t>
    </r>
    <phoneticPr fontId="2" type="noConversion"/>
  </si>
  <si>
    <r>
      <rPr>
        <b/>
        <sz val="12"/>
        <rFont val="標楷體"/>
        <family val="4"/>
        <charset val="136"/>
      </rPr>
      <t>　　投資活動之淨現金流入（流出－）</t>
    </r>
    <phoneticPr fontId="2" type="noConversion"/>
  </si>
  <si>
    <r>
      <rPr>
        <sz val="12"/>
        <rFont val="標楷體"/>
        <family val="4"/>
        <charset val="136"/>
      </rPr>
      <t xml:space="preserve">　增加短期債務、流動金融負債、其他負債
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及遞延貸項</t>
    </r>
    <phoneticPr fontId="2" type="noConversion"/>
  </si>
  <si>
    <r>
      <rPr>
        <sz val="12"/>
        <rFont val="標楷體"/>
        <family val="4"/>
        <charset val="136"/>
      </rPr>
      <t>係增加其他負債。</t>
    </r>
    <phoneticPr fontId="2" type="noConversion"/>
  </si>
  <si>
    <r>
      <rPr>
        <b/>
        <sz val="12"/>
        <rFont val="標楷體"/>
        <family val="4"/>
        <charset val="136"/>
      </rPr>
      <t>　　融資活動之淨現金流入（流出－）</t>
    </r>
    <phoneticPr fontId="2" type="noConversion"/>
  </si>
  <si>
    <r>
      <rPr>
        <sz val="18"/>
        <rFont val="標楷體"/>
        <family val="4"/>
        <charset val="136"/>
      </rPr>
      <t>預計平衡表（勞工保險部分）</t>
    </r>
    <phoneticPr fontId="2" type="noConversion"/>
  </si>
  <si>
    <r>
      <rPr>
        <sz val="12"/>
        <rFont val="標楷體"/>
        <family val="4"/>
        <charset val="136"/>
      </rPr>
      <t>　　　　　　　　　　　　</t>
    </r>
    <r>
      <rPr>
        <sz val="12"/>
        <rFont val="Times New Roman"/>
        <family val="1"/>
      </rPr>
      <t xml:space="preserve">   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31</t>
    </r>
    <r>
      <rPr>
        <sz val="12"/>
        <rFont val="標楷體"/>
        <family val="4"/>
        <charset val="136"/>
      </rPr>
      <t>日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       </t>
    </r>
    <r>
      <rPr>
        <sz val="12"/>
        <rFont val="標楷體"/>
        <family val="4"/>
        <charset val="136"/>
      </rPr>
      <t>　　單位：新臺幣千元</t>
    </r>
    <phoneticPr fontId="2" type="noConversion"/>
  </si>
  <si>
    <r>
      <t>104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31</t>
    </r>
    <r>
      <rPr>
        <sz val="12"/>
        <rFont val="標楷體"/>
        <family val="4"/>
        <charset val="136"/>
      </rPr>
      <t>日
實際數</t>
    </r>
    <phoneticPr fontId="2" type="noConversion"/>
  </si>
  <si>
    <t>科目</t>
    <phoneticPr fontId="2" type="noConversion"/>
  </si>
  <si>
    <r>
      <t>106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31</t>
    </r>
    <r>
      <rPr>
        <sz val="12"/>
        <rFont val="標楷體"/>
        <family val="4"/>
        <charset val="136"/>
      </rPr>
      <t>日
預計數</t>
    </r>
    <phoneticPr fontId="2" type="noConversion"/>
  </si>
  <si>
    <r>
      <t>105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31</t>
    </r>
    <r>
      <rPr>
        <sz val="12"/>
        <rFont val="標楷體"/>
        <family val="4"/>
        <charset val="136"/>
      </rPr>
      <t>日
預計數</t>
    </r>
    <phoneticPr fontId="2" type="noConversion"/>
  </si>
  <si>
    <r>
      <rPr>
        <sz val="12"/>
        <rFont val="標楷體"/>
        <family val="4"/>
        <charset val="136"/>
      </rPr>
      <t>比較增減</t>
    </r>
    <r>
      <rPr>
        <sz val="12"/>
        <rFont val="Times New Roman"/>
        <family val="1"/>
      </rPr>
      <t>(-)</t>
    </r>
    <phoneticPr fontId="2" type="noConversion"/>
  </si>
  <si>
    <t>資產</t>
    <phoneticPr fontId="2" type="noConversion"/>
  </si>
  <si>
    <t>流動資產</t>
    <phoneticPr fontId="2" type="noConversion"/>
  </si>
  <si>
    <t>　現金</t>
    <phoneticPr fontId="2" type="noConversion"/>
  </si>
  <si>
    <t>　流動金融資產</t>
    <phoneticPr fontId="2" type="noConversion"/>
  </si>
  <si>
    <t>　應收款項</t>
    <phoneticPr fontId="2" type="noConversion"/>
  </si>
  <si>
    <t>　預付款項</t>
    <phoneticPr fontId="2" type="noConversion"/>
  </si>
  <si>
    <t>　短期貸墊款</t>
    <phoneticPr fontId="2" type="noConversion"/>
  </si>
  <si>
    <t>投資、長期應收款、貸墊款及準備金</t>
    <phoneticPr fontId="2" type="noConversion"/>
  </si>
  <si>
    <t>　長期投資</t>
    <phoneticPr fontId="2" type="noConversion"/>
  </si>
  <si>
    <t>　長期貸款</t>
    <phoneticPr fontId="2" type="noConversion"/>
  </si>
  <si>
    <t>其他資產</t>
    <phoneticPr fontId="2" type="noConversion"/>
  </si>
  <si>
    <t>　非業務資產</t>
    <phoneticPr fontId="2" type="noConversion"/>
  </si>
  <si>
    <t>　什項資產</t>
    <phoneticPr fontId="2" type="noConversion"/>
  </si>
  <si>
    <t>合計</t>
    <phoneticPr fontId="2" type="noConversion"/>
  </si>
  <si>
    <t>負債</t>
    <phoneticPr fontId="2" type="noConversion"/>
  </si>
  <si>
    <t>流動負債</t>
    <phoneticPr fontId="2" type="noConversion"/>
  </si>
  <si>
    <t>　應付款項</t>
    <phoneticPr fontId="2" type="noConversion"/>
  </si>
  <si>
    <t>　預收款項</t>
    <phoneticPr fontId="2" type="noConversion"/>
  </si>
  <si>
    <t>　流動金融負債</t>
    <phoneticPr fontId="2" type="noConversion"/>
  </si>
  <si>
    <t>其他負債</t>
    <phoneticPr fontId="2" type="noConversion"/>
  </si>
  <si>
    <t>　負債準備</t>
    <phoneticPr fontId="2" type="noConversion"/>
  </si>
  <si>
    <t>　什項負債</t>
    <phoneticPr fontId="2" type="noConversion"/>
  </si>
  <si>
    <t>淨值</t>
    <phoneticPr fontId="2" type="noConversion"/>
  </si>
  <si>
    <t>基金</t>
    <phoneticPr fontId="2" type="noConversion"/>
  </si>
  <si>
    <t>　基金</t>
    <phoneticPr fontId="2" type="noConversion"/>
  </si>
  <si>
    <t>公積</t>
    <phoneticPr fontId="2" type="noConversion"/>
  </si>
  <si>
    <t>　資本公積</t>
    <phoneticPr fontId="2" type="noConversion"/>
  </si>
  <si>
    <t>累積餘絀(-)</t>
    <phoneticPr fontId="2" type="noConversion"/>
  </si>
  <si>
    <t>　累積賸餘</t>
    <phoneticPr fontId="2" type="noConversion"/>
  </si>
  <si>
    <r>
      <rPr>
        <sz val="13"/>
        <rFont val="標楷體"/>
        <family val="4"/>
        <charset val="136"/>
      </rPr>
      <t>註：本年度信託代理與保證資產</t>
    </r>
    <r>
      <rPr>
        <sz val="13"/>
        <rFont val="Times New Roman"/>
        <family val="1"/>
      </rPr>
      <t>(</t>
    </r>
    <r>
      <rPr>
        <sz val="13"/>
        <rFont val="標楷體"/>
        <family val="4"/>
        <charset val="136"/>
      </rPr>
      <t>負債</t>
    </r>
    <r>
      <rPr>
        <sz val="13"/>
        <rFont val="Times New Roman"/>
        <family val="1"/>
      </rPr>
      <t>)</t>
    </r>
    <r>
      <rPr>
        <sz val="13"/>
        <rFont val="標楷體"/>
        <family val="4"/>
        <charset val="136"/>
      </rPr>
      <t>預計為</t>
    </r>
    <r>
      <rPr>
        <sz val="13"/>
        <rFont val="Times New Roman"/>
        <family val="1"/>
      </rPr>
      <t>127,742</t>
    </r>
    <r>
      <rPr>
        <sz val="13"/>
        <rFont val="標楷體"/>
        <family val="4"/>
        <charset val="136"/>
      </rPr>
      <t>千元，係包括</t>
    </r>
    <r>
      <rPr>
        <sz val="13"/>
        <rFont val="Times New Roman"/>
        <family val="1"/>
      </rPr>
      <t>(</t>
    </r>
    <r>
      <rPr>
        <sz val="13"/>
        <rFont val="標楷體"/>
        <family val="4"/>
        <charset val="136"/>
      </rPr>
      <t>應付</t>
    </r>
    <r>
      <rPr>
        <sz val="13"/>
        <rFont val="Times New Roman"/>
        <family val="1"/>
      </rPr>
      <t>)</t>
    </r>
    <r>
      <rPr>
        <sz val="13"/>
        <rFont val="標楷體"/>
        <family val="4"/>
        <charset val="136"/>
      </rPr>
      <t>保證品</t>
    </r>
    <r>
      <rPr>
        <sz val="13"/>
        <rFont val="Times New Roman"/>
        <family val="1"/>
      </rPr>
      <t>63,066</t>
    </r>
    <r>
      <rPr>
        <sz val="13"/>
        <rFont val="標楷體"/>
        <family val="4"/>
        <charset val="136"/>
      </rPr>
      <t xml:space="preserve">千
</t>
    </r>
    <r>
      <rPr>
        <sz val="13"/>
        <rFont val="Times New Roman"/>
        <family val="1"/>
      </rPr>
      <t xml:space="preserve">        </t>
    </r>
    <r>
      <rPr>
        <sz val="13"/>
        <rFont val="標楷體"/>
        <family val="4"/>
        <charset val="136"/>
      </rPr>
      <t>元及應收</t>
    </r>
    <r>
      <rPr>
        <sz val="13"/>
        <rFont val="Times New Roman"/>
        <family val="1"/>
      </rPr>
      <t>(</t>
    </r>
    <r>
      <rPr>
        <sz val="13"/>
        <rFont val="標楷體"/>
        <family val="4"/>
        <charset val="136"/>
      </rPr>
      <t>受託</t>
    </r>
    <r>
      <rPr>
        <sz val="13"/>
        <rFont val="Times New Roman"/>
        <family val="1"/>
      </rPr>
      <t>)</t>
    </r>
    <r>
      <rPr>
        <sz val="13"/>
        <rFont val="標楷體"/>
        <family val="4"/>
        <charset val="136"/>
      </rPr>
      <t>代收款</t>
    </r>
    <r>
      <rPr>
        <sz val="13"/>
        <rFont val="Times New Roman"/>
        <family val="1"/>
      </rPr>
      <t>64,676</t>
    </r>
    <r>
      <rPr>
        <sz val="13"/>
        <rFont val="標楷體"/>
        <family val="4"/>
        <charset val="136"/>
      </rPr>
      <t xml:space="preserve">千元。
</t>
    </r>
    <r>
      <rPr>
        <sz val="13"/>
        <color theme="0"/>
        <rFont val="標楷體"/>
        <family val="4"/>
        <charset val="136"/>
      </rPr>
      <t>註：</t>
    </r>
    <r>
      <rPr>
        <sz val="13"/>
        <rFont val="標楷體"/>
        <family val="4"/>
        <charset val="136"/>
      </rPr>
      <t/>
    </r>
    <phoneticPr fontId="2" type="noConversion"/>
  </si>
  <si>
    <r>
      <rPr>
        <sz val="18"/>
        <rFont val="標楷體"/>
        <family val="4"/>
        <charset val="136"/>
      </rPr>
      <t>收支餘絀預計表（就業保險部分）</t>
    </r>
    <phoneticPr fontId="2" type="noConversion"/>
  </si>
  <si>
    <r>
      <rPr>
        <sz val="12"/>
        <rFont val="標楷體"/>
        <family val="4"/>
        <charset val="136"/>
      </rPr>
      <t>　　　　　　　　　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　　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年度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   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　單位：新臺幣千元</t>
    </r>
    <phoneticPr fontId="2" type="noConversion"/>
  </si>
  <si>
    <r>
      <rPr>
        <sz val="11"/>
        <rFont val="標楷體"/>
        <family val="4"/>
        <charset val="136"/>
      </rPr>
      <t>金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額</t>
    </r>
    <phoneticPr fontId="2" type="noConversion"/>
  </si>
  <si>
    <t>　　其他投融資業務收入</t>
    <phoneticPr fontId="2" type="noConversion"/>
  </si>
  <si>
    <r>
      <rPr>
        <u/>
        <sz val="16"/>
        <rFont val="標楷體"/>
        <family val="4"/>
        <charset val="136"/>
      </rPr>
      <t>勞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動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部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勞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工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保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險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局</t>
    </r>
    <phoneticPr fontId="2" type="noConversion"/>
  </si>
  <si>
    <r>
      <rPr>
        <u/>
        <sz val="16"/>
        <rFont val="標楷體"/>
        <family val="4"/>
        <charset val="136"/>
      </rPr>
      <t>勞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工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保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險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局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作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業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基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金</t>
    </r>
    <phoneticPr fontId="2" type="noConversion"/>
  </si>
  <si>
    <r>
      <rPr>
        <sz val="18"/>
        <rFont val="標楷體"/>
        <family val="4"/>
        <charset val="136"/>
      </rPr>
      <t>現金流量預計表（就業保險部分）</t>
    </r>
    <phoneticPr fontId="2" type="noConversion"/>
  </si>
  <si>
    <r>
      <rPr>
        <sz val="12"/>
        <rFont val="標楷體"/>
        <family val="4"/>
        <charset val="136"/>
      </rPr>
      <t>　　　　　　　　　　　　　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年度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單位：新臺幣千元</t>
    </r>
    <phoneticPr fontId="2" type="noConversion"/>
  </si>
  <si>
    <r>
      <rPr>
        <sz val="12"/>
        <rFont val="標楷體"/>
        <family val="4"/>
        <charset val="136"/>
      </rPr>
      <t>項目</t>
    </r>
    <phoneticPr fontId="2" type="noConversion"/>
  </si>
  <si>
    <r>
      <rPr>
        <sz val="12"/>
        <rFont val="標楷體"/>
        <family val="4"/>
        <charset val="136"/>
      </rPr>
      <t>預算數</t>
    </r>
    <phoneticPr fontId="2" type="noConversion"/>
  </si>
  <si>
    <r>
      <rPr>
        <sz val="12"/>
        <rFont val="標楷體"/>
        <family val="4"/>
        <charset val="136"/>
      </rPr>
      <t>　本期賸餘（短絀－）</t>
    </r>
    <phoneticPr fontId="2" type="noConversion"/>
  </si>
  <si>
    <r>
      <rPr>
        <sz val="12"/>
        <rFont val="標楷體"/>
        <family val="4"/>
        <charset val="136"/>
      </rPr>
      <t>　調整非現金項目</t>
    </r>
    <phoneticPr fontId="2" type="noConversion"/>
  </si>
  <si>
    <r>
      <t>1.</t>
    </r>
    <r>
      <rPr>
        <sz val="12"/>
        <rFont val="標楷體"/>
        <family val="4"/>
        <charset val="136"/>
      </rPr>
      <t>提存呆帳</t>
    </r>
    <r>
      <rPr>
        <sz val="12"/>
        <rFont val="Times New Roman"/>
        <family val="1"/>
      </rPr>
      <t/>
    </r>
    <phoneticPr fontId="2" type="noConversion"/>
  </si>
  <si>
    <r>
      <rPr>
        <sz val="12"/>
        <rFont val="標楷體"/>
        <family val="4"/>
        <charset val="136"/>
      </rPr>
      <t>千元</t>
    </r>
    <phoneticPr fontId="2" type="noConversion"/>
  </si>
  <si>
    <r>
      <t>2.</t>
    </r>
    <r>
      <rPr>
        <sz val="12"/>
        <rFont val="標楷體"/>
        <family val="4"/>
        <charset val="136"/>
      </rPr>
      <t>攤銷</t>
    </r>
    <phoneticPr fontId="2" type="noConversion"/>
  </si>
  <si>
    <r>
      <t>3.</t>
    </r>
    <r>
      <rPr>
        <sz val="12"/>
        <rFont val="標楷體"/>
        <family val="4"/>
        <charset val="136"/>
      </rPr>
      <t>提存責任準備</t>
    </r>
    <r>
      <rPr>
        <sz val="12"/>
        <rFont val="Times New Roman"/>
        <family val="1"/>
      </rPr>
      <t/>
    </r>
    <phoneticPr fontId="2" type="noConversion"/>
  </si>
  <si>
    <r>
      <rPr>
        <sz val="12"/>
        <rFont val="標楷體"/>
        <family val="4"/>
        <charset val="136"/>
      </rPr>
      <t>　　</t>
    </r>
    <phoneticPr fontId="2" type="noConversion"/>
  </si>
  <si>
    <r>
      <t>4.</t>
    </r>
    <r>
      <rPr>
        <sz val="12"/>
        <rFont val="標楷體"/>
        <family val="4"/>
        <charset val="136"/>
      </rPr>
      <t>流動資產淨減</t>
    </r>
    <phoneticPr fontId="2" type="noConversion"/>
  </si>
  <si>
    <r>
      <t>5.</t>
    </r>
    <r>
      <rPr>
        <sz val="12"/>
        <rFont val="標楷體"/>
        <family val="4"/>
        <charset val="136"/>
      </rPr>
      <t>流動負債淨增</t>
    </r>
    <r>
      <rPr>
        <sz val="12"/>
        <rFont val="Times New Roman"/>
        <family val="1"/>
      </rPr>
      <t xml:space="preserve"> </t>
    </r>
    <phoneticPr fontId="2" type="noConversion"/>
  </si>
  <si>
    <r>
      <rPr>
        <b/>
        <sz val="12"/>
        <rFont val="標楷體"/>
        <family val="4"/>
        <charset val="136"/>
      </rPr>
      <t>　　業務活動之淨現金流入（流出－）</t>
    </r>
    <phoneticPr fontId="2" type="noConversion"/>
  </si>
  <si>
    <r>
      <rPr>
        <b/>
        <sz val="12"/>
        <rFont val="標楷體"/>
        <family val="4"/>
        <charset val="136"/>
      </rPr>
      <t>投資活動之現金流量</t>
    </r>
    <phoneticPr fontId="2" type="noConversion"/>
  </si>
  <si>
    <r>
      <rPr>
        <sz val="12"/>
        <rFont val="標楷體"/>
        <family val="4"/>
        <charset val="136"/>
      </rPr>
      <t>　增加流動金融資產及短期貸墊款</t>
    </r>
    <phoneticPr fontId="2" type="noConversion"/>
  </si>
  <si>
    <r>
      <rPr>
        <sz val="12"/>
        <rFont val="標楷體"/>
        <family val="4"/>
        <charset val="136"/>
      </rPr>
      <t>係增加流動金融資產。</t>
    </r>
    <phoneticPr fontId="2" type="noConversion"/>
  </si>
  <si>
    <r>
      <rPr>
        <sz val="12"/>
        <rFont val="標楷體"/>
        <family val="4"/>
        <charset val="136"/>
      </rPr>
      <t>　增加投資、長期應收款、貸墊款及準備金</t>
    </r>
    <phoneticPr fontId="2" type="noConversion"/>
  </si>
  <si>
    <r>
      <rPr>
        <sz val="12"/>
        <rFont val="標楷體"/>
        <family val="4"/>
        <charset val="136"/>
      </rPr>
      <t>係增加長期投資。</t>
    </r>
    <phoneticPr fontId="2" type="noConversion"/>
  </si>
  <si>
    <r>
      <t xml:space="preserve">  </t>
    </r>
    <r>
      <rPr>
        <sz val="12"/>
        <rFont val="標楷體"/>
        <family val="4"/>
        <charset val="136"/>
      </rPr>
      <t>增加無形資產、遞延借項及其他資產</t>
    </r>
    <phoneticPr fontId="2" type="noConversion"/>
  </si>
  <si>
    <r>
      <rPr>
        <sz val="12"/>
        <rFont val="標楷體"/>
        <family val="4"/>
        <charset val="136"/>
      </rPr>
      <t>係增加無形資產。</t>
    </r>
    <phoneticPr fontId="2" type="noConversion"/>
  </si>
  <si>
    <r>
      <rPr>
        <b/>
        <sz val="12"/>
        <rFont val="標楷體"/>
        <family val="4"/>
        <charset val="136"/>
      </rPr>
      <t>　　投資活動之淨現金流入（流出－）</t>
    </r>
    <phoneticPr fontId="2" type="noConversion"/>
  </si>
  <si>
    <r>
      <rPr>
        <sz val="12"/>
        <rFont val="標楷體"/>
        <family val="4"/>
        <charset val="136"/>
      </rPr>
      <t xml:space="preserve">　減少短期債務、流動金融負債、其他負債
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及遞延貸項</t>
    </r>
    <phoneticPr fontId="2" type="noConversion"/>
  </si>
  <si>
    <r>
      <rPr>
        <sz val="12"/>
        <rFont val="標楷體"/>
        <family val="4"/>
        <charset val="136"/>
      </rPr>
      <t>係減少其他負債。</t>
    </r>
    <phoneticPr fontId="2" type="noConversion"/>
  </si>
  <si>
    <r>
      <rPr>
        <b/>
        <sz val="12"/>
        <rFont val="標楷體"/>
        <family val="4"/>
        <charset val="136"/>
      </rPr>
      <t>　　融資活動之淨現金流入（流出－）</t>
    </r>
    <phoneticPr fontId="2" type="noConversion"/>
  </si>
  <si>
    <r>
      <rPr>
        <sz val="18"/>
        <rFont val="標楷體"/>
        <family val="4"/>
        <charset val="136"/>
      </rPr>
      <t>預計平衡表（就業保險部分）</t>
    </r>
    <phoneticPr fontId="2" type="noConversion"/>
  </si>
  <si>
    <r>
      <rPr>
        <sz val="12"/>
        <rFont val="標楷體"/>
        <family val="4"/>
        <charset val="136"/>
      </rPr>
      <t>　　　　　　　　　　　　</t>
    </r>
    <r>
      <rPr>
        <sz val="12"/>
        <rFont val="Times New Roman"/>
        <family val="1"/>
      </rPr>
      <t xml:space="preserve">   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31</t>
    </r>
    <r>
      <rPr>
        <sz val="12"/>
        <rFont val="標楷體"/>
        <family val="4"/>
        <charset val="136"/>
      </rPr>
      <t>日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       </t>
    </r>
    <r>
      <rPr>
        <sz val="12"/>
        <rFont val="標楷體"/>
        <family val="4"/>
        <charset val="136"/>
      </rPr>
      <t>　　單位：新臺幣千元</t>
    </r>
    <phoneticPr fontId="2" type="noConversion"/>
  </si>
  <si>
    <r>
      <t>104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31</t>
    </r>
    <r>
      <rPr>
        <sz val="12"/>
        <rFont val="標楷體"/>
        <family val="4"/>
        <charset val="136"/>
      </rPr>
      <t>日
實際數</t>
    </r>
    <phoneticPr fontId="2" type="noConversion"/>
  </si>
  <si>
    <t>科目</t>
    <phoneticPr fontId="2" type="noConversion"/>
  </si>
  <si>
    <r>
      <t>106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31</t>
    </r>
    <r>
      <rPr>
        <sz val="12"/>
        <rFont val="標楷體"/>
        <family val="4"/>
        <charset val="136"/>
      </rPr>
      <t>日
預計數</t>
    </r>
    <phoneticPr fontId="2" type="noConversion"/>
  </si>
  <si>
    <r>
      <t>105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31</t>
    </r>
    <r>
      <rPr>
        <sz val="12"/>
        <rFont val="標楷體"/>
        <family val="4"/>
        <charset val="136"/>
      </rPr>
      <t>日
預計數</t>
    </r>
    <phoneticPr fontId="2" type="noConversion"/>
  </si>
  <si>
    <r>
      <rPr>
        <sz val="12"/>
        <rFont val="標楷體"/>
        <family val="4"/>
        <charset val="136"/>
      </rPr>
      <t>比較增減</t>
    </r>
    <r>
      <rPr>
        <sz val="12"/>
        <rFont val="Times New Roman"/>
        <family val="1"/>
      </rPr>
      <t>(-)</t>
    </r>
    <phoneticPr fontId="2" type="noConversion"/>
  </si>
  <si>
    <t>資產</t>
    <phoneticPr fontId="2" type="noConversion"/>
  </si>
  <si>
    <t>流動資產</t>
    <phoneticPr fontId="2" type="noConversion"/>
  </si>
  <si>
    <t>　現金</t>
    <phoneticPr fontId="2" type="noConversion"/>
  </si>
  <si>
    <t>　流動金融資產</t>
    <phoneticPr fontId="2" type="noConversion"/>
  </si>
  <si>
    <t>　應收款項</t>
    <phoneticPr fontId="2" type="noConversion"/>
  </si>
  <si>
    <t>投資、長期應收款、貸墊款及準備金</t>
    <phoneticPr fontId="2" type="noConversion"/>
  </si>
  <si>
    <t>　長期投資</t>
    <phoneticPr fontId="2" type="noConversion"/>
  </si>
  <si>
    <t>其他資產</t>
    <phoneticPr fontId="2" type="noConversion"/>
  </si>
  <si>
    <t>流動負債</t>
    <phoneticPr fontId="2" type="noConversion"/>
  </si>
  <si>
    <t>其他負債</t>
    <phoneticPr fontId="2" type="noConversion"/>
  </si>
  <si>
    <t>淨值</t>
    <phoneticPr fontId="2" type="noConversion"/>
  </si>
  <si>
    <t>累積餘絀(-)</t>
    <phoneticPr fontId="2" type="noConversion"/>
  </si>
  <si>
    <r>
      <rPr>
        <sz val="13"/>
        <rFont val="標楷體"/>
        <family val="4"/>
        <charset val="136"/>
      </rPr>
      <t>註：本年度信託代理與保證資產</t>
    </r>
    <r>
      <rPr>
        <sz val="13"/>
        <rFont val="Times New Roman"/>
        <family val="1"/>
      </rPr>
      <t>(</t>
    </r>
    <r>
      <rPr>
        <sz val="13"/>
        <rFont val="標楷體"/>
        <family val="4"/>
        <charset val="136"/>
      </rPr>
      <t>負債</t>
    </r>
    <r>
      <rPr>
        <sz val="13"/>
        <rFont val="Times New Roman"/>
        <family val="1"/>
      </rPr>
      <t>)</t>
    </r>
    <r>
      <rPr>
        <sz val="13"/>
        <rFont val="標楷體"/>
        <family val="4"/>
        <charset val="136"/>
      </rPr>
      <t>預計為</t>
    </r>
    <r>
      <rPr>
        <sz val="13"/>
        <rFont val="Times New Roman"/>
        <family val="1"/>
      </rPr>
      <t>9,375</t>
    </r>
    <r>
      <rPr>
        <sz val="13"/>
        <rFont val="標楷體"/>
        <family val="4"/>
        <charset val="136"/>
      </rPr>
      <t>千元，係應收</t>
    </r>
    <r>
      <rPr>
        <sz val="13"/>
        <rFont val="Times New Roman"/>
        <family val="1"/>
      </rPr>
      <t>(</t>
    </r>
    <r>
      <rPr>
        <sz val="13"/>
        <rFont val="標楷體"/>
        <family val="4"/>
        <charset val="136"/>
      </rPr>
      <t>受託</t>
    </r>
    <r>
      <rPr>
        <sz val="13"/>
        <rFont val="Times New Roman"/>
        <family val="1"/>
      </rPr>
      <t>)</t>
    </r>
    <r>
      <rPr>
        <sz val="13"/>
        <rFont val="標楷體"/>
        <family val="4"/>
        <charset val="136"/>
      </rPr>
      <t>代收款。</t>
    </r>
    <phoneticPr fontId="2" type="noConversion"/>
  </si>
  <si>
    <r>
      <rPr>
        <sz val="18"/>
        <rFont val="標楷體"/>
        <family val="4"/>
        <charset val="136"/>
      </rPr>
      <t>收支餘絀預計表（農民健康保險部分）</t>
    </r>
    <r>
      <rPr>
        <sz val="18"/>
        <rFont val="Times New Roman"/>
        <family val="1"/>
      </rPr>
      <t xml:space="preserve"> </t>
    </r>
    <phoneticPr fontId="2" type="noConversion"/>
  </si>
  <si>
    <r>
      <rPr>
        <sz val="12"/>
        <rFont val="標楷體"/>
        <family val="4"/>
        <charset val="136"/>
      </rPr>
      <t>　　　　　　　　　　　　　</t>
    </r>
    <r>
      <rPr>
        <sz val="12"/>
        <rFont val="Times New Roman"/>
        <family val="1"/>
      </rPr>
      <t xml:space="preserve">   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年度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　　單位：新臺幣千元</t>
    </r>
    <phoneticPr fontId="2" type="noConversion"/>
  </si>
  <si>
    <r>
      <rPr>
        <sz val="18"/>
        <rFont val="標楷體"/>
        <family val="4"/>
        <charset val="136"/>
      </rPr>
      <t>現金流量預計表（農民健康保險部分）</t>
    </r>
    <r>
      <rPr>
        <sz val="18"/>
        <rFont val="Times New Roman"/>
        <family val="1"/>
      </rPr>
      <t xml:space="preserve"> </t>
    </r>
    <phoneticPr fontId="2" type="noConversion"/>
  </si>
  <si>
    <r>
      <t>2.</t>
    </r>
    <r>
      <rPr>
        <sz val="12"/>
        <rFont val="標楷體"/>
        <family val="4"/>
        <charset val="136"/>
      </rPr>
      <t>流動資產淨增</t>
    </r>
    <phoneticPr fontId="2" type="noConversion"/>
  </si>
  <si>
    <r>
      <t>3.</t>
    </r>
    <r>
      <rPr>
        <sz val="12"/>
        <rFont val="標楷體"/>
        <family val="4"/>
        <charset val="136"/>
      </rPr>
      <t>流動負債淨減</t>
    </r>
    <phoneticPr fontId="2" type="noConversion"/>
  </si>
  <si>
    <r>
      <rPr>
        <sz val="12"/>
        <rFont val="標楷體"/>
        <family val="4"/>
        <charset val="136"/>
      </rPr>
      <t xml:space="preserve">　增加短期債務、流動金融負債、其他負債
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及遞延貸項</t>
    </r>
    <phoneticPr fontId="2" type="noConversion"/>
  </si>
  <si>
    <r>
      <rPr>
        <sz val="12"/>
        <rFont val="標楷體"/>
        <family val="4"/>
        <charset val="136"/>
      </rPr>
      <t>係增加短期債務。</t>
    </r>
    <phoneticPr fontId="2" type="noConversion"/>
  </si>
  <si>
    <r>
      <rPr>
        <sz val="18"/>
        <rFont val="標楷體"/>
        <family val="4"/>
        <charset val="136"/>
      </rPr>
      <t>預計平衡表（農民健康保險部分）</t>
    </r>
    <r>
      <rPr>
        <sz val="18"/>
        <rFont val="Times New Roman"/>
        <family val="1"/>
      </rPr>
      <t xml:space="preserve"> </t>
    </r>
    <phoneticPr fontId="2" type="noConversion"/>
  </si>
  <si>
    <t>其他資產</t>
    <phoneticPr fontId="2" type="noConversion"/>
  </si>
  <si>
    <t>　什項資產</t>
    <phoneticPr fontId="2" type="noConversion"/>
  </si>
  <si>
    <t>合計</t>
    <phoneticPr fontId="2" type="noConversion"/>
  </si>
  <si>
    <t>負債</t>
    <phoneticPr fontId="2" type="noConversion"/>
  </si>
  <si>
    <t>流動負債</t>
    <phoneticPr fontId="2" type="noConversion"/>
  </si>
  <si>
    <t>　短期債務</t>
    <phoneticPr fontId="2" type="noConversion"/>
  </si>
  <si>
    <t>　應付款項</t>
    <phoneticPr fontId="2" type="noConversion"/>
  </si>
  <si>
    <t>　預收款項</t>
    <phoneticPr fontId="2" type="noConversion"/>
  </si>
  <si>
    <t>其他負債</t>
    <phoneticPr fontId="2" type="noConversion"/>
  </si>
  <si>
    <t>　什項負債</t>
    <phoneticPr fontId="2" type="noConversion"/>
  </si>
  <si>
    <t>淨值</t>
    <phoneticPr fontId="2" type="noConversion"/>
  </si>
  <si>
    <t>累積餘絀(-)</t>
    <phoneticPr fontId="2" type="noConversion"/>
  </si>
  <si>
    <t>　累積賸餘</t>
    <phoneticPr fontId="2" type="noConversion"/>
  </si>
  <si>
    <t>　　  未加保勞工</t>
    <phoneticPr fontId="2" type="noConversion"/>
  </si>
  <si>
    <t>　　  已加保勞工</t>
    <phoneticPr fontId="2" type="noConversion"/>
  </si>
  <si>
    <t xml:space="preserve">    雜項收入</t>
    <phoneticPr fontId="2" type="noConversion"/>
  </si>
  <si>
    <t xml:space="preserve">  其他業務外收入</t>
    <phoneticPr fontId="2" type="noConversion"/>
  </si>
  <si>
    <t>業務賸餘(短絀－)</t>
    <phoneticPr fontId="2" type="noConversion"/>
  </si>
  <si>
    <t>　　  未加保勞工</t>
    <phoneticPr fontId="2" type="noConversion"/>
  </si>
  <si>
    <t>　　雜項業務成本</t>
    <phoneticPr fontId="2" type="noConversion"/>
  </si>
  <si>
    <t>　其他業務成本</t>
    <phoneticPr fontId="2" type="noConversion"/>
  </si>
  <si>
    <t>　　  已加保勞工</t>
    <phoneticPr fontId="2" type="noConversion"/>
  </si>
  <si>
    <t>　　呆帳</t>
    <phoneticPr fontId="2" type="noConversion"/>
  </si>
  <si>
    <t>　　提存責任準備</t>
    <phoneticPr fontId="2" type="noConversion"/>
  </si>
  <si>
    <t>　　保險給付</t>
    <phoneticPr fontId="2" type="noConversion"/>
  </si>
  <si>
    <t>　保險成本</t>
    <phoneticPr fontId="2" type="noConversion"/>
  </si>
  <si>
    <t>業務成本與費用</t>
    <phoneticPr fontId="2" type="noConversion"/>
  </si>
  <si>
    <t>　　雜項業務收入</t>
    <phoneticPr fontId="2" type="noConversion"/>
  </si>
  <si>
    <t>　　其他補助收入</t>
    <phoneticPr fontId="2" type="noConversion"/>
  </si>
  <si>
    <t>　其他業務收入</t>
    <phoneticPr fontId="2" type="noConversion"/>
  </si>
  <si>
    <t xml:space="preserve">  　收回責任準備</t>
    <phoneticPr fontId="2" type="noConversion"/>
  </si>
  <si>
    <t>　保險收入</t>
    <phoneticPr fontId="2" type="noConversion"/>
  </si>
  <si>
    <t>　　存款利息收入</t>
    <phoneticPr fontId="2" type="noConversion"/>
  </si>
  <si>
    <t>　投融資業務收入</t>
    <phoneticPr fontId="2" type="noConversion"/>
  </si>
  <si>
    <r>
      <rPr>
        <sz val="11"/>
        <rFont val="標楷體"/>
        <family val="4"/>
        <charset val="136"/>
      </rPr>
      <t>金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額</t>
    </r>
    <phoneticPr fontId="2" type="noConversion"/>
  </si>
  <si>
    <t xml:space="preserve">      </t>
    <phoneticPr fontId="2" type="noConversion"/>
  </si>
  <si>
    <r>
      <rPr>
        <sz val="12"/>
        <rFont val="標楷體"/>
        <family val="4"/>
        <charset val="136"/>
      </rPr>
      <t>　　　　　　　　　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　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年度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　單位：新臺幣千元</t>
    </r>
    <phoneticPr fontId="2" type="noConversion"/>
  </si>
  <si>
    <r>
      <rPr>
        <sz val="18"/>
        <rFont val="標楷體"/>
        <family val="4"/>
        <charset val="136"/>
      </rPr>
      <t>收支餘絀預計表（職業災害勞工保護部分）</t>
    </r>
    <r>
      <rPr>
        <sz val="18"/>
        <rFont val="Times New Roman"/>
        <family val="1"/>
      </rPr>
      <t xml:space="preserve"> </t>
    </r>
    <phoneticPr fontId="2" type="noConversion"/>
  </si>
  <si>
    <r>
      <rPr>
        <u/>
        <sz val="16"/>
        <rFont val="標楷體"/>
        <family val="4"/>
        <charset val="136"/>
      </rPr>
      <t>勞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工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保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險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局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作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業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基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金</t>
    </r>
    <phoneticPr fontId="2" type="noConversion"/>
  </si>
  <si>
    <r>
      <rPr>
        <u/>
        <sz val="16"/>
        <rFont val="標楷體"/>
        <family val="4"/>
        <charset val="136"/>
      </rPr>
      <t>勞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動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部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勞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工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保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險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局</t>
    </r>
    <phoneticPr fontId="2" type="noConversion"/>
  </si>
  <si>
    <t>合計</t>
    <phoneticPr fontId="2" type="noConversion"/>
  </si>
  <si>
    <t>　累積賸餘</t>
    <phoneticPr fontId="2" type="noConversion"/>
  </si>
  <si>
    <t>累積餘絀(-)</t>
    <phoneticPr fontId="2" type="noConversion"/>
  </si>
  <si>
    <t>淨值</t>
    <phoneticPr fontId="2" type="noConversion"/>
  </si>
  <si>
    <t>　什項負債</t>
    <phoneticPr fontId="2" type="noConversion"/>
  </si>
  <si>
    <t>　負債準備</t>
    <phoneticPr fontId="2" type="noConversion"/>
  </si>
  <si>
    <t>其他負債</t>
    <phoneticPr fontId="2" type="noConversion"/>
  </si>
  <si>
    <t>　應付款項</t>
    <phoneticPr fontId="2" type="noConversion"/>
  </si>
  <si>
    <t>流動負債</t>
    <phoneticPr fontId="2" type="noConversion"/>
  </si>
  <si>
    <t>負債</t>
    <phoneticPr fontId="2" type="noConversion"/>
  </si>
  <si>
    <t>　什項資產</t>
    <phoneticPr fontId="2" type="noConversion"/>
  </si>
  <si>
    <t>其他資產</t>
    <phoneticPr fontId="2" type="noConversion"/>
  </si>
  <si>
    <t>　預付款項</t>
    <phoneticPr fontId="2" type="noConversion"/>
  </si>
  <si>
    <t>　應收款項</t>
    <phoneticPr fontId="2" type="noConversion"/>
  </si>
  <si>
    <t>　現金</t>
    <phoneticPr fontId="2" type="noConversion"/>
  </si>
  <si>
    <t>流動資產</t>
    <phoneticPr fontId="2" type="noConversion"/>
  </si>
  <si>
    <t>資產</t>
    <phoneticPr fontId="2" type="noConversion"/>
  </si>
  <si>
    <r>
      <rPr>
        <sz val="12"/>
        <rFont val="標楷體"/>
        <family val="4"/>
        <charset val="136"/>
      </rPr>
      <t>比較增減</t>
    </r>
    <r>
      <rPr>
        <sz val="12"/>
        <rFont val="Times New Roman"/>
        <family val="1"/>
      </rPr>
      <t>(-)</t>
    </r>
    <phoneticPr fontId="2" type="noConversion"/>
  </si>
  <si>
    <r>
      <t>105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31</t>
    </r>
    <r>
      <rPr>
        <sz val="12"/>
        <rFont val="標楷體"/>
        <family val="4"/>
        <charset val="136"/>
      </rPr>
      <t>日
預計數</t>
    </r>
    <phoneticPr fontId="2" type="noConversion"/>
  </si>
  <si>
    <r>
      <t>106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31</t>
    </r>
    <r>
      <rPr>
        <sz val="12"/>
        <rFont val="標楷體"/>
        <family val="4"/>
        <charset val="136"/>
      </rPr>
      <t>日
預計數</t>
    </r>
    <phoneticPr fontId="2" type="noConversion"/>
  </si>
  <si>
    <t>科目</t>
    <phoneticPr fontId="2" type="noConversion"/>
  </si>
  <si>
    <r>
      <t>104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31</t>
    </r>
    <r>
      <rPr>
        <sz val="12"/>
        <rFont val="標楷體"/>
        <family val="4"/>
        <charset val="136"/>
      </rPr>
      <t>日
實際數</t>
    </r>
    <phoneticPr fontId="2" type="noConversion"/>
  </si>
  <si>
    <r>
      <rPr>
        <sz val="12"/>
        <rFont val="標楷體"/>
        <family val="4"/>
        <charset val="136"/>
      </rPr>
      <t>　　　　　　　　　　　　</t>
    </r>
    <r>
      <rPr>
        <sz val="12"/>
        <rFont val="Times New Roman"/>
        <family val="1"/>
      </rPr>
      <t xml:space="preserve">   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31</t>
    </r>
    <r>
      <rPr>
        <sz val="12"/>
        <rFont val="標楷體"/>
        <family val="4"/>
        <charset val="136"/>
      </rPr>
      <t>日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       </t>
    </r>
    <r>
      <rPr>
        <sz val="12"/>
        <rFont val="標楷體"/>
        <family val="4"/>
        <charset val="136"/>
      </rPr>
      <t>　　單位：新臺幣千元</t>
    </r>
    <phoneticPr fontId="2" type="noConversion"/>
  </si>
  <si>
    <r>
      <rPr>
        <sz val="18"/>
        <rFont val="標楷體"/>
        <family val="4"/>
        <charset val="136"/>
      </rPr>
      <t>預計平衡表（職業災害勞工保護部分）</t>
    </r>
    <r>
      <rPr>
        <sz val="18"/>
        <rFont val="Times New Roman"/>
        <family val="1"/>
      </rPr>
      <t xml:space="preserve"> </t>
    </r>
    <phoneticPr fontId="2" type="noConversion"/>
  </si>
  <si>
    <r>
      <rPr>
        <u/>
        <sz val="16"/>
        <rFont val="標楷體"/>
        <family val="4"/>
        <charset val="136"/>
      </rPr>
      <t>勞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動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部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勞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工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保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險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局</t>
    </r>
    <phoneticPr fontId="2" type="noConversion"/>
  </si>
  <si>
    <r>
      <rPr>
        <u/>
        <sz val="16"/>
        <rFont val="標楷體"/>
        <family val="4"/>
        <charset val="136"/>
      </rPr>
      <t>勞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工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保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險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局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作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業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基</t>
    </r>
    <r>
      <rPr>
        <u/>
        <sz val="16"/>
        <rFont val="Times New Roman"/>
        <family val="1"/>
      </rPr>
      <t xml:space="preserve">  </t>
    </r>
    <r>
      <rPr>
        <u/>
        <sz val="16"/>
        <rFont val="標楷體"/>
        <family val="4"/>
        <charset val="136"/>
      </rPr>
      <t>金</t>
    </r>
    <phoneticPr fontId="2" type="noConversion"/>
  </si>
  <si>
    <r>
      <rPr>
        <sz val="18"/>
        <rFont val="標楷體"/>
        <family val="4"/>
        <charset val="136"/>
      </rPr>
      <t>現金流量預計表（職業災害勞工保護部分）</t>
    </r>
    <r>
      <rPr>
        <sz val="18"/>
        <rFont val="Times New Roman"/>
        <family val="1"/>
      </rPr>
      <t xml:space="preserve"> </t>
    </r>
    <phoneticPr fontId="2" type="noConversion"/>
  </si>
  <si>
    <r>
      <rPr>
        <sz val="12"/>
        <rFont val="標楷體"/>
        <family val="4"/>
        <charset val="136"/>
      </rPr>
      <t>　　　　　　　　　　　　　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年度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單位：新臺幣千元</t>
    </r>
    <phoneticPr fontId="2" type="noConversion"/>
  </si>
  <si>
    <r>
      <rPr>
        <sz val="12"/>
        <rFont val="標楷體"/>
        <family val="4"/>
        <charset val="136"/>
      </rPr>
      <t>　調整非現金項目</t>
    </r>
    <phoneticPr fontId="2" type="noConversion"/>
  </si>
  <si>
    <r>
      <t>1.</t>
    </r>
    <r>
      <rPr>
        <sz val="12"/>
        <rFont val="標楷體"/>
        <family val="4"/>
        <charset val="136"/>
      </rPr>
      <t>提存呆帳</t>
    </r>
    <r>
      <rPr>
        <sz val="12"/>
        <rFont val="Times New Roman"/>
        <family val="1"/>
      </rPr>
      <t/>
    </r>
    <phoneticPr fontId="2" type="noConversion"/>
  </si>
  <si>
    <r>
      <rPr>
        <sz val="12"/>
        <rFont val="標楷體"/>
        <family val="4"/>
        <charset val="136"/>
      </rPr>
      <t>千元</t>
    </r>
    <phoneticPr fontId="2" type="noConversion"/>
  </si>
  <si>
    <r>
      <t>2.</t>
    </r>
    <r>
      <rPr>
        <sz val="12"/>
        <rFont val="標楷體"/>
        <family val="4"/>
        <charset val="136"/>
      </rPr>
      <t>收回責任準備</t>
    </r>
    <r>
      <rPr>
        <sz val="12"/>
        <rFont val="Times New Roman"/>
        <family val="1"/>
      </rPr>
      <t/>
    </r>
    <phoneticPr fontId="2" type="noConversion"/>
  </si>
  <si>
    <r>
      <rPr>
        <sz val="12"/>
        <rFont val="標楷體"/>
        <family val="4"/>
        <charset val="136"/>
      </rPr>
      <t>　　</t>
    </r>
    <phoneticPr fontId="2" type="noConversion"/>
  </si>
  <si>
    <r>
      <t>3.</t>
    </r>
    <r>
      <rPr>
        <sz val="12"/>
        <rFont val="標楷體"/>
        <family val="4"/>
        <charset val="136"/>
      </rPr>
      <t>流動資產淨增</t>
    </r>
    <phoneticPr fontId="2" type="noConversion"/>
  </si>
  <si>
    <r>
      <t>4.</t>
    </r>
    <r>
      <rPr>
        <sz val="12"/>
        <rFont val="標楷體"/>
        <family val="4"/>
        <charset val="136"/>
      </rPr>
      <t>流動負債淨增</t>
    </r>
    <phoneticPr fontId="2" type="noConversion"/>
  </si>
  <si>
    <r>
      <rPr>
        <b/>
        <sz val="12"/>
        <rFont val="標楷體"/>
        <family val="4"/>
        <charset val="136"/>
      </rPr>
      <t>　　業務活動之淨現金流入（流出－）</t>
    </r>
    <phoneticPr fontId="2" type="noConversion"/>
  </si>
  <si>
    <r>
      <rPr>
        <sz val="13"/>
        <rFont val="標楷體"/>
        <family val="4"/>
        <charset val="136"/>
      </rPr>
      <t>本年度業務收入</t>
    </r>
    <r>
      <rPr>
        <sz val="13"/>
        <rFont val="Times New Roman"/>
        <family val="1"/>
      </rPr>
      <t>418,430,732</t>
    </r>
    <r>
      <rPr>
        <sz val="13"/>
        <rFont val="標楷體"/>
        <family val="4"/>
        <charset val="136"/>
      </rPr>
      <t>千元，包括：</t>
    </r>
    <phoneticPr fontId="2" type="noConversion"/>
  </si>
  <si>
    <r>
      <rPr>
        <sz val="13"/>
        <rFont val="標楷體"/>
        <family val="4"/>
        <charset val="136"/>
      </rPr>
      <t>保險收入</t>
    </r>
    <r>
      <rPr>
        <sz val="13"/>
        <rFont val="Times New Roman"/>
        <family val="1"/>
      </rPr>
      <t>382,942,398</t>
    </r>
    <r>
      <rPr>
        <sz val="13"/>
        <rFont val="標楷體"/>
        <family val="4"/>
        <charset val="136"/>
      </rPr>
      <t>千元，詳第</t>
    </r>
    <r>
      <rPr>
        <sz val="13"/>
        <rFont val="Times New Roman"/>
        <family val="1"/>
      </rPr>
      <t>21</t>
    </r>
    <r>
      <rPr>
        <sz val="13"/>
        <rFont val="標楷體"/>
        <family val="4"/>
        <charset val="136"/>
      </rPr>
      <t>頁保險收入明細表。</t>
    </r>
    <phoneticPr fontId="2" type="noConversion"/>
  </si>
  <si>
    <r>
      <rPr>
        <sz val="13"/>
        <rFont val="標楷體"/>
        <family val="4"/>
        <charset val="136"/>
      </rPr>
      <t>本年度業務成本與費用</t>
    </r>
    <r>
      <rPr>
        <sz val="13"/>
        <rFont val="Times New Roman"/>
        <family val="1"/>
      </rPr>
      <t>418,534,437</t>
    </r>
    <r>
      <rPr>
        <sz val="13"/>
        <rFont val="標楷體"/>
        <family val="4"/>
        <charset val="136"/>
      </rPr>
      <t>千元，包括：</t>
    </r>
    <phoneticPr fontId="2" type="noConversion"/>
  </si>
  <si>
    <r>
      <rPr>
        <sz val="13"/>
        <rFont val="標楷體"/>
        <family val="4"/>
        <charset val="136"/>
      </rPr>
      <t>投融資業務成本</t>
    </r>
    <r>
      <rPr>
        <sz val="13"/>
        <rFont val="Times New Roman"/>
        <family val="1"/>
      </rPr>
      <t>1,100,732</t>
    </r>
    <r>
      <rPr>
        <sz val="13"/>
        <rFont val="標楷體"/>
        <family val="4"/>
        <charset val="136"/>
      </rPr>
      <t>千元，詳第</t>
    </r>
    <r>
      <rPr>
        <sz val="13"/>
        <rFont val="Times New Roman"/>
        <family val="1"/>
      </rPr>
      <t>25~28</t>
    </r>
    <r>
      <rPr>
        <sz val="13"/>
        <rFont val="標楷體"/>
        <family val="4"/>
        <charset val="136"/>
      </rPr>
      <t>頁投融資業務成本明細表及說明。</t>
    </r>
    <phoneticPr fontId="2" type="noConversion"/>
  </si>
  <si>
    <r>
      <rPr>
        <sz val="13"/>
        <rFont val="標楷體"/>
        <family val="4"/>
        <charset val="136"/>
      </rPr>
      <t>保險成本</t>
    </r>
    <r>
      <rPr>
        <sz val="13"/>
        <rFont val="Times New Roman"/>
        <family val="1"/>
      </rPr>
      <t>414,923,371</t>
    </r>
    <r>
      <rPr>
        <sz val="13"/>
        <rFont val="標楷體"/>
        <family val="4"/>
        <charset val="136"/>
      </rPr>
      <t>千元，詳第</t>
    </r>
    <r>
      <rPr>
        <sz val="13"/>
        <rFont val="Times New Roman"/>
        <family val="1"/>
      </rPr>
      <t>29~33</t>
    </r>
    <r>
      <rPr>
        <sz val="13"/>
        <rFont val="標楷體"/>
        <family val="4"/>
        <charset val="136"/>
      </rPr>
      <t>頁保險成本明細表及說明。</t>
    </r>
    <phoneticPr fontId="2" type="noConversion"/>
  </si>
  <si>
    <r>
      <rPr>
        <sz val="12"/>
        <rFont val="標楷體"/>
        <family val="4"/>
        <charset val="136"/>
      </rPr>
      <t>職業安全衛生署辦理，係本年度職業災害勞工保護已加保勞工、未加保勞工部分，收支短絀各為</t>
    </r>
    <r>
      <rPr>
        <sz val="12"/>
        <rFont val="Times New Roman"/>
        <family val="1"/>
      </rPr>
      <t>493,570</t>
    </r>
    <r>
      <rPr>
        <sz val="12"/>
        <rFont val="標楷體"/>
        <family val="4"/>
        <charset val="136"/>
      </rPr>
      <t>千元、</t>
    </r>
    <r>
      <rPr>
        <sz val="12"/>
        <rFont val="Times New Roman"/>
        <family val="1"/>
      </rPr>
      <t>13,982</t>
    </r>
    <r>
      <rPr>
        <sz val="12"/>
        <rFont val="標楷體"/>
        <family val="4"/>
        <charset val="136"/>
      </rPr>
      <t>千元，悉數由以前年度累積之提存責任準備彌平。</t>
    </r>
    <phoneticPr fontId="2" type="noConversion"/>
  </si>
  <si>
    <r>
      <rPr>
        <sz val="12"/>
        <rFont val="標楷體"/>
        <family val="4"/>
        <charset val="136"/>
      </rPr>
      <t>編列</t>
    </r>
    <r>
      <rPr>
        <sz val="12"/>
        <rFont val="Times New Roman"/>
        <family val="1"/>
      </rPr>
      <t>68,000</t>
    </r>
    <r>
      <rPr>
        <sz val="12"/>
        <rFont val="標楷體"/>
        <family val="4"/>
        <charset val="136"/>
      </rPr>
      <t>千元，由勞動部勞工保險局辦理，係辦理被保險人貸款之手續費。</t>
    </r>
    <r>
      <rPr>
        <sz val="12"/>
        <color indexed="12"/>
        <rFont val="Times New Roman"/>
        <family val="1"/>
      </rPr>
      <t/>
    </r>
    <phoneticPr fontId="2" type="noConversion"/>
  </si>
  <si>
    <r>
      <rPr>
        <sz val="12"/>
        <rFont val="標楷體"/>
        <family val="4"/>
        <charset val="136"/>
      </rPr>
      <t>本科目勞動部勞工保險局辦理</t>
    </r>
    <r>
      <rPr>
        <sz val="12"/>
        <rFont val="Times New Roman"/>
        <family val="1"/>
      </rPr>
      <t>68,000</t>
    </r>
    <r>
      <rPr>
        <sz val="12"/>
        <rFont val="標楷體"/>
        <family val="4"/>
        <charset val="136"/>
      </rPr>
      <t>千元；勞動基金運用局辦理</t>
    </r>
    <r>
      <rPr>
        <sz val="12"/>
        <rFont val="Times New Roman"/>
        <family val="1"/>
      </rPr>
      <t>1,032,732</t>
    </r>
    <r>
      <rPr>
        <sz val="12"/>
        <rFont val="標楷體"/>
        <family val="4"/>
        <charset val="136"/>
      </rPr>
      <t>千元。</t>
    </r>
    <phoneticPr fontId="2" type="noConversion"/>
  </si>
  <si>
    <r>
      <rPr>
        <sz val="12"/>
        <rFont val="標楷體"/>
        <family val="4"/>
        <charset val="136"/>
      </rPr>
      <t>編列</t>
    </r>
    <r>
      <rPr>
        <sz val="12"/>
        <rFont val="Times New Roman"/>
        <family val="1"/>
      </rPr>
      <t>558,069</t>
    </r>
    <r>
      <rPr>
        <sz val="12"/>
        <rFont val="標楷體"/>
        <family val="4"/>
        <charset val="136"/>
      </rPr>
      <t>千元，詳第</t>
    </r>
    <r>
      <rPr>
        <sz val="12"/>
        <rFont val="Times New Roman"/>
        <family val="1"/>
      </rPr>
      <t>58~60</t>
    </r>
    <r>
      <rPr>
        <sz val="12"/>
        <rFont val="標楷體"/>
        <family val="4"/>
        <charset val="136"/>
      </rPr>
      <t>頁保險給付分析表，其中：</t>
    </r>
    <phoneticPr fontId="2" type="noConversion"/>
  </si>
  <si>
    <r>
      <rPr>
        <sz val="12"/>
        <rFont val="標楷體"/>
        <family val="4"/>
        <charset val="136"/>
      </rPr>
      <t>編列</t>
    </r>
    <r>
      <rPr>
        <sz val="12"/>
        <rFont val="Times New Roman"/>
        <family val="1"/>
      </rPr>
      <t>43,837,951</t>
    </r>
    <r>
      <rPr>
        <sz val="12"/>
        <rFont val="標楷體"/>
        <family val="4"/>
        <charset val="136"/>
      </rPr>
      <t>千元，係勞工保險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>普通事故及職業災害之收入減支出後之餘額，悉數轉列提存責任準備。</t>
    </r>
    <phoneticPr fontId="2" type="noConversion"/>
  </si>
  <si>
    <r>
      <rPr>
        <sz val="12"/>
        <rFont val="標楷體"/>
        <family val="4"/>
        <charset val="136"/>
      </rPr>
      <t>本科目勞動部勞工保險局辦理</t>
    </r>
    <r>
      <rPr>
        <sz val="12"/>
        <rFont val="Times New Roman"/>
        <family val="1"/>
      </rPr>
      <t>382,434,846</t>
    </r>
    <r>
      <rPr>
        <sz val="12"/>
        <rFont val="標楷體"/>
        <family val="4"/>
        <charset val="136"/>
      </rPr>
      <t>千元；職業安全衛生署辦理</t>
    </r>
    <r>
      <rPr>
        <sz val="12"/>
        <rFont val="Times New Roman"/>
        <family val="1"/>
      </rPr>
      <t>507,552</t>
    </r>
    <r>
      <rPr>
        <sz val="12"/>
        <rFont val="標楷體"/>
        <family val="4"/>
        <charset val="136"/>
      </rPr>
      <t>千元。</t>
    </r>
    <phoneticPr fontId="2" type="noConversion"/>
  </si>
  <si>
    <r>
      <rPr>
        <sz val="12"/>
        <rFont val="標楷體"/>
        <family val="4"/>
        <charset val="136"/>
      </rPr>
      <t>職業災害預防與補助、職業災害勞工職業重建及輔助設施補助部分，係參考歷年成長因素及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年度預估推動之計畫，編列</t>
    </r>
    <r>
      <rPr>
        <sz val="12"/>
        <rFont val="Times New Roman"/>
        <family val="1"/>
      </rPr>
      <t>337,490</t>
    </r>
    <r>
      <rPr>
        <sz val="12"/>
        <rFont val="標楷體"/>
        <family val="4"/>
        <charset val="136"/>
      </rPr>
      <t>千元。</t>
    </r>
    <phoneticPr fontId="2" type="noConversion"/>
  </si>
  <si>
    <r>
      <rPr>
        <sz val="11.5"/>
        <rFont val="標楷體"/>
        <family val="4"/>
        <charset val="136"/>
      </rPr>
      <t>註：勞動部勞工保險局組織法業於</t>
    </r>
    <r>
      <rPr>
        <sz val="11.5"/>
        <rFont val="Times New Roman"/>
        <family val="1"/>
      </rPr>
      <t>103</t>
    </r>
    <r>
      <rPr>
        <sz val="11.5"/>
        <rFont val="標楷體"/>
        <family val="4"/>
        <charset val="136"/>
      </rPr>
      <t>年</t>
    </r>
    <r>
      <rPr>
        <sz val="11.5"/>
        <rFont val="Times New Roman"/>
        <family val="1"/>
      </rPr>
      <t>1</t>
    </r>
    <r>
      <rPr>
        <sz val="11.5"/>
        <rFont val="標楷體"/>
        <family val="4"/>
        <charset val="136"/>
      </rPr>
      <t>月</t>
    </r>
    <r>
      <rPr>
        <sz val="11.5"/>
        <rFont val="Times New Roman"/>
        <family val="1"/>
      </rPr>
      <t>29</t>
    </r>
    <r>
      <rPr>
        <sz val="11.5"/>
        <rFont val="標楷體"/>
        <family val="4"/>
        <charset val="136"/>
      </rPr>
      <t>日總統令公布，並經行政院公告自</t>
    </r>
    <r>
      <rPr>
        <sz val="11.5"/>
        <rFont val="Times New Roman"/>
        <family val="1"/>
      </rPr>
      <t>103</t>
    </r>
    <r>
      <rPr>
        <sz val="11.5"/>
        <rFont val="標楷體"/>
        <family val="4"/>
        <charset val="136"/>
      </rPr>
      <t>年</t>
    </r>
    <r>
      <rPr>
        <sz val="11.5"/>
        <rFont val="Times New Roman"/>
        <family val="1"/>
      </rPr>
      <t>2</t>
    </r>
    <r>
      <rPr>
        <sz val="11.5"/>
        <rFont val="標楷體"/>
        <family val="4"/>
        <charset val="136"/>
      </rPr>
      <t>月</t>
    </r>
    <r>
      <rPr>
        <sz val="11.5"/>
        <rFont val="Times New Roman"/>
        <family val="1"/>
      </rPr>
      <t>17</t>
    </r>
    <r>
      <rPr>
        <sz val="11.5"/>
        <rFont val="標楷體"/>
        <family val="4"/>
        <charset val="136"/>
      </rPr>
      <t xml:space="preserve">日
</t>
    </r>
    <r>
      <rPr>
        <sz val="11.5"/>
        <rFont val="Times New Roman"/>
        <family val="1"/>
      </rPr>
      <t xml:space="preserve">        </t>
    </r>
    <r>
      <rPr>
        <sz val="11.5"/>
        <rFont val="標楷體"/>
        <family val="4"/>
        <charset val="136"/>
      </rPr>
      <t>改制為行政機關，爰</t>
    </r>
    <r>
      <rPr>
        <sz val="11.5"/>
        <rFont val="Times New Roman"/>
        <family val="1"/>
      </rPr>
      <t>104</t>
    </r>
    <r>
      <rPr>
        <sz val="11.5"/>
        <rFont val="標楷體"/>
        <family val="4"/>
        <charset val="136"/>
      </rPr>
      <t>年度起改編作業基金，</t>
    </r>
    <r>
      <rPr>
        <sz val="11.5"/>
        <rFont val="Times New Roman"/>
        <family val="1"/>
      </rPr>
      <t>102</t>
    </r>
    <r>
      <rPr>
        <sz val="11.5"/>
        <rFont val="標楷體"/>
        <family val="4"/>
        <charset val="136"/>
      </rPr>
      <t>至</t>
    </r>
    <r>
      <rPr>
        <sz val="11.5"/>
        <rFont val="Times New Roman"/>
        <family val="1"/>
      </rPr>
      <t>103</t>
    </r>
    <r>
      <rPr>
        <sz val="11.5"/>
        <rFont val="標楷體"/>
        <family val="4"/>
        <charset val="136"/>
      </rPr>
      <t xml:space="preserve">年度決算數依勞工保險局附屬單
</t>
    </r>
    <r>
      <rPr>
        <sz val="11.5"/>
        <rFont val="Times New Roman"/>
        <family val="1"/>
      </rPr>
      <t xml:space="preserve">        </t>
    </r>
    <r>
      <rPr>
        <sz val="11.5"/>
        <rFont val="標楷體"/>
        <family val="4"/>
        <charset val="136"/>
      </rPr>
      <t>位決算審定決算數重新調整編製；</t>
    </r>
    <r>
      <rPr>
        <sz val="11.5"/>
        <rFont val="Times New Roman"/>
        <family val="1"/>
      </rPr>
      <t>104</t>
    </r>
    <r>
      <rPr>
        <sz val="11.5"/>
        <rFont val="標楷體"/>
        <family val="4"/>
        <charset val="136"/>
      </rPr>
      <t>年度決算數為審定決算數；</t>
    </r>
    <r>
      <rPr>
        <sz val="11.5"/>
        <rFont val="Times New Roman"/>
        <family val="1"/>
      </rPr>
      <t>105</t>
    </r>
    <r>
      <rPr>
        <sz val="11.5"/>
        <rFont val="標楷體"/>
        <family val="4"/>
        <charset val="136"/>
      </rPr>
      <t xml:space="preserve">年度為法定預算數。
</t>
    </r>
    <r>
      <rPr>
        <sz val="11.5"/>
        <rFont val="Times New Roman"/>
        <family val="1"/>
      </rPr>
      <t xml:space="preserve"> </t>
    </r>
    <phoneticPr fontId="70" type="noConversion"/>
  </si>
  <si>
    <r>
      <rPr>
        <sz val="12"/>
        <rFont val="標楷體"/>
        <family val="4"/>
        <charset val="136"/>
      </rPr>
      <t>本科目勞動部勞工保險局辦理</t>
    </r>
    <r>
      <rPr>
        <sz val="12"/>
        <rFont val="Times New Roman"/>
        <family val="1"/>
      </rPr>
      <t>414,364,462</t>
    </r>
    <r>
      <rPr>
        <sz val="12"/>
        <rFont val="標楷體"/>
        <family val="4"/>
        <charset val="136"/>
      </rPr>
      <t>千元；職業安全衛生署辦理</t>
    </r>
    <r>
      <rPr>
        <sz val="12"/>
        <rFont val="Times New Roman"/>
        <family val="1"/>
      </rPr>
      <t>558,909</t>
    </r>
    <r>
      <rPr>
        <sz val="12"/>
        <rFont val="標楷體"/>
        <family val="4"/>
        <charset val="136"/>
      </rPr>
      <t>千元。</t>
    </r>
    <phoneticPr fontId="2" type="noConversion"/>
  </si>
  <si>
    <r>
      <rPr>
        <sz val="7.5"/>
        <rFont val="標楷體"/>
        <family val="4"/>
        <charset val="136"/>
      </rPr>
      <t>註：</t>
    </r>
    <r>
      <rPr>
        <sz val="7.5"/>
        <rFont val="Times New Roman"/>
        <family val="1"/>
      </rPr>
      <t>1.</t>
    </r>
    <r>
      <rPr>
        <sz val="7.5"/>
        <rFont val="標楷體"/>
        <family val="4"/>
        <charset val="136"/>
      </rPr>
      <t xml:space="preserve">前年度決算數為審定決算數；上年度預算數為法定預算數。
</t>
    </r>
    <r>
      <rPr>
        <sz val="7.5"/>
        <rFont val="Times New Roman"/>
        <family val="1"/>
      </rPr>
      <t xml:space="preserve">        2.</t>
    </r>
    <r>
      <rPr>
        <sz val="7.5"/>
        <rFont val="標楷體"/>
        <family val="4"/>
        <charset val="136"/>
      </rPr>
      <t>百分比及前年度決算數細數之和與總數或略有出入，係四捨五入關係。以下各表同。</t>
    </r>
    <phoneticPr fontId="2" type="noConversion"/>
  </si>
  <si>
    <r>
      <t>註：</t>
    </r>
    <r>
      <rPr>
        <sz val="7.5"/>
        <rFont val="Times New Roman"/>
        <family val="1"/>
      </rPr>
      <t>1.</t>
    </r>
    <r>
      <rPr>
        <sz val="7.5"/>
        <rFont val="標楷體"/>
        <family val="4"/>
        <charset val="136"/>
      </rPr>
      <t xml:space="preserve">前年度決算數為審定決算數；上年度預算數為法定預算數。
</t>
    </r>
    <r>
      <rPr>
        <sz val="7.5"/>
        <rFont val="Times New Roman"/>
        <family val="1"/>
      </rPr>
      <t xml:space="preserve">        2.</t>
    </r>
    <r>
      <rPr>
        <sz val="7.5"/>
        <rFont val="標楷體"/>
        <family val="4"/>
        <charset val="136"/>
      </rPr>
      <t>百分比及前年度決算數細數之和與總數或略有出入，係四捨五入關係。以下各表同。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</si>
</sst>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1" formatCode="_-* #,##0_-;\-* #,##0_-;_-* &quot;-&quot;_-;_-@_-"/>
    <numFmt numFmtId="43" formatCode="_-* #,##0.00_-;\-* #,##0.00_-;_-* &quot;-&quot;??_-;_-@_-"/>
    <numFmt numFmtId="176" formatCode="0.00_ "/>
    <numFmt numFmtId="177" formatCode="0.000%"/>
    <numFmt numFmtId="178" formatCode="_-* #,##0_-;\-* #,##0_-;_-* &quot;-&quot;??_-;_-@_-"/>
    <numFmt numFmtId="179" formatCode="#,##0_ "/>
    <numFmt numFmtId="180" formatCode="#,##0_);[Red]\(#,##0\)"/>
    <numFmt numFmtId="181" formatCode="#,##0.00_ "/>
    <numFmt numFmtId="182" formatCode="#,##0_ ;[Red]\-#,##0\ "/>
    <numFmt numFmtId="183" formatCode="0.00000_);[Red]\(0.00000\)"/>
    <numFmt numFmtId="184" formatCode="#,##0.00_);[Red]\(#,##0.00\)"/>
    <numFmt numFmtId="185" formatCode="0.00_);[Red]\(0.00\)"/>
    <numFmt numFmtId="186" formatCode="_-[$€-2]* #,##0.00_-;\-[$€-2]* #,##0.00_-;_-[$€-2]* &quot;-&quot;??_-"/>
    <numFmt numFmtId="187" formatCode="0.0000%"/>
    <numFmt numFmtId="188" formatCode="0.0000_ "/>
    <numFmt numFmtId="189" formatCode="0_ "/>
    <numFmt numFmtId="190" formatCode="#,##0.0000_ "/>
  </numFmts>
  <fonts count="8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u/>
      <sz val="16"/>
      <name val="Times New Roman"/>
      <family val="1"/>
    </font>
    <font>
      <u/>
      <sz val="16"/>
      <name val="標楷體"/>
      <family val="4"/>
      <charset val="136"/>
    </font>
    <font>
      <u/>
      <sz val="14"/>
      <name val="Times New Roman"/>
      <family val="1"/>
    </font>
    <font>
      <sz val="12"/>
      <name val="Times New Roman"/>
      <family val="1"/>
    </font>
    <font>
      <sz val="18"/>
      <name val="標楷體"/>
      <family val="4"/>
      <charset val="136"/>
    </font>
    <font>
      <sz val="18"/>
      <name val="Times New Roman"/>
      <family val="1"/>
    </font>
    <font>
      <b/>
      <sz val="18"/>
      <name val="Times New Roman"/>
      <family val="1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name val="Times New Roman"/>
      <family val="1"/>
    </font>
    <font>
      <sz val="14"/>
      <name val="Times New Roman"/>
      <family val="1"/>
    </font>
    <font>
      <sz val="14"/>
      <name val="標楷體"/>
      <family val="4"/>
      <charset val="136"/>
    </font>
    <font>
      <sz val="13"/>
      <name val="Times New Roman"/>
      <family val="1"/>
    </font>
    <font>
      <sz val="12"/>
      <color indexed="8"/>
      <name val="標楷體"/>
      <family val="4"/>
      <charset val="136"/>
    </font>
    <font>
      <sz val="12"/>
      <color indexed="8"/>
      <name val="Times New Roman"/>
      <family val="1"/>
    </font>
    <font>
      <sz val="11"/>
      <name val="標楷體"/>
      <family val="4"/>
      <charset val="136"/>
    </font>
    <font>
      <sz val="16"/>
      <name val="華康楷書體W5"/>
      <family val="3"/>
      <charset val="136"/>
    </font>
    <font>
      <sz val="11"/>
      <name val="Times New Roman"/>
      <family val="1"/>
    </font>
    <font>
      <b/>
      <sz val="11"/>
      <name val="標楷體"/>
      <family val="4"/>
      <charset val="136"/>
    </font>
    <font>
      <sz val="16"/>
      <name val="標楷體"/>
      <family val="4"/>
      <charset val="136"/>
    </font>
    <font>
      <b/>
      <sz val="9"/>
      <color indexed="81"/>
      <name val="新細明體"/>
      <family val="1"/>
      <charset val="136"/>
    </font>
    <font>
      <sz val="9"/>
      <color indexed="81"/>
      <name val="新細明體"/>
      <family val="1"/>
      <charset val="136"/>
    </font>
    <font>
      <sz val="10"/>
      <name val="Times New Roman"/>
      <family val="1"/>
    </font>
    <font>
      <sz val="13"/>
      <color indexed="10"/>
      <name val="Times New Roman"/>
      <family val="1"/>
    </font>
    <font>
      <sz val="13"/>
      <name val="標楷體"/>
      <family val="4"/>
      <charset val="136"/>
    </font>
    <font>
      <sz val="12"/>
      <color indexed="12"/>
      <name val="Times New Roman"/>
      <family val="1"/>
    </font>
    <font>
      <b/>
      <sz val="9"/>
      <name val="標楷體"/>
      <family val="4"/>
      <charset val="136"/>
    </font>
    <font>
      <sz val="9"/>
      <name val="Times New Roman"/>
      <family val="1"/>
    </font>
    <font>
      <sz val="9"/>
      <name val="標楷體"/>
      <family val="4"/>
      <charset val="136"/>
    </font>
    <font>
      <b/>
      <sz val="11"/>
      <name val="Times New Roman"/>
      <family val="1"/>
    </font>
    <font>
      <sz val="16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sz val="12"/>
      <name val="Courier"/>
      <family val="3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0"/>
      <name val="標楷體"/>
      <family val="4"/>
      <charset val="136"/>
    </font>
    <font>
      <b/>
      <sz val="10"/>
      <name val="Times New Roman"/>
      <family val="1"/>
    </font>
    <font>
      <sz val="7.5"/>
      <name val="標楷體"/>
      <family val="4"/>
      <charset val="136"/>
    </font>
    <font>
      <sz val="7.5"/>
      <name val="Times New Roman"/>
      <family val="1"/>
    </font>
    <font>
      <sz val="11.5"/>
      <name val="Times New Roman"/>
      <family val="1"/>
    </font>
    <font>
      <sz val="11.5"/>
      <name val="標楷體"/>
      <family val="4"/>
      <charset val="136"/>
    </font>
    <font>
      <sz val="10"/>
      <name val="Trebuchet MS"/>
      <family val="2"/>
    </font>
    <font>
      <sz val="9"/>
      <name val="微軟正黑體"/>
      <family val="1"/>
      <charset val="136"/>
    </font>
    <font>
      <sz val="10"/>
      <color indexed="64"/>
      <name val="Arial"/>
      <family val="2"/>
    </font>
    <font>
      <sz val="9"/>
      <color indexed="8"/>
      <name val="Eras Medium ITC"/>
      <family val="2"/>
    </font>
    <font>
      <sz val="10.5"/>
      <name val="標楷體"/>
      <family val="4"/>
      <charset val="136"/>
    </font>
    <font>
      <sz val="12"/>
      <color rgb="FFFF0000"/>
      <name val="Times New Roman"/>
      <family val="1"/>
    </font>
    <font>
      <sz val="10.5"/>
      <name val="Times New Roman"/>
      <family val="1"/>
    </font>
    <font>
      <b/>
      <sz val="6"/>
      <name val="Times New Roman"/>
      <family val="1"/>
    </font>
    <font>
      <sz val="10.6"/>
      <name val="標楷體"/>
      <family val="4"/>
      <charset val="136"/>
    </font>
    <font>
      <b/>
      <sz val="16"/>
      <name val="Times New Roman"/>
      <family val="1"/>
    </font>
    <font>
      <b/>
      <sz val="16"/>
      <name val="標楷體"/>
      <family val="4"/>
      <charset val="136"/>
    </font>
    <font>
      <sz val="9"/>
      <name val="細明體"/>
      <family val="3"/>
      <charset val="136"/>
    </font>
    <font>
      <b/>
      <sz val="10"/>
      <name val="標楷體"/>
      <family val="4"/>
      <charset val="136"/>
    </font>
    <font>
      <sz val="8"/>
      <name val="Times New Roman"/>
      <family val="1"/>
    </font>
    <font>
      <sz val="8"/>
      <name val="標楷體"/>
      <family val="4"/>
      <charset val="136"/>
    </font>
    <font>
      <sz val="13"/>
      <color theme="0"/>
      <name val="標楷體"/>
      <family val="4"/>
      <charset val="136"/>
    </font>
    <font>
      <b/>
      <sz val="10"/>
      <color indexed="8"/>
      <name val="Times New Roman"/>
      <family val="1"/>
    </font>
    <font>
      <b/>
      <sz val="9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b/>
      <sz val="9"/>
      <color indexed="81"/>
      <name val="細明體"/>
      <family val="3"/>
      <charset val="136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63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2">
    <xf numFmtId="0" fontId="0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186" fontId="22" fillId="0" borderId="0" applyFont="0" applyFill="0" applyBorder="0" applyAlignment="0" applyProtection="0"/>
    <xf numFmtId="0" fontId="19" fillId="0" borderId="0" applyFont="0"/>
    <xf numFmtId="43" fontId="1" fillId="0" borderId="0" applyFon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8" fillId="0" borderId="0"/>
    <xf numFmtId="0" fontId="39" fillId="0" borderId="1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41" fillId="17" borderId="2" applyNumberFormat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35" fillId="18" borderId="4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5" applyNumberFormat="0" applyFill="0" applyAlignment="0" applyProtection="0">
      <alignment vertical="center"/>
    </xf>
    <xf numFmtId="0" fontId="46" fillId="0" borderId="6" applyNumberFormat="0" applyFill="0" applyAlignment="0" applyProtection="0">
      <alignment vertical="center"/>
    </xf>
    <xf numFmtId="0" fontId="47" fillId="0" borderId="7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7" borderId="2" applyNumberFormat="0" applyAlignment="0" applyProtection="0">
      <alignment vertical="center"/>
    </xf>
    <xf numFmtId="0" fontId="49" fillId="17" borderId="8" applyNumberFormat="0" applyAlignment="0" applyProtection="0">
      <alignment vertical="center"/>
    </xf>
    <xf numFmtId="0" fontId="50" fillId="23" borderId="9" applyNumberFormat="0" applyAlignment="0" applyProtection="0">
      <alignment vertical="center"/>
    </xf>
    <xf numFmtId="0" fontId="51" fillId="3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9" fillId="0" borderId="0">
      <alignment horizontal="left" vertical="center"/>
    </xf>
    <xf numFmtId="0" fontId="35" fillId="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60" fillId="0" borderId="0"/>
    <xf numFmtId="0" fontId="1" fillId="0" borderId="0">
      <alignment vertical="center"/>
    </xf>
    <xf numFmtId="0" fontId="60" fillId="0" borderId="0"/>
    <xf numFmtId="0" fontId="6" fillId="0" borderId="0">
      <alignment vertical="center"/>
    </xf>
    <xf numFmtId="0" fontId="35" fillId="0" borderId="0">
      <alignment vertical="center"/>
    </xf>
    <xf numFmtId="0" fontId="1" fillId="0" borderId="0"/>
    <xf numFmtId="0" fontId="6" fillId="0" borderId="0">
      <alignment vertical="center"/>
    </xf>
    <xf numFmtId="0" fontId="61" fillId="0" borderId="0"/>
    <xf numFmtId="0" fontId="6" fillId="0" borderId="0">
      <alignment vertical="center"/>
    </xf>
    <xf numFmtId="0" fontId="6" fillId="0" borderId="0">
      <alignment vertical="center"/>
    </xf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  <xf numFmtId="41" fontId="6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1" fillId="17" borderId="2" applyNumberFormat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1" fillId="18" borderId="4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45" fillId="0" borderId="5" applyNumberFormat="0" applyFill="0" applyAlignment="0" applyProtection="0">
      <alignment vertical="center"/>
    </xf>
    <xf numFmtId="0" fontId="46" fillId="0" borderId="6" applyNumberFormat="0" applyFill="0" applyAlignment="0" applyProtection="0">
      <alignment vertical="center"/>
    </xf>
    <xf numFmtId="0" fontId="47" fillId="0" borderId="7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59" fillId="0" borderId="0">
      <alignment horizontal="left" vertical="center"/>
    </xf>
    <xf numFmtId="0" fontId="48" fillId="7" borderId="2" applyNumberFormat="0" applyAlignment="0" applyProtection="0">
      <alignment vertical="center"/>
    </xf>
    <xf numFmtId="0" fontId="49" fillId="17" borderId="8" applyNumberFormat="0" applyAlignment="0" applyProtection="0">
      <alignment vertical="center"/>
    </xf>
    <xf numFmtId="0" fontId="50" fillId="23" borderId="9" applyNumberFormat="0" applyAlignment="0" applyProtection="0">
      <alignment vertical="center"/>
    </xf>
    <xf numFmtId="0" fontId="51" fillId="3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9" fillId="0" borderId="0" applyFont="0"/>
  </cellStyleXfs>
  <cellXfs count="951">
    <xf numFmtId="0" fontId="0" fillId="0" borderId="0" xfId="0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>
      <alignment vertical="center"/>
    </xf>
    <xf numFmtId="0" fontId="9" fillId="0" borderId="0" xfId="0" applyFont="1" applyFill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13" xfId="0" applyFont="1" applyFill="1" applyBorder="1" applyAlignment="1">
      <alignment vertical="center" wrapText="1"/>
    </xf>
    <xf numFmtId="0" fontId="6" fillId="0" borderId="14" xfId="0" applyFont="1" applyFill="1" applyBorder="1" applyAlignment="1">
      <alignment horizontal="center" vertical="center" wrapText="1"/>
    </xf>
    <xf numFmtId="182" fontId="6" fillId="0" borderId="18" xfId="0" applyNumberFormat="1" applyFont="1" applyFill="1" applyBorder="1" applyAlignment="1">
      <alignment vertical="top" wrapText="1"/>
    </xf>
    <xf numFmtId="0" fontId="6" fillId="0" borderId="0" xfId="0" applyFont="1" applyFill="1" applyAlignment="1">
      <alignment vertical="top"/>
    </xf>
    <xf numFmtId="0" fontId="12" fillId="0" borderId="0" xfId="0" applyFont="1" applyFill="1" applyBorder="1" applyAlignment="1">
      <alignment vertical="top" wrapText="1"/>
    </xf>
    <xf numFmtId="0" fontId="3" fillId="0" borderId="0" xfId="0" applyFont="1" applyAlignment="1">
      <alignment vertical="center"/>
    </xf>
    <xf numFmtId="0" fontId="6" fillId="0" borderId="0" xfId="0" applyFont="1">
      <alignment vertical="center"/>
    </xf>
    <xf numFmtId="0" fontId="9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0" xfId="0" applyFont="1">
      <alignment vertical="center"/>
    </xf>
    <xf numFmtId="0" fontId="15" fillId="0" borderId="0" xfId="0" applyFont="1" applyAlignment="1">
      <alignment vertical="top"/>
    </xf>
    <xf numFmtId="0" fontId="14" fillId="0" borderId="19" xfId="0" applyFont="1" applyBorder="1" applyAlignment="1">
      <alignment horizontal="distributed" vertical="center" indent="2"/>
    </xf>
    <xf numFmtId="177" fontId="6" fillId="0" borderId="0" xfId="0" applyNumberFormat="1" applyFont="1" applyFill="1" applyAlignment="1">
      <alignment vertical="center"/>
    </xf>
    <xf numFmtId="182" fontId="12" fillId="0" borderId="18" xfId="0" applyNumberFormat="1" applyFont="1" applyFill="1" applyBorder="1" applyAlignment="1">
      <alignment vertical="top" wrapText="1"/>
    </xf>
    <xf numFmtId="0" fontId="6" fillId="0" borderId="0" xfId="0" applyFont="1" applyAlignment="1">
      <alignment vertical="top"/>
    </xf>
    <xf numFmtId="0" fontId="6" fillId="0" borderId="11" xfId="0" applyFont="1" applyBorder="1" applyAlignment="1">
      <alignment horizontal="left" vertical="top" wrapText="1"/>
    </xf>
    <xf numFmtId="0" fontId="15" fillId="0" borderId="0" xfId="0" applyFont="1" applyAlignment="1">
      <alignment horizontal="left" vertical="top"/>
    </xf>
    <xf numFmtId="0" fontId="6" fillId="0" borderId="14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distributed" vertical="center" wrapText="1" indent="2"/>
    </xf>
    <xf numFmtId="0" fontId="11" fillId="0" borderId="17" xfId="0" applyFont="1" applyFill="1" applyBorder="1" applyAlignment="1">
      <alignment horizontal="left" vertical="top"/>
    </xf>
    <xf numFmtId="3" fontId="12" fillId="0" borderId="18" xfId="0" applyNumberFormat="1" applyFont="1" applyFill="1" applyBorder="1" applyAlignment="1">
      <alignment horizontal="right" vertical="top" wrapText="1"/>
    </xf>
    <xf numFmtId="3" fontId="12" fillId="0" borderId="18" xfId="0" applyNumberFormat="1" applyFont="1" applyFill="1" applyBorder="1" applyAlignment="1">
      <alignment horizontal="center" vertical="top" wrapText="1"/>
    </xf>
    <xf numFmtId="0" fontId="12" fillId="0" borderId="11" xfId="0" applyFont="1" applyFill="1" applyBorder="1" applyAlignment="1">
      <alignment vertical="top" wrapText="1"/>
    </xf>
    <xf numFmtId="0" fontId="12" fillId="0" borderId="0" xfId="0" applyFont="1" applyFill="1" applyAlignment="1">
      <alignment vertical="top"/>
    </xf>
    <xf numFmtId="3" fontId="6" fillId="0" borderId="18" xfId="0" applyNumberFormat="1" applyFont="1" applyFill="1" applyBorder="1" applyAlignment="1">
      <alignment horizontal="right" vertical="top" wrapText="1"/>
    </xf>
    <xf numFmtId="0" fontId="12" fillId="0" borderId="0" xfId="0" applyFont="1" applyFill="1" applyBorder="1" applyAlignment="1">
      <alignment vertical="top"/>
    </xf>
    <xf numFmtId="0" fontId="6" fillId="0" borderId="18" xfId="0" applyFont="1" applyFill="1" applyBorder="1" applyAlignment="1">
      <alignment horizontal="center" vertical="top" wrapText="1"/>
    </xf>
    <xf numFmtId="0" fontId="6" fillId="0" borderId="11" xfId="0" applyFont="1" applyFill="1" applyBorder="1" applyAlignment="1">
      <alignment vertical="top" wrapText="1"/>
    </xf>
    <xf numFmtId="0" fontId="12" fillId="0" borderId="0" xfId="0" applyFont="1" applyFill="1" applyBorder="1" applyAlignment="1">
      <alignment horizontal="left" vertical="top" wrapText="1"/>
    </xf>
    <xf numFmtId="0" fontId="12" fillId="0" borderId="0" xfId="0" applyFont="1" applyFill="1" applyAlignment="1">
      <alignment vertical="top" wrapText="1"/>
    </xf>
    <xf numFmtId="182" fontId="6" fillId="0" borderId="12" xfId="0" applyNumberFormat="1" applyFont="1" applyFill="1" applyBorder="1" applyAlignment="1">
      <alignment vertical="top" wrapText="1"/>
    </xf>
    <xf numFmtId="0" fontId="6" fillId="0" borderId="13" xfId="0" applyFont="1" applyFill="1" applyBorder="1" applyAlignment="1">
      <alignment vertical="top" wrapText="1"/>
    </xf>
    <xf numFmtId="0" fontId="15" fillId="0" borderId="0" xfId="0" applyFont="1" applyAlignment="1">
      <alignment vertical="top" wrapText="1"/>
    </xf>
    <xf numFmtId="0" fontId="6" fillId="0" borderId="18" xfId="0" applyFont="1" applyFill="1" applyBorder="1" applyAlignment="1">
      <alignment vertical="top" wrapText="1"/>
    </xf>
    <xf numFmtId="0" fontId="6" fillId="0" borderId="12" xfId="0" applyFont="1" applyFill="1" applyBorder="1" applyAlignment="1">
      <alignment vertical="top" wrapText="1"/>
    </xf>
    <xf numFmtId="0" fontId="6" fillId="0" borderId="11" xfId="0" applyFont="1" applyBorder="1" applyAlignment="1">
      <alignment vertical="top" wrapText="1"/>
    </xf>
    <xf numFmtId="0" fontId="15" fillId="0" borderId="0" xfId="0" applyFont="1" applyBorder="1" applyAlignment="1">
      <alignment vertical="top"/>
    </xf>
    <xf numFmtId="0" fontId="6" fillId="0" borderId="11" xfId="0" applyFont="1" applyBorder="1" applyAlignment="1">
      <alignment horizontal="justify" vertical="top"/>
    </xf>
    <xf numFmtId="0" fontId="6" fillId="0" borderId="11" xfId="0" applyFont="1" applyBorder="1" applyAlignment="1">
      <alignment vertical="top"/>
    </xf>
    <xf numFmtId="0" fontId="6" fillId="0" borderId="17" xfId="0" applyFont="1" applyBorder="1" applyAlignment="1">
      <alignment horizontal="left" vertical="top" wrapText="1"/>
    </xf>
    <xf numFmtId="0" fontId="11" fillId="0" borderId="17" xfId="0" applyFont="1" applyBorder="1" applyAlignment="1">
      <alignment horizontal="left" vertical="top"/>
    </xf>
    <xf numFmtId="0" fontId="6" fillId="0" borderId="22" xfId="0" applyFont="1" applyBorder="1" applyAlignment="1">
      <alignment horizontal="center" vertical="top"/>
    </xf>
    <xf numFmtId="0" fontId="6" fillId="0" borderId="23" xfId="0" applyFont="1" applyBorder="1" applyAlignment="1">
      <alignment vertical="top"/>
    </xf>
    <xf numFmtId="0" fontId="13" fillId="0" borderId="17" xfId="0" applyFont="1" applyBorder="1" applyAlignment="1">
      <alignment horizontal="distributed" vertical="center" indent="2"/>
    </xf>
    <xf numFmtId="0" fontId="13" fillId="0" borderId="22" xfId="0" applyFont="1" applyBorder="1" applyAlignment="1">
      <alignment horizontal="distributed" vertical="center" indent="2"/>
    </xf>
    <xf numFmtId="0" fontId="10" fillId="0" borderId="24" xfId="0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horizontal="distributed" vertical="center" indent="2"/>
    </xf>
    <xf numFmtId="0" fontId="13" fillId="0" borderId="26" xfId="0" applyFont="1" applyBorder="1" applyAlignment="1">
      <alignment horizontal="distributed" vertical="center" indent="2"/>
    </xf>
    <xf numFmtId="0" fontId="6" fillId="0" borderId="27" xfId="0" applyFont="1" applyBorder="1" applyAlignment="1">
      <alignment horizontal="center" vertical="top"/>
    </xf>
    <xf numFmtId="0" fontId="6" fillId="0" borderId="0" xfId="0" applyFont="1" applyFill="1" applyAlignment="1">
      <alignment horizontal="center" vertical="center"/>
    </xf>
    <xf numFmtId="3" fontId="6" fillId="0" borderId="14" xfId="0" applyNumberFormat="1" applyFont="1" applyBorder="1" applyAlignment="1">
      <alignment vertical="top"/>
    </xf>
    <xf numFmtId="179" fontId="6" fillId="0" borderId="15" xfId="0" applyNumberFormat="1" applyFont="1" applyBorder="1" applyAlignment="1">
      <alignment vertical="top"/>
    </xf>
    <xf numFmtId="179" fontId="6" fillId="0" borderId="16" xfId="0" applyNumberFormat="1" applyFont="1" applyBorder="1" applyAlignment="1">
      <alignment vertical="top"/>
    </xf>
    <xf numFmtId="179" fontId="6" fillId="0" borderId="18" xfId="0" applyNumberFormat="1" applyFont="1" applyBorder="1" applyAlignment="1">
      <alignment vertical="top"/>
    </xf>
    <xf numFmtId="179" fontId="6" fillId="0" borderId="11" xfId="0" applyNumberFormat="1" applyFont="1" applyBorder="1" applyAlignment="1">
      <alignment vertical="top"/>
    </xf>
    <xf numFmtId="179" fontId="12" fillId="0" borderId="18" xfId="0" applyNumberFormat="1" applyFont="1" applyBorder="1" applyAlignment="1">
      <alignment vertical="top"/>
    </xf>
    <xf numFmtId="0" fontId="12" fillId="0" borderId="18" xfId="0" applyFont="1" applyFill="1" applyBorder="1" applyAlignment="1">
      <alignment horizontal="center" vertical="top" wrapText="1"/>
    </xf>
    <xf numFmtId="0" fontId="12" fillId="0" borderId="18" xfId="0" applyFont="1" applyFill="1" applyBorder="1" applyAlignment="1">
      <alignment horizontal="justify" vertical="top" wrapText="1"/>
    </xf>
    <xf numFmtId="0" fontId="6" fillId="0" borderId="11" xfId="0" applyFont="1" applyFill="1" applyBorder="1" applyAlignment="1">
      <alignment horizontal="justify" vertical="top" wrapText="1"/>
    </xf>
    <xf numFmtId="179" fontId="6" fillId="0" borderId="18" xfId="0" applyNumberFormat="1" applyFont="1" applyFill="1" applyBorder="1" applyAlignment="1">
      <alignment horizontal="right" vertical="top" wrapText="1"/>
    </xf>
    <xf numFmtId="0" fontId="6" fillId="0" borderId="18" xfId="0" applyFont="1" applyFill="1" applyBorder="1" applyAlignment="1">
      <alignment horizontal="right" vertical="top" wrapText="1"/>
    </xf>
    <xf numFmtId="0" fontId="6" fillId="0" borderId="17" xfId="0" applyFont="1" applyFill="1" applyBorder="1" applyAlignment="1">
      <alignment horizontal="left" vertical="top" wrapText="1"/>
    </xf>
    <xf numFmtId="0" fontId="6" fillId="0" borderId="18" xfId="0" applyFont="1" applyFill="1" applyBorder="1" applyAlignment="1">
      <alignment horizontal="justify" vertical="top" wrapText="1"/>
    </xf>
    <xf numFmtId="0" fontId="6" fillId="0" borderId="12" xfId="0" applyFont="1" applyFill="1" applyBorder="1" applyAlignment="1">
      <alignment horizontal="center" vertical="top" wrapText="1"/>
    </xf>
    <xf numFmtId="0" fontId="6" fillId="0" borderId="12" xfId="0" applyFont="1" applyFill="1" applyBorder="1" applyAlignment="1">
      <alignment horizontal="justify" vertical="top" wrapText="1"/>
    </xf>
    <xf numFmtId="0" fontId="6" fillId="0" borderId="13" xfId="0" applyFont="1" applyFill="1" applyBorder="1" applyAlignment="1">
      <alignment horizontal="justify" vertical="top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justify" vertical="top" wrapText="1"/>
    </xf>
    <xf numFmtId="179" fontId="12" fillId="0" borderId="18" xfId="0" applyNumberFormat="1" applyFont="1" applyFill="1" applyBorder="1" applyAlignment="1">
      <alignment horizontal="right" vertical="top" wrapText="1"/>
    </xf>
    <xf numFmtId="3" fontId="6" fillId="0" borderId="18" xfId="0" applyNumberFormat="1" applyFont="1" applyFill="1" applyBorder="1" applyAlignment="1">
      <alignment vertical="top"/>
    </xf>
    <xf numFmtId="0" fontId="12" fillId="0" borderId="17" xfId="0" applyFont="1" applyFill="1" applyBorder="1" applyAlignment="1">
      <alignment horizontal="justify" vertical="top" wrapText="1"/>
    </xf>
    <xf numFmtId="3" fontId="12" fillId="0" borderId="18" xfId="0" applyNumberFormat="1" applyFont="1" applyFill="1" applyBorder="1" applyAlignment="1">
      <alignment vertical="top"/>
    </xf>
    <xf numFmtId="0" fontId="6" fillId="0" borderId="29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vertical="center" wrapText="1"/>
    </xf>
    <xf numFmtId="181" fontId="6" fillId="0" borderId="30" xfId="0" applyNumberFormat="1" applyFont="1" applyFill="1" applyBorder="1" applyAlignment="1">
      <alignment vertical="top"/>
    </xf>
    <xf numFmtId="182" fontId="6" fillId="0" borderId="30" xfId="0" applyNumberFormat="1" applyFont="1" applyFill="1" applyBorder="1" applyAlignment="1">
      <alignment vertical="top" wrapText="1"/>
    </xf>
    <xf numFmtId="0" fontId="6" fillId="0" borderId="25" xfId="0" applyFont="1" applyFill="1" applyBorder="1" applyAlignment="1">
      <alignment horizontal="distributed" vertical="center" wrapText="1" indent="1"/>
    </xf>
    <xf numFmtId="182" fontId="12" fillId="0" borderId="27" xfId="0" applyNumberFormat="1" applyFont="1" applyFill="1" applyBorder="1" applyAlignment="1">
      <alignment vertical="top" wrapText="1"/>
    </xf>
    <xf numFmtId="49" fontId="17" fillId="0" borderId="27" xfId="0" applyNumberFormat="1" applyFont="1" applyBorder="1" applyAlignment="1">
      <alignment vertical="top" wrapText="1"/>
    </xf>
    <xf numFmtId="0" fontId="6" fillId="0" borderId="26" xfId="0" applyFont="1" applyFill="1" applyBorder="1" applyAlignment="1">
      <alignment horizontal="distributed" vertical="center" wrapText="1" indent="1"/>
    </xf>
    <xf numFmtId="0" fontId="12" fillId="0" borderId="30" xfId="0" applyFont="1" applyFill="1" applyBorder="1" applyAlignment="1">
      <alignment vertical="top" wrapText="1"/>
    </xf>
    <xf numFmtId="0" fontId="6" fillId="0" borderId="30" xfId="0" applyFont="1" applyFill="1" applyBorder="1" applyAlignment="1">
      <alignment horizontal="justify" vertical="top"/>
    </xf>
    <xf numFmtId="0" fontId="6" fillId="0" borderId="30" xfId="0" applyFont="1" applyFill="1" applyBorder="1" applyAlignment="1">
      <alignment vertical="top"/>
    </xf>
    <xf numFmtId="0" fontId="6" fillId="0" borderId="31" xfId="0" applyFont="1" applyFill="1" applyBorder="1" applyAlignment="1">
      <alignment horizontal="justify" vertical="top"/>
    </xf>
    <xf numFmtId="0" fontId="6" fillId="0" borderId="31" xfId="0" applyFont="1" applyFill="1" applyBorder="1" applyAlignment="1">
      <alignment vertical="top"/>
    </xf>
    <xf numFmtId="49" fontId="17" fillId="0" borderId="32" xfId="0" applyNumberFormat="1" applyFont="1" applyBorder="1" applyAlignment="1">
      <alignment vertical="top" wrapText="1"/>
    </xf>
    <xf numFmtId="177" fontId="12" fillId="0" borderId="18" xfId="0" applyNumberFormat="1" applyFont="1" applyFill="1" applyBorder="1" applyAlignment="1">
      <alignment horizontal="right" vertical="top" wrapText="1"/>
    </xf>
    <xf numFmtId="177" fontId="6" fillId="0" borderId="18" xfId="0" applyNumberFormat="1" applyFont="1" applyFill="1" applyBorder="1" applyAlignment="1">
      <alignment horizontal="right" vertical="top" wrapText="1"/>
    </xf>
    <xf numFmtId="3" fontId="6" fillId="0" borderId="0" xfId="0" applyNumberFormat="1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41" fontId="12" fillId="0" borderId="18" xfId="0" applyNumberFormat="1" applyFont="1" applyBorder="1" applyAlignment="1">
      <alignment horizontal="right" vertical="center" wrapText="1"/>
    </xf>
    <xf numFmtId="0" fontId="6" fillId="0" borderId="12" xfId="0" applyFont="1" applyBorder="1" applyAlignment="1">
      <alignment horizontal="justify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justify" vertical="center" wrapText="1"/>
    </xf>
    <xf numFmtId="0" fontId="6" fillId="0" borderId="12" xfId="0" applyFont="1" applyFill="1" applyBorder="1" applyAlignment="1">
      <alignment horizontal="justify" vertical="center" wrapText="1"/>
    </xf>
    <xf numFmtId="3" fontId="6" fillId="0" borderId="12" xfId="0" applyNumberFormat="1" applyFont="1" applyFill="1" applyBorder="1" applyAlignment="1">
      <alignment horizontal="right" vertical="top" wrapText="1"/>
    </xf>
    <xf numFmtId="0" fontId="10" fillId="0" borderId="17" xfId="0" applyFont="1" applyBorder="1" applyAlignment="1">
      <alignment vertical="top"/>
    </xf>
    <xf numFmtId="0" fontId="6" fillId="0" borderId="11" xfId="0" applyFont="1" applyBorder="1" applyAlignment="1">
      <alignment horizontal="justify" vertical="center" wrapText="1"/>
    </xf>
    <xf numFmtId="0" fontId="6" fillId="0" borderId="17" xfId="0" applyFont="1" applyBorder="1" applyAlignment="1">
      <alignment horizontal="justify" vertical="top" wrapText="1"/>
    </xf>
    <xf numFmtId="0" fontId="6" fillId="0" borderId="18" xfId="0" applyFont="1" applyBorder="1" applyAlignment="1">
      <alignment horizontal="justify" vertical="top" wrapText="1"/>
    </xf>
    <xf numFmtId="0" fontId="6" fillId="0" borderId="18" xfId="0" applyFont="1" applyBorder="1" applyAlignment="1">
      <alignment horizontal="justify" vertical="center" wrapText="1"/>
    </xf>
    <xf numFmtId="0" fontId="20" fillId="0" borderId="18" xfId="0" applyFont="1" applyBorder="1" applyAlignment="1">
      <alignment horizontal="justify" vertical="center" wrapText="1"/>
    </xf>
    <xf numFmtId="0" fontId="6" fillId="0" borderId="21" xfId="0" applyFont="1" applyBorder="1" applyAlignment="1">
      <alignment horizontal="justify" vertical="top" wrapText="1"/>
    </xf>
    <xf numFmtId="0" fontId="6" fillId="0" borderId="12" xfId="0" applyFont="1" applyBorder="1" applyAlignment="1">
      <alignment horizontal="justify" vertical="top" wrapText="1"/>
    </xf>
    <xf numFmtId="0" fontId="20" fillId="0" borderId="12" xfId="0" applyFont="1" applyBorder="1" applyAlignment="1">
      <alignment horizontal="justify" vertical="center" wrapText="1"/>
    </xf>
    <xf numFmtId="0" fontId="6" fillId="0" borderId="13" xfId="0" applyFont="1" applyBorder="1" applyAlignment="1">
      <alignment horizontal="justify" vertical="center" wrapText="1"/>
    </xf>
    <xf numFmtId="176" fontId="6" fillId="0" borderId="0" xfId="0" applyNumberFormat="1" applyFont="1">
      <alignment vertical="center"/>
    </xf>
    <xf numFmtId="0" fontId="26" fillId="0" borderId="0" xfId="0" applyFont="1" applyAlignment="1">
      <alignment vertical="top"/>
    </xf>
    <xf numFmtId="0" fontId="6" fillId="0" borderId="29" xfId="0" applyFont="1" applyFill="1" applyBorder="1" applyAlignment="1">
      <alignment horizontal="center" vertical="center"/>
    </xf>
    <xf numFmtId="177" fontId="6" fillId="0" borderId="16" xfId="0" applyNumberFormat="1" applyFont="1" applyFill="1" applyBorder="1" applyAlignment="1">
      <alignment horizontal="center" vertical="center" wrapText="1"/>
    </xf>
    <xf numFmtId="179" fontId="12" fillId="0" borderId="17" xfId="0" applyNumberFormat="1" applyFont="1" applyFill="1" applyBorder="1" applyAlignment="1">
      <alignment vertical="top"/>
    </xf>
    <xf numFmtId="0" fontId="11" fillId="0" borderId="0" xfId="0" applyFont="1" applyFill="1" applyBorder="1" applyAlignment="1">
      <alignment horizontal="distributed" vertical="top" indent="6"/>
    </xf>
    <xf numFmtId="179" fontId="12" fillId="0" borderId="18" xfId="0" applyNumberFormat="1" applyFont="1" applyFill="1" applyBorder="1" applyAlignment="1">
      <alignment vertical="top"/>
    </xf>
    <xf numFmtId="179" fontId="12" fillId="0" borderId="11" xfId="0" applyNumberFormat="1" applyFont="1" applyFill="1" applyBorder="1" applyAlignment="1">
      <alignment vertical="top"/>
    </xf>
    <xf numFmtId="0" fontId="11" fillId="0" borderId="0" xfId="0" applyFont="1" applyFill="1" applyBorder="1" applyAlignment="1">
      <alignment horizontal="left" vertical="top"/>
    </xf>
    <xf numFmtId="179" fontId="6" fillId="0" borderId="17" xfId="0" applyNumberFormat="1" applyFont="1" applyFill="1" applyBorder="1" applyAlignment="1">
      <alignment vertical="top"/>
    </xf>
    <xf numFmtId="0" fontId="10" fillId="0" borderId="0" xfId="0" applyFont="1" applyFill="1" applyBorder="1" applyAlignment="1">
      <alignment horizontal="justify" vertical="top"/>
    </xf>
    <xf numFmtId="179" fontId="6" fillId="0" borderId="18" xfId="0" applyNumberFormat="1" applyFont="1" applyFill="1" applyBorder="1" applyAlignment="1">
      <alignment vertical="top"/>
    </xf>
    <xf numFmtId="179" fontId="6" fillId="0" borderId="11" xfId="0" applyNumberFormat="1" applyFont="1" applyFill="1" applyBorder="1" applyAlignment="1">
      <alignment vertical="top"/>
    </xf>
    <xf numFmtId="0" fontId="11" fillId="0" borderId="0" xfId="0" applyFont="1" applyFill="1" applyBorder="1" applyAlignment="1">
      <alignment horizontal="left" vertical="top" shrinkToFit="1"/>
    </xf>
    <xf numFmtId="41" fontId="6" fillId="0" borderId="11" xfId="0" applyNumberFormat="1" applyFont="1" applyFill="1" applyBorder="1" applyAlignment="1">
      <alignment vertical="top"/>
    </xf>
    <xf numFmtId="179" fontId="12" fillId="0" borderId="21" xfId="0" applyNumberFormat="1" applyFont="1" applyFill="1" applyBorder="1" applyAlignment="1">
      <alignment vertical="top"/>
    </xf>
    <xf numFmtId="0" fontId="11" fillId="0" borderId="36" xfId="0" applyFont="1" applyFill="1" applyBorder="1" applyAlignment="1">
      <alignment horizontal="distributed" vertical="top" indent="6"/>
    </xf>
    <xf numFmtId="179" fontId="12" fillId="0" borderId="12" xfId="0" applyNumberFormat="1" applyFont="1" applyFill="1" applyBorder="1" applyAlignment="1">
      <alignment vertical="top"/>
    </xf>
    <xf numFmtId="179" fontId="12" fillId="0" borderId="13" xfId="0" applyNumberFormat="1" applyFont="1" applyFill="1" applyBorder="1" applyAlignment="1">
      <alignment vertical="top"/>
    </xf>
    <xf numFmtId="41" fontId="6" fillId="0" borderId="18" xfId="0" applyNumberFormat="1" applyFont="1" applyFill="1" applyBorder="1" applyAlignment="1">
      <alignment vertical="top"/>
    </xf>
    <xf numFmtId="41" fontId="12" fillId="0" borderId="17" xfId="0" applyNumberFormat="1" applyFont="1" applyFill="1" applyBorder="1" applyAlignment="1">
      <alignment vertical="top"/>
    </xf>
    <xf numFmtId="41" fontId="12" fillId="0" borderId="18" xfId="0" applyNumberFormat="1" applyFont="1" applyFill="1" applyBorder="1" applyAlignment="1">
      <alignment vertical="top"/>
    </xf>
    <xf numFmtId="41" fontId="12" fillId="0" borderId="11" xfId="0" applyNumberFormat="1" applyFont="1" applyFill="1" applyBorder="1" applyAlignment="1">
      <alignment vertical="top"/>
    </xf>
    <xf numFmtId="41" fontId="6" fillId="0" borderId="17" xfId="0" applyNumberFormat="1" applyFont="1" applyFill="1" applyBorder="1" applyAlignment="1">
      <alignment vertical="top"/>
    </xf>
    <xf numFmtId="0" fontId="6" fillId="0" borderId="37" xfId="0" applyFont="1" applyFill="1" applyBorder="1" applyAlignment="1">
      <alignment horizontal="distributed" vertical="center" wrapText="1" indent="1"/>
    </xf>
    <xf numFmtId="0" fontId="11" fillId="0" borderId="17" xfId="0" applyFont="1" applyFill="1" applyBorder="1" applyAlignment="1">
      <alignment horizontal="left" vertical="top" wrapText="1"/>
    </xf>
    <xf numFmtId="3" fontId="12" fillId="0" borderId="18" xfId="0" applyNumberFormat="1" applyFont="1" applyFill="1" applyBorder="1" applyAlignment="1">
      <alignment vertical="top" wrapText="1"/>
    </xf>
    <xf numFmtId="3" fontId="12" fillId="0" borderId="27" xfId="0" applyNumberFormat="1" applyFont="1" applyFill="1" applyBorder="1" applyAlignment="1">
      <alignment vertical="top" wrapText="1"/>
    </xf>
    <xf numFmtId="3" fontId="12" fillId="0" borderId="0" xfId="0" applyNumberFormat="1" applyFont="1" applyFill="1" applyBorder="1" applyAlignment="1">
      <alignment vertical="top" wrapText="1"/>
    </xf>
    <xf numFmtId="0" fontId="20" fillId="0" borderId="22" xfId="0" applyFont="1" applyFill="1" applyBorder="1" applyAlignment="1">
      <alignment vertical="top" wrapText="1"/>
    </xf>
    <xf numFmtId="0" fontId="10" fillId="0" borderId="17" xfId="0" applyFont="1" applyFill="1" applyBorder="1" applyAlignment="1">
      <alignment horizontal="left" vertical="top" wrapText="1"/>
    </xf>
    <xf numFmtId="0" fontId="6" fillId="0" borderId="27" xfId="0" applyFont="1" applyFill="1" applyBorder="1" applyAlignment="1">
      <alignment horizontal="right" vertical="top" wrapText="1"/>
    </xf>
    <xf numFmtId="0" fontId="6" fillId="0" borderId="0" xfId="0" applyFont="1" applyFill="1" applyBorder="1" applyAlignment="1">
      <alignment horizontal="right" vertical="top" wrapText="1"/>
    </xf>
    <xf numFmtId="3" fontId="6" fillId="0" borderId="18" xfId="0" applyNumberFormat="1" applyFont="1" applyFill="1" applyBorder="1" applyAlignment="1">
      <alignment vertical="top" wrapText="1"/>
    </xf>
    <xf numFmtId="41" fontId="12" fillId="0" borderId="18" xfId="0" applyNumberFormat="1" applyFont="1" applyFill="1" applyBorder="1" applyAlignment="1">
      <alignment horizontal="right" vertical="top" wrapText="1"/>
    </xf>
    <xf numFmtId="179" fontId="12" fillId="0" borderId="12" xfId="0" applyNumberFormat="1" applyFont="1" applyFill="1" applyBorder="1" applyAlignment="1">
      <alignment horizontal="right" vertical="top" wrapText="1"/>
    </xf>
    <xf numFmtId="0" fontId="3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3" fontId="6" fillId="0" borderId="18" xfId="0" applyNumberFormat="1" applyFont="1" applyBorder="1" applyAlignment="1">
      <alignment horizontal="right" vertical="center" wrapText="1"/>
    </xf>
    <xf numFmtId="3" fontId="6" fillId="0" borderId="18" xfId="0" applyNumberFormat="1" applyFont="1" applyBorder="1" applyAlignment="1">
      <alignment horizontal="right" vertical="top" wrapText="1"/>
    </xf>
    <xf numFmtId="0" fontId="6" fillId="0" borderId="11" xfId="0" applyFont="1" applyBorder="1" applyAlignment="1">
      <alignment horizontal="justify" vertical="top" wrapText="1"/>
    </xf>
    <xf numFmtId="0" fontId="6" fillId="0" borderId="17" xfId="0" applyFont="1" applyBorder="1" applyAlignment="1">
      <alignment horizontal="justify" vertical="center" wrapText="1"/>
    </xf>
    <xf numFmtId="0" fontId="12" fillId="0" borderId="17" xfId="0" applyFont="1" applyBorder="1" applyAlignment="1">
      <alignment horizontal="justify" vertical="center" wrapText="1"/>
    </xf>
    <xf numFmtId="0" fontId="28" fillId="0" borderId="11" xfId="0" applyFont="1" applyBorder="1" applyAlignment="1">
      <alignment horizontal="center" vertical="top" wrapText="1"/>
    </xf>
    <xf numFmtId="0" fontId="12" fillId="0" borderId="21" xfId="0" applyFont="1" applyBorder="1" applyAlignment="1">
      <alignment horizontal="justify" vertical="center" wrapText="1"/>
    </xf>
    <xf numFmtId="179" fontId="12" fillId="0" borderId="12" xfId="0" applyNumberFormat="1" applyFont="1" applyBorder="1" applyAlignment="1">
      <alignment horizontal="right" vertical="center" wrapText="1"/>
    </xf>
    <xf numFmtId="0" fontId="18" fillId="0" borderId="35" xfId="0" applyFont="1" applyFill="1" applyBorder="1" applyAlignment="1">
      <alignment horizontal="center" vertical="center" wrapText="1"/>
    </xf>
    <xf numFmtId="0" fontId="18" fillId="0" borderId="28" xfId="0" applyFont="1" applyFill="1" applyBorder="1" applyAlignment="1">
      <alignment horizontal="center" vertical="center" wrapText="1"/>
    </xf>
    <xf numFmtId="180" fontId="6" fillId="0" borderId="0" xfId="0" applyNumberFormat="1" applyFont="1" applyFill="1">
      <alignment vertical="center"/>
    </xf>
    <xf numFmtId="0" fontId="25" fillId="0" borderId="0" xfId="0" applyFont="1" applyFill="1">
      <alignment vertical="center"/>
    </xf>
    <xf numFmtId="0" fontId="33" fillId="0" borderId="0" xfId="20" applyFont="1" applyAlignment="1">
      <alignment vertical="top"/>
    </xf>
    <xf numFmtId="0" fontId="20" fillId="0" borderId="15" xfId="20" applyFont="1" applyBorder="1" applyAlignment="1">
      <alignment vertical="top"/>
    </xf>
    <xf numFmtId="0" fontId="20" fillId="0" borderId="25" xfId="20" applyFont="1" applyBorder="1" applyAlignment="1">
      <alignment vertical="top"/>
    </xf>
    <xf numFmtId="179" fontId="20" fillId="0" borderId="16" xfId="20" applyNumberFormat="1" applyFont="1" applyBorder="1" applyAlignment="1">
      <alignment vertical="top"/>
    </xf>
    <xf numFmtId="0" fontId="6" fillId="0" borderId="15" xfId="0" applyFont="1" applyBorder="1" applyAlignment="1">
      <alignment horizontal="distributed" vertical="center" wrapText="1" indent="1"/>
    </xf>
    <xf numFmtId="0" fontId="6" fillId="0" borderId="16" xfId="0" applyFont="1" applyBorder="1" applyAlignment="1">
      <alignment horizontal="distributed" vertical="center" wrapText="1" indent="1"/>
    </xf>
    <xf numFmtId="0" fontId="18" fillId="0" borderId="14" xfId="0" applyFont="1" applyFill="1" applyBorder="1" applyAlignment="1">
      <alignment horizontal="center" vertical="center" wrapText="1"/>
    </xf>
    <xf numFmtId="0" fontId="18" fillId="0" borderId="15" xfId="0" applyFont="1" applyFill="1" applyBorder="1" applyAlignment="1">
      <alignment horizontal="center" vertical="center" wrapText="1"/>
    </xf>
    <xf numFmtId="0" fontId="20" fillId="0" borderId="15" xfId="0" applyFont="1" applyFill="1" applyBorder="1" applyAlignment="1">
      <alignment horizontal="center" vertical="center" wrapText="1"/>
    </xf>
    <xf numFmtId="180" fontId="18" fillId="0" borderId="15" xfId="0" applyNumberFormat="1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right" vertical="top" wrapText="1"/>
    </xf>
    <xf numFmtId="0" fontId="6" fillId="0" borderId="18" xfId="0" applyFont="1" applyBorder="1" applyAlignment="1">
      <alignment horizontal="right" vertical="top" wrapText="1"/>
    </xf>
    <xf numFmtId="41" fontId="12" fillId="0" borderId="17" xfId="0" applyNumberFormat="1" applyFont="1" applyBorder="1" applyAlignment="1">
      <alignment horizontal="right" vertical="top" wrapText="1"/>
    </xf>
    <xf numFmtId="41" fontId="12" fillId="0" borderId="18" xfId="0" applyNumberFormat="1" applyFont="1" applyBorder="1" applyAlignment="1">
      <alignment horizontal="right" vertical="top" wrapText="1"/>
    </xf>
    <xf numFmtId="178" fontId="12" fillId="0" borderId="11" xfId="21" applyNumberFormat="1" applyFont="1" applyBorder="1" applyAlignment="1">
      <alignment horizontal="right" vertical="top" wrapText="1"/>
    </xf>
    <xf numFmtId="41" fontId="6" fillId="0" borderId="17" xfId="0" applyNumberFormat="1" applyFont="1" applyBorder="1" applyAlignment="1">
      <alignment horizontal="right" vertical="top" wrapText="1"/>
    </xf>
    <xf numFmtId="41" fontId="6" fillId="0" borderId="18" xfId="0" applyNumberFormat="1" applyFont="1" applyBorder="1" applyAlignment="1">
      <alignment horizontal="right" vertical="top" wrapText="1"/>
    </xf>
    <xf numFmtId="178" fontId="6" fillId="0" borderId="11" xfId="21" applyNumberFormat="1" applyFont="1" applyBorder="1" applyAlignment="1">
      <alignment horizontal="right" vertical="top" wrapText="1"/>
    </xf>
    <xf numFmtId="41" fontId="12" fillId="0" borderId="11" xfId="0" applyNumberFormat="1" applyFont="1" applyBorder="1" applyAlignment="1">
      <alignment horizontal="right" vertical="top" wrapText="1"/>
    </xf>
    <xf numFmtId="41" fontId="6" fillId="0" borderId="21" xfId="0" applyNumberFormat="1" applyFont="1" applyBorder="1" applyAlignment="1">
      <alignment horizontal="right" vertical="top" wrapText="1"/>
    </xf>
    <xf numFmtId="178" fontId="6" fillId="0" borderId="13" xfId="21" applyNumberFormat="1" applyFont="1" applyBorder="1" applyAlignment="1">
      <alignment horizontal="right" vertical="top" wrapText="1"/>
    </xf>
    <xf numFmtId="179" fontId="12" fillId="0" borderId="17" xfId="0" applyNumberFormat="1" applyFont="1" applyFill="1" applyBorder="1" applyAlignment="1">
      <alignment horizontal="right" vertical="top" wrapText="1"/>
    </xf>
    <xf numFmtId="3" fontId="12" fillId="0" borderId="11" xfId="0" applyNumberFormat="1" applyFont="1" applyFill="1" applyBorder="1" applyAlignment="1">
      <alignment vertical="top"/>
    </xf>
    <xf numFmtId="3" fontId="12" fillId="0" borderId="11" xfId="0" applyNumberFormat="1" applyFont="1" applyFill="1" applyBorder="1" applyAlignment="1">
      <alignment horizontal="right" vertical="top" wrapText="1"/>
    </xf>
    <xf numFmtId="0" fontId="6" fillId="0" borderId="0" xfId="0" applyFont="1" applyFill="1" applyBorder="1" applyAlignment="1">
      <alignment horizontal="center" vertical="top"/>
    </xf>
    <xf numFmtId="0" fontId="6" fillId="0" borderId="0" xfId="0" applyFont="1" applyFill="1" applyAlignment="1">
      <alignment horizontal="center" vertical="top"/>
    </xf>
    <xf numFmtId="179" fontId="6" fillId="0" borderId="17" xfId="0" applyNumberFormat="1" applyFont="1" applyFill="1" applyBorder="1" applyAlignment="1">
      <alignment horizontal="right" vertical="top" wrapText="1"/>
    </xf>
    <xf numFmtId="3" fontId="6" fillId="0" borderId="11" xfId="0" applyNumberFormat="1" applyFont="1" applyFill="1" applyBorder="1" applyAlignment="1">
      <alignment horizontal="right" vertical="top" wrapText="1"/>
    </xf>
    <xf numFmtId="41" fontId="6" fillId="0" borderId="18" xfId="0" applyNumberFormat="1" applyFont="1" applyFill="1" applyBorder="1" applyAlignment="1">
      <alignment horizontal="right" vertical="top" wrapText="1"/>
    </xf>
    <xf numFmtId="41" fontId="12" fillId="0" borderId="17" xfId="0" applyNumberFormat="1" applyFont="1" applyFill="1" applyBorder="1" applyAlignment="1">
      <alignment horizontal="right" vertical="top" wrapText="1"/>
    </xf>
    <xf numFmtId="41" fontId="6" fillId="0" borderId="17" xfId="0" applyNumberFormat="1" applyFont="1" applyFill="1" applyBorder="1" applyAlignment="1">
      <alignment horizontal="right" vertical="top" wrapText="1"/>
    </xf>
    <xf numFmtId="0" fontId="6" fillId="0" borderId="17" xfId="0" applyFont="1" applyFill="1" applyBorder="1" applyAlignment="1">
      <alignment horizontal="justify" vertical="top" wrapText="1"/>
    </xf>
    <xf numFmtId="41" fontId="6" fillId="0" borderId="21" xfId="0" applyNumberFormat="1" applyFont="1" applyFill="1" applyBorder="1" applyAlignment="1">
      <alignment horizontal="right" vertical="top" wrapText="1"/>
    </xf>
    <xf numFmtId="41" fontId="6" fillId="0" borderId="12" xfId="0" applyNumberFormat="1" applyFont="1" applyFill="1" applyBorder="1" applyAlignment="1">
      <alignment horizontal="right" vertical="top" wrapText="1"/>
    </xf>
    <xf numFmtId="0" fontId="6" fillId="0" borderId="32" xfId="0" applyFont="1" applyBorder="1" applyAlignment="1">
      <alignment horizontal="left" vertical="top" wrapText="1"/>
    </xf>
    <xf numFmtId="0" fontId="6" fillId="0" borderId="23" xfId="0" applyFont="1" applyBorder="1" applyAlignment="1">
      <alignment horizontal="left" vertical="top" wrapText="1"/>
    </xf>
    <xf numFmtId="3" fontId="32" fillId="0" borderId="17" xfId="0" applyNumberFormat="1" applyFont="1" applyFill="1" applyBorder="1" applyAlignment="1">
      <alignment horizontal="right" vertical="top" wrapText="1"/>
    </xf>
    <xf numFmtId="3" fontId="32" fillId="0" borderId="18" xfId="0" applyNumberFormat="1" applyFont="1" applyFill="1" applyBorder="1" applyAlignment="1">
      <alignment horizontal="right" vertical="top" wrapText="1"/>
    </xf>
    <xf numFmtId="41" fontId="32" fillId="0" borderId="18" xfId="0" applyNumberFormat="1" applyFont="1" applyFill="1" applyBorder="1" applyAlignment="1">
      <alignment horizontal="right" vertical="top" wrapText="1"/>
    </xf>
    <xf numFmtId="41" fontId="32" fillId="0" borderId="11" xfId="0" applyNumberFormat="1" applyFont="1" applyFill="1" applyBorder="1" applyAlignment="1">
      <alignment horizontal="right" vertical="top" wrapText="1"/>
    </xf>
    <xf numFmtId="0" fontId="32" fillId="0" borderId="0" xfId="0" applyFont="1" applyFill="1" applyAlignment="1">
      <alignment vertical="top"/>
    </xf>
    <xf numFmtId="3" fontId="20" fillId="0" borderId="17" xfId="0" applyNumberFormat="1" applyFont="1" applyFill="1" applyBorder="1" applyAlignment="1">
      <alignment horizontal="right" vertical="top" wrapText="1"/>
    </xf>
    <xf numFmtId="3" fontId="20" fillId="0" borderId="18" xfId="0" applyNumberFormat="1" applyFont="1" applyFill="1" applyBorder="1" applyAlignment="1">
      <alignment horizontal="right" vertical="top" wrapText="1"/>
    </xf>
    <xf numFmtId="179" fontId="20" fillId="0" borderId="18" xfId="0" applyNumberFormat="1" applyFont="1" applyFill="1" applyBorder="1" applyAlignment="1">
      <alignment vertical="top" wrapText="1"/>
    </xf>
    <xf numFmtId="41" fontId="20" fillId="0" borderId="18" xfId="0" applyNumberFormat="1" applyFont="1" applyFill="1" applyBorder="1" applyAlignment="1">
      <alignment horizontal="right" vertical="top" wrapText="1"/>
    </xf>
    <xf numFmtId="41" fontId="20" fillId="0" borderId="11" xfId="0" applyNumberFormat="1" applyFont="1" applyFill="1" applyBorder="1" applyAlignment="1">
      <alignment horizontal="right" vertical="top" wrapText="1"/>
    </xf>
    <xf numFmtId="0" fontId="20" fillId="0" borderId="0" xfId="0" applyFont="1" applyFill="1" applyAlignment="1">
      <alignment vertical="top"/>
    </xf>
    <xf numFmtId="41" fontId="20" fillId="0" borderId="17" xfId="0" applyNumberFormat="1" applyFont="1" applyFill="1" applyBorder="1" applyAlignment="1">
      <alignment horizontal="right" vertical="top" wrapText="1"/>
    </xf>
    <xf numFmtId="3" fontId="32" fillId="0" borderId="11" xfId="0" applyNumberFormat="1" applyFont="1" applyFill="1" applyBorder="1" applyAlignment="1">
      <alignment horizontal="right" vertical="top" wrapText="1"/>
    </xf>
    <xf numFmtId="178" fontId="20" fillId="0" borderId="11" xfId="21" applyNumberFormat="1" applyFont="1" applyFill="1" applyBorder="1" applyAlignment="1">
      <alignment horizontal="right" vertical="top" wrapText="1"/>
    </xf>
    <xf numFmtId="0" fontId="6" fillId="0" borderId="21" xfId="0" applyFont="1" applyFill="1" applyBorder="1" applyAlignment="1">
      <alignment horizontal="justify" vertical="top" wrapText="1"/>
    </xf>
    <xf numFmtId="3" fontId="12" fillId="0" borderId="18" xfId="0" applyNumberFormat="1" applyFont="1" applyBorder="1" applyAlignment="1">
      <alignment vertical="top" wrapText="1"/>
    </xf>
    <xf numFmtId="3" fontId="12" fillId="0" borderId="18" xfId="0" applyNumberFormat="1" applyFont="1" applyBorder="1" applyAlignment="1">
      <alignment horizontal="right" vertical="top" wrapText="1"/>
    </xf>
    <xf numFmtId="3" fontId="32" fillId="0" borderId="21" xfId="0" applyNumberFormat="1" applyFont="1" applyFill="1" applyBorder="1" applyAlignment="1">
      <alignment horizontal="right" vertical="top" wrapText="1"/>
    </xf>
    <xf numFmtId="3" fontId="32" fillId="0" borderId="12" xfId="0" applyNumberFormat="1" applyFont="1" applyFill="1" applyBorder="1" applyAlignment="1">
      <alignment horizontal="right" vertical="top" wrapText="1"/>
    </xf>
    <xf numFmtId="3" fontId="32" fillId="0" borderId="13" xfId="0" applyNumberFormat="1" applyFont="1" applyFill="1" applyBorder="1" applyAlignment="1">
      <alignment horizontal="right" vertical="top" wrapText="1"/>
    </xf>
    <xf numFmtId="0" fontId="15" fillId="0" borderId="0" xfId="0" applyFont="1" applyFill="1" applyAlignment="1">
      <alignment vertical="center"/>
    </xf>
    <xf numFmtId="10" fontId="6" fillId="0" borderId="18" xfId="0" applyNumberFormat="1" applyFont="1" applyFill="1" applyBorder="1" applyAlignment="1">
      <alignment horizontal="right" vertical="top" wrapText="1"/>
    </xf>
    <xf numFmtId="179" fontId="6" fillId="0" borderId="12" xfId="0" applyNumberFormat="1" applyFont="1" applyFill="1" applyBorder="1" applyAlignment="1">
      <alignment vertical="top"/>
    </xf>
    <xf numFmtId="41" fontId="6" fillId="0" borderId="11" xfId="0" applyNumberFormat="1" applyFont="1" applyFill="1" applyBorder="1" applyAlignment="1">
      <alignment horizontal="right" vertical="top" wrapText="1"/>
    </xf>
    <xf numFmtId="179" fontId="12" fillId="0" borderId="27" xfId="0" applyNumberFormat="1" applyFont="1" applyBorder="1" applyAlignment="1">
      <alignment vertical="top"/>
    </xf>
    <xf numFmtId="179" fontId="12" fillId="0" borderId="18" xfId="0" applyNumberFormat="1" applyFont="1" applyBorder="1" applyAlignment="1">
      <alignment horizontal="right" vertical="top"/>
    </xf>
    <xf numFmtId="179" fontId="6" fillId="0" borderId="27" xfId="0" applyNumberFormat="1" applyFont="1" applyBorder="1" applyAlignment="1">
      <alignment vertical="top"/>
    </xf>
    <xf numFmtId="179" fontId="6" fillId="0" borderId="18" xfId="0" applyNumberFormat="1" applyFont="1" applyBorder="1" applyAlignment="1">
      <alignment horizontal="right" vertical="top"/>
    </xf>
    <xf numFmtId="179" fontId="12" fillId="0" borderId="18" xfId="20" applyNumberFormat="1" applyFont="1" applyFill="1" applyBorder="1" applyAlignment="1">
      <alignment vertical="top"/>
    </xf>
    <xf numFmtId="179" fontId="6" fillId="0" borderId="18" xfId="20" applyNumberFormat="1" applyFont="1" applyFill="1" applyBorder="1" applyAlignment="1">
      <alignment vertical="top"/>
    </xf>
    <xf numFmtId="179" fontId="6" fillId="0" borderId="12" xfId="20" applyNumberFormat="1" applyFont="1" applyFill="1" applyBorder="1" applyAlignment="1">
      <alignment vertical="top"/>
    </xf>
    <xf numFmtId="179" fontId="6" fillId="0" borderId="18" xfId="20" applyNumberFormat="1" applyFont="1" applyBorder="1" applyAlignment="1">
      <alignment vertical="top"/>
    </xf>
    <xf numFmtId="179" fontId="12" fillId="0" borderId="18" xfId="20" applyNumberFormat="1" applyFont="1" applyBorder="1" applyAlignment="1">
      <alignment vertical="top"/>
    </xf>
    <xf numFmtId="179" fontId="6" fillId="0" borderId="27" xfId="0" applyNumberFormat="1" applyFont="1" applyFill="1" applyBorder="1" applyAlignment="1">
      <alignment vertical="top"/>
    </xf>
    <xf numFmtId="179" fontId="6" fillId="0" borderId="32" xfId="0" applyNumberFormat="1" applyFont="1" applyFill="1" applyBorder="1" applyAlignment="1">
      <alignment vertical="top"/>
    </xf>
    <xf numFmtId="179" fontId="12" fillId="0" borderId="12" xfId="20" applyNumberFormat="1" applyFont="1" applyFill="1" applyBorder="1" applyAlignment="1">
      <alignment vertical="top"/>
    </xf>
    <xf numFmtId="179" fontId="12" fillId="0" borderId="27" xfId="0" applyNumberFormat="1" applyFont="1" applyFill="1" applyBorder="1" applyAlignment="1">
      <alignment vertical="top"/>
    </xf>
    <xf numFmtId="179" fontId="12" fillId="0" borderId="12" xfId="20" applyNumberFormat="1" applyFont="1" applyBorder="1" applyAlignment="1">
      <alignment vertical="top"/>
    </xf>
    <xf numFmtId="0" fontId="6" fillId="0" borderId="0" xfId="20" applyFont="1" applyAlignment="1">
      <alignment vertical="top"/>
    </xf>
    <xf numFmtId="183" fontId="12" fillId="0" borderId="0" xfId="0" applyNumberFormat="1" applyFont="1" applyFill="1" applyAlignment="1">
      <alignment vertical="top"/>
    </xf>
    <xf numFmtId="183" fontId="6" fillId="0" borderId="0" xfId="0" applyNumberFormat="1" applyFont="1" applyFill="1" applyAlignment="1">
      <alignment vertical="top"/>
    </xf>
    <xf numFmtId="41" fontId="6" fillId="0" borderId="13" xfId="0" applyNumberFormat="1" applyFont="1" applyFill="1" applyBorder="1" applyAlignment="1">
      <alignment horizontal="right" vertical="top" wrapText="1"/>
    </xf>
    <xf numFmtId="0" fontId="12" fillId="0" borderId="11" xfId="0" applyFont="1" applyFill="1" applyBorder="1" applyAlignment="1">
      <alignment horizontal="left" vertical="top" wrapText="1"/>
    </xf>
    <xf numFmtId="0" fontId="12" fillId="0" borderId="10" xfId="0" applyFont="1" applyFill="1" applyBorder="1" applyAlignment="1">
      <alignment horizontal="left" vertical="top" wrapText="1"/>
    </xf>
    <xf numFmtId="0" fontId="13" fillId="0" borderId="16" xfId="0" applyFont="1" applyBorder="1" applyAlignment="1">
      <alignment horizontal="distributed" vertical="top"/>
    </xf>
    <xf numFmtId="0" fontId="6" fillId="0" borderId="13" xfId="0" applyFont="1" applyBorder="1" applyAlignment="1">
      <alignment horizontal="left" vertical="top" wrapText="1"/>
    </xf>
    <xf numFmtId="0" fontId="6" fillId="0" borderId="21" xfId="0" applyFont="1" applyBorder="1" applyAlignment="1">
      <alignment horizontal="left" vertical="top" wrapText="1"/>
    </xf>
    <xf numFmtId="10" fontId="12" fillId="0" borderId="18" xfId="0" applyNumberFormat="1" applyFont="1" applyFill="1" applyBorder="1" applyAlignment="1">
      <alignment horizontal="right" vertical="top" wrapText="1"/>
    </xf>
    <xf numFmtId="178" fontId="12" fillId="0" borderId="18" xfId="0" applyNumberFormat="1" applyFont="1" applyFill="1" applyBorder="1" applyAlignment="1">
      <alignment horizontal="right" vertical="top" wrapText="1"/>
    </xf>
    <xf numFmtId="177" fontId="12" fillId="0" borderId="18" xfId="0" applyNumberFormat="1" applyFont="1" applyFill="1" applyBorder="1" applyAlignment="1">
      <alignment horizontal="right" vertical="top"/>
    </xf>
    <xf numFmtId="10" fontId="12" fillId="0" borderId="18" xfId="0" applyNumberFormat="1" applyFont="1" applyFill="1" applyBorder="1" applyAlignment="1">
      <alignment horizontal="right" vertical="top"/>
    </xf>
    <xf numFmtId="179" fontId="12" fillId="0" borderId="11" xfId="0" applyNumberFormat="1" applyFont="1" applyBorder="1" applyAlignment="1">
      <alignment vertical="top"/>
    </xf>
    <xf numFmtId="179" fontId="6" fillId="0" borderId="12" xfId="0" applyNumberFormat="1" applyFont="1" applyBorder="1" applyAlignment="1">
      <alignment horizontal="right" vertical="top"/>
    </xf>
    <xf numFmtId="181" fontId="12" fillId="0" borderId="30" xfId="0" applyNumberFormat="1" applyFont="1" applyFill="1" applyBorder="1" applyAlignment="1">
      <alignment vertical="top"/>
    </xf>
    <xf numFmtId="0" fontId="12" fillId="0" borderId="30" xfId="0" applyFont="1" applyFill="1" applyBorder="1" applyAlignment="1">
      <alignment horizontal="justify" vertical="top"/>
    </xf>
    <xf numFmtId="0" fontId="12" fillId="0" borderId="30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12" fillId="0" borderId="0" xfId="0" applyFont="1" applyFill="1" applyAlignment="1">
      <alignment vertical="center"/>
    </xf>
    <xf numFmtId="179" fontId="6" fillId="0" borderId="11" xfId="20" applyNumberFormat="1" applyFont="1" applyBorder="1" applyAlignment="1">
      <alignment vertical="top"/>
    </xf>
    <xf numFmtId="0" fontId="12" fillId="0" borderId="0" xfId="20" applyFont="1" applyAlignment="1">
      <alignment vertical="top"/>
    </xf>
    <xf numFmtId="0" fontId="6" fillId="0" borderId="11" xfId="20" applyNumberFormat="1" applyFont="1" applyBorder="1" applyAlignment="1">
      <alignment vertical="top" wrapText="1"/>
    </xf>
    <xf numFmtId="0" fontId="12" fillId="0" borderId="17" xfId="20" applyFont="1" applyBorder="1" applyAlignment="1">
      <alignment vertical="top" wrapText="1"/>
    </xf>
    <xf numFmtId="0" fontId="12" fillId="0" borderId="0" xfId="20" applyFont="1" applyBorder="1" applyAlignment="1">
      <alignment vertical="top"/>
    </xf>
    <xf numFmtId="0" fontId="6" fillId="0" borderId="0" xfId="20" applyFont="1" applyBorder="1" applyAlignment="1">
      <alignment vertical="top"/>
    </xf>
    <xf numFmtId="0" fontId="6" fillId="0" borderId="11" xfId="20" applyFont="1" applyBorder="1" applyAlignment="1">
      <alignment vertical="top" wrapText="1"/>
    </xf>
    <xf numFmtId="0" fontId="6" fillId="0" borderId="11" xfId="0" applyNumberFormat="1" applyFont="1" applyBorder="1" applyAlignment="1">
      <alignment horizontal="justify" vertical="top" wrapText="1"/>
    </xf>
    <xf numFmtId="0" fontId="6" fillId="0" borderId="17" xfId="0" applyFont="1" applyBorder="1" applyAlignment="1">
      <alignment vertical="top" wrapText="1"/>
    </xf>
    <xf numFmtId="0" fontId="12" fillId="0" borderId="11" xfId="0" applyNumberFormat="1" applyFont="1" applyBorder="1" applyAlignment="1">
      <alignment horizontal="justify" vertical="top" wrapText="1"/>
    </xf>
    <xf numFmtId="0" fontId="12" fillId="0" borderId="0" xfId="0" applyFont="1" applyAlignment="1">
      <alignment vertical="top"/>
    </xf>
    <xf numFmtId="0" fontId="20" fillId="0" borderId="11" xfId="0" applyNumberFormat="1" applyFont="1" applyFill="1" applyBorder="1" applyAlignment="1">
      <alignment horizontal="justify" vertical="top" wrapText="1"/>
    </xf>
    <xf numFmtId="0" fontId="20" fillId="0" borderId="13" xfId="0" applyNumberFormat="1" applyFont="1" applyFill="1" applyBorder="1" applyAlignment="1">
      <alignment horizontal="justify" vertical="top" wrapText="1"/>
    </xf>
    <xf numFmtId="182" fontId="12" fillId="0" borderId="0" xfId="0" applyNumberFormat="1" applyFont="1" applyFill="1" applyBorder="1" applyAlignment="1">
      <alignment vertical="top" wrapText="1"/>
    </xf>
    <xf numFmtId="49" fontId="17" fillId="0" borderId="0" xfId="0" applyNumberFormat="1" applyFont="1" applyBorder="1" applyAlignment="1">
      <alignment vertical="top" wrapText="1"/>
    </xf>
    <xf numFmtId="49" fontId="17" fillId="0" borderId="36" xfId="0" applyNumberFormat="1" applyFont="1" applyBorder="1" applyAlignment="1">
      <alignment vertical="top" wrapText="1"/>
    </xf>
    <xf numFmtId="0" fontId="6" fillId="0" borderId="0" xfId="0" applyFont="1" applyBorder="1">
      <alignment vertical="center"/>
    </xf>
    <xf numFmtId="0" fontId="15" fillId="0" borderId="0" xfId="0" applyFont="1" applyBorder="1">
      <alignment vertical="center"/>
    </xf>
    <xf numFmtId="0" fontId="6" fillId="0" borderId="0" xfId="0" applyFont="1" applyBorder="1" applyAlignment="1">
      <alignment vertical="top"/>
    </xf>
    <xf numFmtId="0" fontId="13" fillId="0" borderId="0" xfId="0" applyFont="1" applyBorder="1" applyAlignment="1">
      <alignment horizontal="distributed" vertical="center" indent="2"/>
    </xf>
    <xf numFmtId="0" fontId="6" fillId="0" borderId="0" xfId="0" applyFont="1" applyBorder="1" applyAlignment="1">
      <alignment horizontal="center" vertical="top"/>
    </xf>
    <xf numFmtId="49" fontId="6" fillId="0" borderId="0" xfId="0" applyNumberFormat="1" applyFont="1" applyBorder="1" applyAlignment="1">
      <alignment horizontal="left" vertical="top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/>
    </xf>
    <xf numFmtId="0" fontId="6" fillId="0" borderId="21" xfId="0" applyFont="1" applyFill="1" applyBorder="1" applyAlignment="1">
      <alignment vertical="center"/>
    </xf>
    <xf numFmtId="0" fontId="6" fillId="0" borderId="12" xfId="0" applyFont="1" applyFill="1" applyBorder="1" applyAlignment="1">
      <alignment vertical="center"/>
    </xf>
    <xf numFmtId="0" fontId="6" fillId="0" borderId="13" xfId="0" applyFont="1" applyFill="1" applyBorder="1" applyAlignment="1">
      <alignment vertical="center"/>
    </xf>
    <xf numFmtId="0" fontId="6" fillId="0" borderId="27" xfId="0" applyFont="1" applyFill="1" applyBorder="1" applyAlignment="1">
      <alignment vertical="top"/>
    </xf>
    <xf numFmtId="179" fontId="12" fillId="0" borderId="10" xfId="0" applyNumberFormat="1" applyFont="1" applyFill="1" applyBorder="1" applyAlignment="1">
      <alignment vertical="top"/>
    </xf>
    <xf numFmtId="0" fontId="11" fillId="0" borderId="30" xfId="0" applyFont="1" applyFill="1" applyBorder="1" applyAlignment="1">
      <alignment horizontal="left" vertical="top"/>
    </xf>
    <xf numFmtId="0" fontId="11" fillId="0" borderId="30" xfId="0" applyFont="1" applyFill="1" applyBorder="1" applyAlignment="1">
      <alignment horizontal="left" vertical="top" wrapText="1"/>
    </xf>
    <xf numFmtId="0" fontId="10" fillId="0" borderId="30" xfId="0" applyFont="1" applyFill="1" applyBorder="1" applyAlignment="1">
      <alignment horizontal="left" vertical="top" wrapText="1"/>
    </xf>
    <xf numFmtId="178" fontId="6" fillId="0" borderId="18" xfId="21" applyNumberFormat="1" applyFont="1" applyBorder="1" applyAlignment="1">
      <alignment horizontal="right" vertical="top" wrapText="1"/>
    </xf>
    <xf numFmtId="10" fontId="6" fillId="0" borderId="18" xfId="26" applyNumberFormat="1" applyFont="1" applyFill="1" applyBorder="1" applyAlignment="1">
      <alignment horizontal="right" vertical="top" wrapText="1"/>
    </xf>
    <xf numFmtId="0" fontId="29" fillId="0" borderId="27" xfId="0" applyFont="1" applyFill="1" applyBorder="1" applyAlignment="1">
      <alignment horizontal="justify" vertical="top" wrapText="1"/>
    </xf>
    <xf numFmtId="0" fontId="31" fillId="0" borderId="27" xfId="0" applyFont="1" applyFill="1" applyBorder="1" applyAlignment="1">
      <alignment horizontal="justify" vertical="top" wrapText="1"/>
    </xf>
    <xf numFmtId="0" fontId="31" fillId="0" borderId="27" xfId="0" applyFont="1" applyFill="1" applyBorder="1" applyAlignment="1">
      <alignment vertical="top" wrapText="1"/>
    </xf>
    <xf numFmtId="0" fontId="31" fillId="0" borderId="27" xfId="0" applyFont="1" applyFill="1" applyBorder="1" applyAlignment="1">
      <alignment horizontal="left" vertical="top" wrapText="1"/>
    </xf>
    <xf numFmtId="0" fontId="30" fillId="0" borderId="0" xfId="0" applyFont="1" applyFill="1">
      <alignment vertical="center"/>
    </xf>
    <xf numFmtId="43" fontId="6" fillId="0" borderId="0" xfId="0" applyNumberFormat="1" applyFont="1" applyFill="1">
      <alignment vertical="center"/>
    </xf>
    <xf numFmtId="0" fontId="31" fillId="0" borderId="32" xfId="0" applyFont="1" applyFill="1" applyBorder="1" applyAlignment="1">
      <alignment horizontal="justify" vertical="top" wrapText="1"/>
    </xf>
    <xf numFmtId="0" fontId="29" fillId="0" borderId="32" xfId="0" applyFont="1" applyFill="1" applyBorder="1" applyAlignment="1">
      <alignment horizontal="justify" vertical="top" wrapText="1"/>
    </xf>
    <xf numFmtId="0" fontId="6" fillId="0" borderId="15" xfId="20" applyFont="1" applyFill="1" applyBorder="1" applyAlignment="1">
      <alignment vertical="top"/>
    </xf>
    <xf numFmtId="0" fontId="6" fillId="0" borderId="25" xfId="20" applyFont="1" applyFill="1" applyBorder="1" applyAlignment="1">
      <alignment vertical="top"/>
    </xf>
    <xf numFmtId="179" fontId="20" fillId="0" borderId="16" xfId="20" applyNumberFormat="1" applyFont="1" applyFill="1" applyBorder="1" applyAlignment="1">
      <alignment vertical="top"/>
    </xf>
    <xf numFmtId="0" fontId="12" fillId="0" borderId="18" xfId="20" applyFont="1" applyFill="1" applyBorder="1" applyAlignment="1">
      <alignment vertical="top"/>
    </xf>
    <xf numFmtId="0" fontId="12" fillId="0" borderId="27" xfId="20" applyFont="1" applyFill="1" applyBorder="1" applyAlignment="1">
      <alignment vertical="top"/>
    </xf>
    <xf numFmtId="179" fontId="32" fillId="0" borderId="11" xfId="20" applyNumberFormat="1" applyFont="1" applyFill="1" applyBorder="1" applyAlignment="1">
      <alignment vertical="top"/>
    </xf>
    <xf numFmtId="0" fontId="12" fillId="0" borderId="0" xfId="20" applyFont="1" applyFill="1" applyAlignment="1">
      <alignment vertical="top"/>
    </xf>
    <xf numFmtId="0" fontId="6" fillId="0" borderId="36" xfId="0" applyFont="1" applyFill="1" applyBorder="1" applyAlignment="1">
      <alignment vertical="top"/>
    </xf>
    <xf numFmtId="0" fontId="6" fillId="0" borderId="0" xfId="20" applyFont="1" applyFill="1" applyAlignment="1">
      <alignment vertical="top"/>
    </xf>
    <xf numFmtId="182" fontId="12" fillId="0" borderId="12" xfId="0" applyNumberFormat="1" applyFont="1" applyFill="1" applyBorder="1" applyAlignment="1">
      <alignment vertical="top" wrapText="1"/>
    </xf>
    <xf numFmtId="180" fontId="18" fillId="0" borderId="28" xfId="0" applyNumberFormat="1" applyFont="1" applyFill="1" applyBorder="1" applyAlignment="1">
      <alignment horizontal="center" vertical="center" wrapText="1"/>
    </xf>
    <xf numFmtId="176" fontId="18" fillId="0" borderId="28" xfId="0" applyNumberFormat="1" applyFont="1" applyFill="1" applyBorder="1" applyAlignment="1">
      <alignment horizontal="center" vertical="center" wrapText="1"/>
    </xf>
    <xf numFmtId="0" fontId="18" fillId="0" borderId="44" xfId="0" applyFont="1" applyFill="1" applyBorder="1" applyAlignment="1">
      <alignment horizontal="center" vertical="center" wrapText="1"/>
    </xf>
    <xf numFmtId="176" fontId="18" fillId="0" borderId="15" xfId="0" applyNumberFormat="1" applyFont="1" applyFill="1" applyBorder="1" applyAlignment="1">
      <alignment horizontal="center" vertical="center" wrapText="1"/>
    </xf>
    <xf numFmtId="0" fontId="18" fillId="0" borderId="16" xfId="0" applyFont="1" applyFill="1" applyBorder="1" applyAlignment="1">
      <alignment horizontal="center" vertical="center" wrapText="1"/>
    </xf>
    <xf numFmtId="176" fontId="6" fillId="0" borderId="0" xfId="0" applyNumberFormat="1" applyFont="1" applyFill="1">
      <alignment vertical="center"/>
    </xf>
    <xf numFmtId="0" fontId="53" fillId="0" borderId="28" xfId="0" applyFont="1" applyFill="1" applyBorder="1" applyAlignment="1">
      <alignment horizontal="justify" vertical="top" wrapText="1"/>
    </xf>
    <xf numFmtId="180" fontId="25" fillId="0" borderId="28" xfId="0" applyNumberFormat="1" applyFont="1" applyFill="1" applyBorder="1">
      <alignment vertical="center"/>
    </xf>
    <xf numFmtId="184" fontId="25" fillId="0" borderId="28" xfId="0" applyNumberFormat="1" applyFont="1" applyFill="1" applyBorder="1">
      <alignment vertical="center"/>
    </xf>
    <xf numFmtId="176" fontId="25" fillId="0" borderId="28" xfId="0" applyNumberFormat="1" applyFont="1" applyFill="1" applyBorder="1">
      <alignment vertical="center"/>
    </xf>
    <xf numFmtId="178" fontId="25" fillId="0" borderId="28" xfId="0" applyNumberFormat="1" applyFont="1" applyFill="1" applyBorder="1">
      <alignment vertical="center"/>
    </xf>
    <xf numFmtId="43" fontId="25" fillId="0" borderId="28" xfId="0" applyNumberFormat="1" applyFont="1" applyFill="1" applyBorder="1">
      <alignment vertical="center"/>
    </xf>
    <xf numFmtId="0" fontId="53" fillId="0" borderId="28" xfId="0" applyFont="1" applyFill="1" applyBorder="1">
      <alignment vertical="center"/>
    </xf>
    <xf numFmtId="0" fontId="10" fillId="0" borderId="31" xfId="0" applyFont="1" applyFill="1" applyBorder="1" applyAlignment="1">
      <alignment horizontal="left" vertical="top" wrapText="1"/>
    </xf>
    <xf numFmtId="3" fontId="6" fillId="0" borderId="13" xfId="0" applyNumberFormat="1" applyFont="1" applyFill="1" applyBorder="1" applyAlignment="1">
      <alignment horizontal="right" vertical="top" wrapText="1"/>
    </xf>
    <xf numFmtId="185" fontId="25" fillId="0" borderId="28" xfId="0" applyNumberFormat="1" applyFont="1" applyFill="1" applyBorder="1">
      <alignment vertical="center"/>
    </xf>
    <xf numFmtId="0" fontId="6" fillId="0" borderId="17" xfId="0" applyNumberFormat="1" applyFont="1" applyBorder="1" applyAlignment="1">
      <alignment vertical="top" wrapText="1"/>
    </xf>
    <xf numFmtId="3" fontId="6" fillId="0" borderId="12" xfId="0" applyNumberFormat="1" applyFont="1" applyFill="1" applyBorder="1" applyAlignment="1">
      <alignment vertical="top"/>
    </xf>
    <xf numFmtId="0" fontId="6" fillId="0" borderId="0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justify" vertical="top" wrapText="1"/>
    </xf>
    <xf numFmtId="3" fontId="6" fillId="0" borderId="0" xfId="0" applyNumberFormat="1" applyFont="1" applyFill="1" applyBorder="1" applyAlignment="1">
      <alignment vertical="top"/>
    </xf>
    <xf numFmtId="49" fontId="6" fillId="0" borderId="22" xfId="0" applyNumberFormat="1" applyFont="1" applyBorder="1" applyAlignment="1">
      <alignment horizontal="left" vertical="top"/>
    </xf>
    <xf numFmtId="178" fontId="54" fillId="0" borderId="17" xfId="0" applyNumberFormat="1" applyFont="1" applyFill="1" applyBorder="1" applyAlignment="1">
      <alignment horizontal="right" vertical="top" wrapText="1"/>
    </xf>
    <xf numFmtId="43" fontId="54" fillId="0" borderId="30" xfId="0" applyNumberFormat="1" applyFont="1" applyFill="1" applyBorder="1" applyAlignment="1">
      <alignment horizontal="right" vertical="top" wrapText="1"/>
    </xf>
    <xf numFmtId="178" fontId="25" fillId="0" borderId="17" xfId="0" applyNumberFormat="1" applyFont="1" applyFill="1" applyBorder="1" applyAlignment="1">
      <alignment horizontal="right" vertical="top" wrapText="1"/>
    </xf>
    <xf numFmtId="43" fontId="25" fillId="0" borderId="30" xfId="0" applyNumberFormat="1" applyFont="1" applyFill="1" applyBorder="1" applyAlignment="1">
      <alignment horizontal="right" vertical="top" wrapText="1"/>
    </xf>
    <xf numFmtId="178" fontId="25" fillId="0" borderId="21" xfId="0" applyNumberFormat="1" applyFont="1" applyFill="1" applyBorder="1" applyAlignment="1">
      <alignment horizontal="right" vertical="top" wrapText="1"/>
    </xf>
    <xf numFmtId="43" fontId="25" fillId="0" borderId="31" xfId="0" applyNumberFormat="1" applyFont="1" applyFill="1" applyBorder="1" applyAlignment="1">
      <alignment horizontal="right" vertical="top" wrapText="1"/>
    </xf>
    <xf numFmtId="43" fontId="54" fillId="0" borderId="31" xfId="0" applyNumberFormat="1" applyFont="1" applyFill="1" applyBorder="1" applyAlignment="1">
      <alignment horizontal="right" vertical="top" wrapText="1"/>
    </xf>
    <xf numFmtId="179" fontId="54" fillId="0" borderId="17" xfId="0" applyNumberFormat="1" applyFont="1" applyFill="1" applyBorder="1" applyAlignment="1">
      <alignment horizontal="right" vertical="top" wrapText="1"/>
    </xf>
    <xf numFmtId="181" fontId="54" fillId="0" borderId="30" xfId="0" applyNumberFormat="1" applyFont="1" applyFill="1" applyBorder="1" applyAlignment="1">
      <alignment horizontal="right" vertical="top" wrapText="1"/>
    </xf>
    <xf numFmtId="178" fontId="54" fillId="0" borderId="17" xfId="21" applyNumberFormat="1" applyFont="1" applyFill="1" applyBorder="1" applyAlignment="1">
      <alignment horizontal="right" vertical="top" wrapText="1"/>
    </xf>
    <xf numFmtId="178" fontId="54" fillId="0" borderId="21" xfId="21" applyNumberFormat="1" applyFont="1" applyFill="1" applyBorder="1" applyAlignment="1">
      <alignment horizontal="right" vertical="top" wrapText="1"/>
    </xf>
    <xf numFmtId="178" fontId="54" fillId="0" borderId="18" xfId="0" applyNumberFormat="1" applyFont="1" applyFill="1" applyBorder="1" applyAlignment="1">
      <alignment horizontal="right" vertical="top" wrapText="1"/>
    </xf>
    <xf numFmtId="43" fontId="54" fillId="0" borderId="0" xfId="0" applyNumberFormat="1" applyFont="1" applyFill="1" applyBorder="1" applyAlignment="1">
      <alignment horizontal="right" vertical="top" wrapText="1"/>
    </xf>
    <xf numFmtId="43" fontId="54" fillId="0" borderId="11" xfId="0" applyNumberFormat="1" applyFont="1" applyFill="1" applyBorder="1" applyAlignment="1">
      <alignment horizontal="right" vertical="top" wrapText="1"/>
    </xf>
    <xf numFmtId="178" fontId="25" fillId="0" borderId="18" xfId="0" applyNumberFormat="1" applyFont="1" applyFill="1" applyBorder="1" applyAlignment="1">
      <alignment horizontal="right" vertical="top" wrapText="1"/>
    </xf>
    <xf numFmtId="43" fontId="25" fillId="0" borderId="0" xfId="0" applyNumberFormat="1" applyFont="1" applyFill="1" applyBorder="1" applyAlignment="1">
      <alignment horizontal="right" vertical="top" wrapText="1"/>
    </xf>
    <xf numFmtId="43" fontId="25" fillId="0" borderId="11" xfId="0" applyNumberFormat="1" applyFont="1" applyFill="1" applyBorder="1" applyAlignment="1">
      <alignment horizontal="right" vertical="top" wrapText="1"/>
    </xf>
    <xf numFmtId="179" fontId="25" fillId="0" borderId="18" xfId="0" applyNumberFormat="1" applyFont="1" applyFill="1" applyBorder="1" applyAlignment="1">
      <alignment horizontal="right" vertical="top" wrapText="1"/>
    </xf>
    <xf numFmtId="181" fontId="25" fillId="0" borderId="11" xfId="0" applyNumberFormat="1" applyFont="1" applyFill="1" applyBorder="1" applyAlignment="1">
      <alignment horizontal="right" vertical="top" wrapText="1"/>
    </xf>
    <xf numFmtId="178" fontId="25" fillId="0" borderId="12" xfId="0" applyNumberFormat="1" applyFont="1" applyFill="1" applyBorder="1" applyAlignment="1">
      <alignment horizontal="right" vertical="top" wrapText="1"/>
    </xf>
    <xf numFmtId="43" fontId="25" fillId="0" borderId="36" xfId="0" applyNumberFormat="1" applyFont="1" applyFill="1" applyBorder="1" applyAlignment="1">
      <alignment horizontal="right" vertical="top" wrapText="1"/>
    </xf>
    <xf numFmtId="43" fontId="25" fillId="0" borderId="13" xfId="0" applyNumberFormat="1" applyFont="1" applyFill="1" applyBorder="1" applyAlignment="1">
      <alignment horizontal="right" vertical="top" wrapText="1"/>
    </xf>
    <xf numFmtId="179" fontId="54" fillId="0" borderId="18" xfId="0" applyNumberFormat="1" applyFont="1" applyFill="1" applyBorder="1" applyAlignment="1">
      <alignment horizontal="right" vertical="top" wrapText="1"/>
    </xf>
    <xf numFmtId="181" fontId="54" fillId="0" borderId="11" xfId="0" applyNumberFormat="1" applyFont="1" applyFill="1" applyBorder="1" applyAlignment="1">
      <alignment horizontal="right" vertical="top" wrapText="1"/>
    </xf>
    <xf numFmtId="178" fontId="54" fillId="0" borderId="12" xfId="0" applyNumberFormat="1" applyFont="1" applyFill="1" applyBorder="1" applyAlignment="1">
      <alignment horizontal="right" vertical="top" wrapText="1"/>
    </xf>
    <xf numFmtId="43" fontId="54" fillId="0" borderId="36" xfId="0" applyNumberFormat="1" applyFont="1" applyFill="1" applyBorder="1" applyAlignment="1">
      <alignment horizontal="right" vertical="top" wrapText="1"/>
    </xf>
    <xf numFmtId="178" fontId="54" fillId="0" borderId="18" xfId="21" applyNumberFormat="1" applyFont="1" applyFill="1" applyBorder="1" applyAlignment="1">
      <alignment horizontal="right" vertical="top" wrapText="1"/>
    </xf>
    <xf numFmtId="178" fontId="54" fillId="0" borderId="12" xfId="21" applyNumberFormat="1" applyFont="1" applyFill="1" applyBorder="1" applyAlignment="1">
      <alignment horizontal="right" vertical="top" wrapText="1"/>
    </xf>
    <xf numFmtId="43" fontId="54" fillId="0" borderId="23" xfId="0" applyNumberFormat="1" applyFont="1" applyFill="1" applyBorder="1" applyAlignment="1">
      <alignment horizontal="right" vertical="top" wrapText="1"/>
    </xf>
    <xf numFmtId="0" fontId="6" fillId="0" borderId="13" xfId="0" applyNumberFormat="1" applyFont="1" applyBorder="1" applyAlignment="1">
      <alignment horizontal="justify" vertical="top" wrapText="1"/>
    </xf>
    <xf numFmtId="10" fontId="6" fillId="0" borderId="12" xfId="0" applyNumberFormat="1" applyFont="1" applyFill="1" applyBorder="1" applyAlignment="1">
      <alignment horizontal="right" vertical="top" wrapText="1"/>
    </xf>
    <xf numFmtId="41" fontId="32" fillId="0" borderId="12" xfId="0" applyNumberFormat="1" applyFont="1" applyFill="1" applyBorder="1" applyAlignment="1">
      <alignment horizontal="right" vertical="top" wrapText="1"/>
    </xf>
    <xf numFmtId="41" fontId="20" fillId="0" borderId="18" xfId="21" applyNumberFormat="1" applyFont="1" applyFill="1" applyBorder="1" applyAlignment="1">
      <alignment horizontal="right" vertical="top" wrapText="1"/>
    </xf>
    <xf numFmtId="41" fontId="32" fillId="0" borderId="13" xfId="0" applyNumberFormat="1" applyFont="1" applyFill="1" applyBorder="1" applyAlignment="1">
      <alignment horizontal="right" vertical="top" wrapText="1"/>
    </xf>
    <xf numFmtId="178" fontId="6" fillId="0" borderId="12" xfId="21" applyNumberFormat="1" applyFont="1" applyBorder="1" applyAlignment="1">
      <alignment horizontal="right" vertical="top" wrapText="1"/>
    </xf>
    <xf numFmtId="41" fontId="32" fillId="0" borderId="27" xfId="0" applyNumberFormat="1" applyFont="1" applyFill="1" applyBorder="1" applyAlignment="1">
      <alignment horizontal="right" vertical="top" wrapText="1"/>
    </xf>
    <xf numFmtId="41" fontId="20" fillId="0" borderId="27" xfId="0" applyNumberFormat="1" applyFont="1" applyFill="1" applyBorder="1" applyAlignment="1">
      <alignment horizontal="right" vertical="top" wrapText="1"/>
    </xf>
    <xf numFmtId="41" fontId="32" fillId="0" borderId="32" xfId="0" applyNumberFormat="1" applyFont="1" applyFill="1" applyBorder="1" applyAlignment="1">
      <alignment horizontal="right" vertical="top" wrapText="1"/>
    </xf>
    <xf numFmtId="0" fontId="12" fillId="0" borderId="31" xfId="0" applyFont="1" applyFill="1" applyBorder="1" applyAlignment="1">
      <alignment horizontal="justify" vertical="top"/>
    </xf>
    <xf numFmtId="0" fontId="12" fillId="0" borderId="31" xfId="0" applyFont="1" applyFill="1" applyBorder="1" applyAlignment="1">
      <alignment vertical="top"/>
    </xf>
    <xf numFmtId="49" fontId="34" fillId="0" borderId="32" xfId="0" applyNumberFormat="1" applyFont="1" applyBorder="1" applyAlignment="1">
      <alignment vertical="top" wrapText="1"/>
    </xf>
    <xf numFmtId="179" fontId="25" fillId="0" borderId="12" xfId="0" applyNumberFormat="1" applyFont="1" applyFill="1" applyBorder="1" applyAlignment="1">
      <alignment horizontal="right" vertical="top" wrapText="1"/>
    </xf>
    <xf numFmtId="181" fontId="25" fillId="0" borderId="13" xfId="0" applyNumberFormat="1" applyFont="1" applyFill="1" applyBorder="1" applyAlignment="1">
      <alignment horizontal="right" vertical="top" wrapText="1"/>
    </xf>
    <xf numFmtId="0" fontId="6" fillId="0" borderId="31" xfId="0" applyFont="1" applyFill="1" applyBorder="1" applyAlignment="1">
      <alignment vertical="center" wrapText="1"/>
    </xf>
    <xf numFmtId="3" fontId="6" fillId="0" borderId="30" xfId="0" applyNumberFormat="1" applyFont="1" applyFill="1" applyBorder="1" applyAlignment="1">
      <alignment horizontal="right" vertical="top" wrapText="1"/>
    </xf>
    <xf numFmtId="178" fontId="6" fillId="0" borderId="17" xfId="21" applyNumberFormat="1" applyFont="1" applyBorder="1" applyAlignment="1">
      <alignment horizontal="right" vertical="top" wrapText="1"/>
    </xf>
    <xf numFmtId="0" fontId="6" fillId="0" borderId="0" xfId="0" applyFont="1" applyFill="1" applyBorder="1" applyAlignment="1">
      <alignment horizontal="left" vertical="top" wrapText="1"/>
    </xf>
    <xf numFmtId="0" fontId="6" fillId="0" borderId="22" xfId="0" applyFont="1" applyFill="1" applyBorder="1" applyAlignment="1">
      <alignment horizontal="center" vertical="top"/>
    </xf>
    <xf numFmtId="49" fontId="6" fillId="0" borderId="0" xfId="0" applyNumberFormat="1" applyFont="1" applyFill="1" applyBorder="1" applyAlignment="1">
      <alignment horizontal="left" vertical="top"/>
    </xf>
    <xf numFmtId="49" fontId="6" fillId="0" borderId="22" xfId="0" applyNumberFormat="1" applyFont="1" applyFill="1" applyBorder="1" applyAlignment="1">
      <alignment horizontal="left" vertical="top"/>
    </xf>
    <xf numFmtId="0" fontId="6" fillId="0" borderId="10" xfId="0" applyFont="1" applyFill="1" applyBorder="1" applyAlignment="1">
      <alignment vertical="top"/>
    </xf>
    <xf numFmtId="43" fontId="54" fillId="0" borderId="22" xfId="0" applyNumberFormat="1" applyFont="1" applyFill="1" applyBorder="1" applyAlignment="1">
      <alignment horizontal="right" vertical="top" wrapText="1"/>
    </xf>
    <xf numFmtId="0" fontId="6" fillId="0" borderId="11" xfId="0" applyFont="1" applyFill="1" applyBorder="1" applyAlignment="1">
      <alignment horizontal="left" vertical="top" wrapText="1"/>
    </xf>
    <xf numFmtId="41" fontId="32" fillId="0" borderId="17" xfId="0" applyNumberFormat="1" applyFont="1" applyFill="1" applyBorder="1" applyAlignment="1">
      <alignment horizontal="right" vertical="top" wrapText="1"/>
    </xf>
    <xf numFmtId="0" fontId="15" fillId="0" borderId="39" xfId="0" applyFont="1" applyFill="1" applyBorder="1" applyAlignment="1">
      <alignment horizontal="center" vertical="center"/>
    </xf>
    <xf numFmtId="0" fontId="15" fillId="0" borderId="40" xfId="0" applyFont="1" applyFill="1" applyBorder="1" applyAlignment="1">
      <alignment horizontal="center" vertical="center"/>
    </xf>
    <xf numFmtId="0" fontId="15" fillId="0" borderId="41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15" fillId="0" borderId="0" xfId="0" applyFont="1" applyFill="1">
      <alignment vertical="center"/>
    </xf>
    <xf numFmtId="0" fontId="15" fillId="0" borderId="0" xfId="0" applyFont="1" applyFill="1" applyAlignment="1">
      <alignment vertical="top"/>
    </xf>
    <xf numFmtId="0" fontId="15" fillId="0" borderId="10" xfId="0" applyFont="1" applyFill="1" applyBorder="1" applyAlignment="1">
      <alignment horizontal="left" vertical="top"/>
    </xf>
    <xf numFmtId="0" fontId="15" fillId="0" borderId="0" xfId="0" applyFont="1" applyFill="1" applyAlignment="1">
      <alignment horizontal="left" vertical="top"/>
    </xf>
    <xf numFmtId="0" fontId="15" fillId="0" borderId="10" xfId="0" applyFont="1" applyFill="1" applyBorder="1" applyAlignment="1">
      <alignment horizontal="left"/>
    </xf>
    <xf numFmtId="0" fontId="15" fillId="0" borderId="0" xfId="0" applyFont="1" applyFill="1" applyBorder="1" applyAlignment="1">
      <alignment horizontal="left" wrapText="1"/>
    </xf>
    <xf numFmtId="0" fontId="15" fillId="0" borderId="22" xfId="0" applyFont="1" applyFill="1" applyBorder="1" applyAlignment="1">
      <alignment horizontal="left" wrapText="1"/>
    </xf>
    <xf numFmtId="0" fontId="6" fillId="0" borderId="42" xfId="0" applyFont="1" applyFill="1" applyBorder="1">
      <alignment vertical="center"/>
    </xf>
    <xf numFmtId="0" fontId="6" fillId="0" borderId="36" xfId="0" applyFont="1" applyFill="1" applyBorder="1">
      <alignment vertical="center"/>
    </xf>
    <xf numFmtId="0" fontId="6" fillId="0" borderId="23" xfId="0" applyFont="1" applyFill="1" applyBorder="1">
      <alignment vertical="center"/>
    </xf>
    <xf numFmtId="0" fontId="6" fillId="0" borderId="22" xfId="0" applyFont="1" applyFill="1" applyBorder="1" applyAlignment="1">
      <alignment vertical="top" wrapText="1"/>
    </xf>
    <xf numFmtId="41" fontId="32" fillId="0" borderId="0" xfId="0" applyNumberFormat="1" applyFont="1" applyFill="1" applyBorder="1" applyAlignment="1">
      <alignment horizontal="right" vertical="top" wrapText="1"/>
    </xf>
    <xf numFmtId="0" fontId="6" fillId="0" borderId="13" xfId="0" applyFont="1" applyFill="1" applyBorder="1" applyAlignment="1">
      <alignment horizontal="left" vertical="top" wrapText="1"/>
    </xf>
    <xf numFmtId="179" fontId="12" fillId="0" borderId="27" xfId="20" applyNumberFormat="1" applyFont="1" applyFill="1" applyBorder="1" applyAlignment="1">
      <alignment vertical="top"/>
    </xf>
    <xf numFmtId="0" fontId="32" fillId="0" borderId="11" xfId="0" applyNumberFormat="1" applyFont="1" applyFill="1" applyBorder="1" applyAlignment="1">
      <alignment horizontal="justify" vertical="top" wrapText="1"/>
    </xf>
    <xf numFmtId="0" fontId="20" fillId="0" borderId="11" xfId="0" applyNumberFormat="1" applyFont="1" applyFill="1" applyBorder="1" applyAlignment="1">
      <alignment vertical="top" wrapText="1"/>
    </xf>
    <xf numFmtId="0" fontId="20" fillId="0" borderId="11" xfId="0" applyNumberFormat="1" applyFont="1" applyFill="1" applyBorder="1" applyAlignment="1">
      <alignment vertical="center" wrapText="1"/>
    </xf>
    <xf numFmtId="43" fontId="25" fillId="0" borderId="18" xfId="0" applyNumberFormat="1" applyFont="1" applyFill="1" applyBorder="1" applyAlignment="1">
      <alignment horizontal="right" vertical="top" wrapText="1"/>
    </xf>
    <xf numFmtId="41" fontId="20" fillId="0" borderId="30" xfId="0" applyNumberFormat="1" applyFont="1" applyFill="1" applyBorder="1" applyAlignment="1">
      <alignment horizontal="right" vertical="top" wrapText="1"/>
    </xf>
    <xf numFmtId="179" fontId="6" fillId="0" borderId="21" xfId="0" applyNumberFormat="1" applyFont="1" applyFill="1" applyBorder="1" applyAlignment="1">
      <alignment horizontal="right" vertical="top" wrapText="1"/>
    </xf>
    <xf numFmtId="0" fontId="6" fillId="0" borderId="22" xfId="0" applyFont="1" applyFill="1" applyBorder="1" applyAlignment="1">
      <alignment vertical="center"/>
    </xf>
    <xf numFmtId="0" fontId="6" fillId="0" borderId="23" xfId="0" applyFont="1" applyFill="1" applyBorder="1" applyAlignment="1">
      <alignment vertical="center"/>
    </xf>
    <xf numFmtId="0" fontId="15" fillId="0" borderId="0" xfId="0" applyFont="1" applyFill="1" applyBorder="1" applyAlignment="1">
      <alignment vertical="top"/>
    </xf>
    <xf numFmtId="41" fontId="6" fillId="0" borderId="10" xfId="0" applyNumberFormat="1" applyFont="1" applyFill="1" applyBorder="1" applyAlignment="1">
      <alignment horizontal="right" vertical="top" wrapText="1"/>
    </xf>
    <xf numFmtId="41" fontId="12" fillId="0" borderId="10" xfId="0" applyNumberFormat="1" applyFont="1" applyFill="1" applyBorder="1" applyAlignment="1">
      <alignment horizontal="right" vertical="top" wrapText="1"/>
    </xf>
    <xf numFmtId="0" fontId="12" fillId="0" borderId="17" xfId="0" applyFont="1" applyFill="1" applyBorder="1" applyAlignment="1">
      <alignment horizontal="left" vertical="top" wrapText="1"/>
    </xf>
    <xf numFmtId="0" fontId="6" fillId="0" borderId="27" xfId="0" applyFont="1" applyFill="1" applyBorder="1" applyAlignment="1">
      <alignment horizontal="left" vertical="top" wrapText="1"/>
    </xf>
    <xf numFmtId="3" fontId="6" fillId="0" borderId="27" xfId="0" applyNumberFormat="1" applyFont="1" applyFill="1" applyBorder="1" applyAlignment="1">
      <alignment horizontal="right" vertical="top" wrapText="1"/>
    </xf>
    <xf numFmtId="3" fontId="6" fillId="0" borderId="0" xfId="0" applyNumberFormat="1" applyFont="1" applyFill="1" applyBorder="1" applyAlignment="1">
      <alignment horizontal="right" vertical="top" wrapText="1"/>
    </xf>
    <xf numFmtId="3" fontId="12" fillId="0" borderId="27" xfId="0" applyNumberFormat="1" applyFont="1" applyFill="1" applyBorder="1" applyAlignment="1">
      <alignment horizontal="right" vertical="top" wrapText="1"/>
    </xf>
    <xf numFmtId="3" fontId="12" fillId="0" borderId="0" xfId="0" applyNumberFormat="1" applyFont="1" applyFill="1" applyBorder="1" applyAlignment="1">
      <alignment horizontal="right" vertical="top" wrapText="1"/>
    </xf>
    <xf numFmtId="0" fontId="6" fillId="0" borderId="22" xfId="0" applyFont="1" applyFill="1" applyBorder="1" applyAlignment="1">
      <alignment horizontal="justify" vertical="top" wrapText="1"/>
    </xf>
    <xf numFmtId="41" fontId="12" fillId="0" borderId="27" xfId="0" applyNumberFormat="1" applyFont="1" applyFill="1" applyBorder="1" applyAlignment="1">
      <alignment horizontal="right" vertical="top" wrapText="1"/>
    </xf>
    <xf numFmtId="41" fontId="12" fillId="0" borderId="0" xfId="0" applyNumberFormat="1" applyFont="1" applyFill="1" applyBorder="1" applyAlignment="1">
      <alignment horizontal="right" vertical="top" wrapText="1"/>
    </xf>
    <xf numFmtId="41" fontId="6" fillId="0" borderId="27" xfId="0" applyNumberFormat="1" applyFont="1" applyFill="1" applyBorder="1" applyAlignment="1">
      <alignment horizontal="right" vertical="top" wrapText="1"/>
    </xf>
    <xf numFmtId="41" fontId="6" fillId="0" borderId="0" xfId="0" applyNumberFormat="1" applyFont="1" applyFill="1" applyBorder="1" applyAlignment="1">
      <alignment horizontal="right" vertical="top" wrapText="1"/>
    </xf>
    <xf numFmtId="0" fontId="20" fillId="0" borderId="22" xfId="0" applyFont="1" applyFill="1" applyBorder="1" applyAlignment="1">
      <alignment horizontal="center" vertical="top" wrapText="1"/>
    </xf>
    <xf numFmtId="179" fontId="12" fillId="0" borderId="27" xfId="0" applyNumberFormat="1" applyFont="1" applyFill="1" applyBorder="1" applyAlignment="1">
      <alignment horizontal="right" vertical="top" wrapText="1"/>
    </xf>
    <xf numFmtId="179" fontId="12" fillId="0" borderId="0" xfId="0" applyNumberFormat="1" applyFont="1" applyFill="1" applyBorder="1" applyAlignment="1">
      <alignment horizontal="right" vertical="top" wrapText="1"/>
    </xf>
    <xf numFmtId="0" fontId="20" fillId="0" borderId="22" xfId="0" applyFont="1" applyFill="1" applyBorder="1" applyAlignment="1">
      <alignment horizontal="justify" vertical="top" wrapText="1"/>
    </xf>
    <xf numFmtId="0" fontId="12" fillId="0" borderId="21" xfId="0" applyFont="1" applyFill="1" applyBorder="1" applyAlignment="1">
      <alignment horizontal="left" vertical="top" wrapText="1"/>
    </xf>
    <xf numFmtId="179" fontId="12" fillId="0" borderId="32" xfId="0" applyNumberFormat="1" applyFont="1" applyFill="1" applyBorder="1" applyAlignment="1">
      <alignment horizontal="right" vertical="top" wrapText="1"/>
    </xf>
    <xf numFmtId="179" fontId="12" fillId="0" borderId="36" xfId="0" applyNumberFormat="1" applyFont="1" applyFill="1" applyBorder="1" applyAlignment="1">
      <alignment horizontal="right" vertical="top" wrapText="1"/>
    </xf>
    <xf numFmtId="0" fontId="20" fillId="0" borderId="23" xfId="0" applyFont="1" applyFill="1" applyBorder="1" applyAlignment="1">
      <alignment horizontal="justify" vertical="top" wrapText="1"/>
    </xf>
    <xf numFmtId="43" fontId="25" fillId="0" borderId="12" xfId="0" applyNumberFormat="1" applyFont="1" applyFill="1" applyBorder="1" applyAlignment="1">
      <alignment horizontal="right" vertical="top" wrapText="1"/>
    </xf>
    <xf numFmtId="0" fontId="64" fillId="0" borderId="0" xfId="0" applyFont="1" applyFill="1" applyAlignment="1">
      <alignment vertical="top"/>
    </xf>
    <xf numFmtId="41" fontId="6" fillId="0" borderId="11" xfId="0" applyNumberFormat="1" applyFont="1" applyBorder="1" applyAlignment="1">
      <alignment vertical="top"/>
    </xf>
    <xf numFmtId="178" fontId="6" fillId="0" borderId="18" xfId="21" applyNumberFormat="1" applyFont="1" applyFill="1" applyBorder="1" applyAlignment="1">
      <alignment horizontal="right" vertical="top" wrapText="1"/>
    </xf>
    <xf numFmtId="178" fontId="6" fillId="0" borderId="11" xfId="21" applyNumberFormat="1" applyFont="1" applyFill="1" applyBorder="1" applyAlignment="1">
      <alignment horizontal="right" vertical="top" wrapText="1"/>
    </xf>
    <xf numFmtId="0" fontId="6" fillId="0" borderId="0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distributed" vertical="center" wrapText="1" indent="1"/>
    </xf>
    <xf numFmtId="0" fontId="6" fillId="0" borderId="15" xfId="0" applyFont="1" applyFill="1" applyBorder="1" applyAlignment="1">
      <alignment horizontal="distributed" vertical="center" wrapText="1" indent="1"/>
    </xf>
    <xf numFmtId="0" fontId="6" fillId="0" borderId="15" xfId="0" applyFont="1" applyFill="1" applyBorder="1" applyAlignment="1">
      <alignment horizontal="center" vertical="center" wrapText="1"/>
    </xf>
    <xf numFmtId="177" fontId="6" fillId="0" borderId="15" xfId="0" applyNumberFormat="1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distributed" vertical="center" wrapText="1" indent="1"/>
    </xf>
    <xf numFmtId="0" fontId="6" fillId="0" borderId="22" xfId="0" applyFont="1" applyFill="1" applyBorder="1" applyAlignment="1">
      <alignment horizontal="left" vertical="top" wrapText="1"/>
    </xf>
    <xf numFmtId="0" fontId="6" fillId="0" borderId="22" xfId="0" applyFont="1" applyBorder="1" applyAlignment="1">
      <alignment horizontal="left" vertical="top" wrapText="1"/>
    </xf>
    <xf numFmtId="0" fontId="6" fillId="0" borderId="27" xfId="0" applyFont="1" applyBorder="1" applyAlignment="1">
      <alignment horizontal="left" vertical="top" wrapText="1"/>
    </xf>
    <xf numFmtId="0" fontId="13" fillId="0" borderId="45" xfId="0" applyFont="1" applyBorder="1" applyAlignment="1">
      <alignment horizontal="distributed" vertical="center" indent="2"/>
    </xf>
    <xf numFmtId="0" fontId="6" fillId="0" borderId="18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1" xfId="20" applyNumberFormat="1" applyFont="1" applyBorder="1" applyAlignment="1">
      <alignment horizontal="justify" vertical="top" wrapText="1"/>
    </xf>
    <xf numFmtId="0" fontId="6" fillId="0" borderId="11" xfId="20" applyNumberFormat="1" applyFont="1" applyBorder="1" applyAlignment="1">
      <alignment horizontal="left" vertical="top" wrapText="1"/>
    </xf>
    <xf numFmtId="0" fontId="15" fillId="0" borderId="0" xfId="0" applyFont="1" applyFill="1" applyBorder="1" applyAlignment="1">
      <alignment horizontal="left" vertical="top"/>
    </xf>
    <xf numFmtId="0" fontId="6" fillId="0" borderId="35" xfId="0" applyFont="1" applyBorder="1" applyAlignment="1">
      <alignment horizontal="distributed" vertical="center" wrapText="1" indent="1"/>
    </xf>
    <xf numFmtId="0" fontId="6" fillId="0" borderId="14" xfId="0" applyFont="1" applyBorder="1" applyAlignment="1">
      <alignment horizontal="distributed" vertical="center" wrapText="1" indent="1"/>
    </xf>
    <xf numFmtId="0" fontId="6" fillId="0" borderId="18" xfId="0" applyFont="1" applyBorder="1" applyAlignment="1">
      <alignment horizontal="left" vertical="top" wrapText="1"/>
    </xf>
    <xf numFmtId="0" fontId="17" fillId="24" borderId="11" xfId="0" applyFont="1" applyFill="1" applyBorder="1" applyAlignment="1">
      <alignment vertical="top" wrapText="1"/>
    </xf>
    <xf numFmtId="0" fontId="6" fillId="0" borderId="19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left" vertical="top" wrapText="1"/>
    </xf>
    <xf numFmtId="0" fontId="13" fillId="0" borderId="19" xfId="0" applyFont="1" applyBorder="1" applyAlignment="1">
      <alignment horizontal="distributed" vertical="center" indent="2"/>
    </xf>
    <xf numFmtId="0" fontId="13" fillId="0" borderId="20" xfId="0" applyFont="1" applyBorder="1" applyAlignment="1">
      <alignment horizontal="distributed" vertical="center" indent="2"/>
    </xf>
    <xf numFmtId="0" fontId="6" fillId="0" borderId="0" xfId="0" applyFont="1" applyBorder="1" applyAlignment="1">
      <alignment vertical="top" wrapText="1"/>
    </xf>
    <xf numFmtId="0" fontId="12" fillId="0" borderId="22" xfId="0" applyFont="1" applyFill="1" applyBorder="1" applyAlignment="1">
      <alignment horizontal="justify" vertical="top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34" xfId="0" applyFont="1" applyBorder="1" applyAlignment="1">
      <alignment horizontal="distributed" vertical="center" wrapText="1" indent="1"/>
    </xf>
    <xf numFmtId="0" fontId="6" fillId="0" borderId="33" xfId="0" applyFont="1" applyBorder="1" applyAlignment="1">
      <alignment horizontal="distributed" vertical="distributed" wrapText="1" indent="1"/>
    </xf>
    <xf numFmtId="0" fontId="6" fillId="0" borderId="38" xfId="0" applyFont="1" applyBorder="1" applyAlignment="1">
      <alignment horizontal="distributed" vertical="center" wrapText="1" indent="1"/>
    </xf>
    <xf numFmtId="0" fontId="6" fillId="0" borderId="14" xfId="0" applyFont="1" applyBorder="1" applyAlignment="1">
      <alignment horizontal="distributed" vertical="distributed" wrapText="1" indent="1"/>
    </xf>
    <xf numFmtId="0" fontId="12" fillId="0" borderId="18" xfId="0" applyFont="1" applyFill="1" applyBorder="1" applyAlignment="1">
      <alignment horizontal="distributed" vertical="top" indent="6"/>
    </xf>
    <xf numFmtId="0" fontId="12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justify" vertical="top"/>
    </xf>
    <xf numFmtId="0" fontId="12" fillId="0" borderId="0" xfId="0" applyFont="1" applyFill="1" applyBorder="1" applyAlignment="1">
      <alignment horizontal="left" vertical="top" shrinkToFit="1"/>
    </xf>
    <xf numFmtId="0" fontId="12" fillId="0" borderId="36" xfId="0" applyFont="1" applyFill="1" applyBorder="1" applyAlignment="1">
      <alignment horizontal="distributed" vertical="top" indent="6"/>
    </xf>
    <xf numFmtId="0" fontId="6" fillId="0" borderId="19" xfId="0" applyFont="1" applyFill="1" applyBorder="1" applyAlignment="1">
      <alignment horizontal="distributed" vertical="center" wrapText="1" indent="2"/>
    </xf>
    <xf numFmtId="0" fontId="6" fillId="0" borderId="24" xfId="0" applyFont="1" applyFill="1" applyBorder="1" applyAlignment="1">
      <alignment horizontal="distributed" vertical="center" wrapText="1"/>
    </xf>
    <xf numFmtId="0" fontId="6" fillId="0" borderId="20" xfId="0" applyFont="1" applyFill="1" applyBorder="1" applyAlignment="1">
      <alignment horizontal="distributed" vertical="center" wrapText="1" indent="2"/>
    </xf>
    <xf numFmtId="0" fontId="6" fillId="0" borderId="33" xfId="0" applyFont="1" applyFill="1" applyBorder="1" applyAlignment="1">
      <alignment horizontal="center" vertical="center" wrapText="1"/>
    </xf>
    <xf numFmtId="0" fontId="6" fillId="0" borderId="34" xfId="0" applyFont="1" applyFill="1" applyBorder="1" applyAlignment="1">
      <alignment horizontal="center" vertical="center" wrapText="1"/>
    </xf>
    <xf numFmtId="0" fontId="20" fillId="0" borderId="25" xfId="0" applyFont="1" applyFill="1" applyBorder="1" applyAlignment="1">
      <alignment horizontal="distributed" vertical="center" wrapText="1"/>
    </xf>
    <xf numFmtId="0" fontId="20" fillId="0" borderId="16" xfId="0" applyFont="1" applyFill="1" applyBorder="1" applyAlignment="1">
      <alignment horizontal="distributed" vertical="center" wrapText="1"/>
    </xf>
    <xf numFmtId="0" fontId="6" fillId="0" borderId="14" xfId="0" applyFont="1" applyFill="1" applyBorder="1" applyAlignment="1">
      <alignment horizontal="distributed" vertical="center" wrapText="1" indent="1"/>
    </xf>
    <xf numFmtId="0" fontId="32" fillId="0" borderId="18" xfId="0" applyFont="1" applyFill="1" applyBorder="1" applyAlignment="1">
      <alignment horizontal="left" vertical="top" wrapText="1"/>
    </xf>
    <xf numFmtId="0" fontId="20" fillId="0" borderId="18" xfId="0" applyFont="1" applyFill="1" applyBorder="1" applyAlignment="1">
      <alignment horizontal="left" vertical="top" wrapText="1"/>
    </xf>
    <xf numFmtId="0" fontId="32" fillId="0" borderId="12" xfId="0" applyFont="1" applyFill="1" applyBorder="1" applyAlignment="1">
      <alignment horizontal="center" vertical="top" wrapText="1"/>
    </xf>
    <xf numFmtId="0" fontId="6" fillId="0" borderId="36" xfId="0" applyFont="1" applyFill="1" applyBorder="1" applyAlignment="1">
      <alignment vertical="center"/>
    </xf>
    <xf numFmtId="0" fontId="6" fillId="0" borderId="36" xfId="0" applyFont="1" applyFill="1" applyBorder="1" applyAlignment="1">
      <alignment horizontal="right" vertical="center"/>
    </xf>
    <xf numFmtId="0" fontId="6" fillId="0" borderId="20" xfId="0" applyFont="1" applyFill="1" applyBorder="1" applyAlignment="1">
      <alignment horizontal="distributed" vertical="center" wrapText="1"/>
    </xf>
    <xf numFmtId="0" fontId="20" fillId="0" borderId="15" xfId="0" applyFont="1" applyFill="1" applyBorder="1" applyAlignment="1">
      <alignment horizontal="distributed" vertical="center" wrapText="1"/>
    </xf>
    <xf numFmtId="0" fontId="32" fillId="0" borderId="17" xfId="0" applyFont="1" applyFill="1" applyBorder="1" applyAlignment="1">
      <alignment horizontal="left" vertical="top" wrapText="1"/>
    </xf>
    <xf numFmtId="0" fontId="20" fillId="0" borderId="17" xfId="0" applyFont="1" applyFill="1" applyBorder="1" applyAlignment="1">
      <alignment horizontal="left" vertical="top" wrapText="1"/>
    </xf>
    <xf numFmtId="0" fontId="32" fillId="0" borderId="21" xfId="0" applyFont="1" applyFill="1" applyBorder="1" applyAlignment="1">
      <alignment horizontal="center" vertical="top" wrapText="1"/>
    </xf>
    <xf numFmtId="0" fontId="6" fillId="0" borderId="28" xfId="0" applyFont="1" applyBorder="1" applyAlignment="1">
      <alignment horizontal="distributed" vertical="center" wrapText="1"/>
    </xf>
    <xf numFmtId="0" fontId="6" fillId="0" borderId="28" xfId="0" applyFont="1" applyBorder="1" applyAlignment="1">
      <alignment horizontal="distributed" vertical="distributed" wrapText="1"/>
    </xf>
    <xf numFmtId="0" fontId="12" fillId="0" borderId="17" xfId="20" applyFont="1" applyBorder="1" applyAlignment="1">
      <alignment horizontal="left" vertical="top" wrapText="1"/>
    </xf>
    <xf numFmtId="0" fontId="6" fillId="0" borderId="17" xfId="0" applyFont="1" applyBorder="1" applyAlignment="1">
      <alignment horizontal="left" vertical="top" wrapText="1" indent="1"/>
    </xf>
    <xf numFmtId="182" fontId="6" fillId="0" borderId="0" xfId="0" applyNumberFormat="1" applyFont="1" applyFill="1" applyBorder="1" applyAlignment="1">
      <alignment vertical="top" wrapText="1"/>
    </xf>
    <xf numFmtId="0" fontId="12" fillId="0" borderId="21" xfId="0" applyFont="1" applyFill="1" applyBorder="1" applyAlignment="1">
      <alignment horizontal="justify" vertical="top"/>
    </xf>
    <xf numFmtId="182" fontId="6" fillId="0" borderId="22" xfId="0" applyNumberFormat="1" applyFont="1" applyFill="1" applyBorder="1" applyAlignment="1">
      <alignment vertical="top" wrapText="1"/>
    </xf>
    <xf numFmtId="182" fontId="6" fillId="0" borderId="23" xfId="0" applyNumberFormat="1" applyFont="1" applyFill="1" applyBorder="1" applyAlignment="1">
      <alignment vertical="top" wrapText="1"/>
    </xf>
    <xf numFmtId="3" fontId="6" fillId="0" borderId="14" xfId="20" applyNumberFormat="1" applyFont="1" applyBorder="1" applyAlignment="1">
      <alignment vertical="top"/>
    </xf>
    <xf numFmtId="0" fontId="13" fillId="0" borderId="0" xfId="20" applyFont="1" applyAlignment="1">
      <alignment vertical="top"/>
    </xf>
    <xf numFmtId="0" fontId="6" fillId="0" borderId="13" xfId="20" applyNumberFormat="1" applyFont="1" applyBorder="1" applyAlignment="1">
      <alignment vertical="top" wrapText="1"/>
    </xf>
    <xf numFmtId="0" fontId="6" fillId="0" borderId="11" xfId="20" applyNumberFormat="1" applyFont="1" applyFill="1" applyBorder="1" applyAlignment="1">
      <alignment horizontal="justify" vertical="top" wrapText="1"/>
    </xf>
    <xf numFmtId="0" fontId="6" fillId="0" borderId="13" xfId="20" applyNumberFormat="1" applyFont="1" applyFill="1" applyBorder="1" applyAlignment="1">
      <alignment horizontal="justify" vertical="top" wrapText="1"/>
    </xf>
    <xf numFmtId="0" fontId="33" fillId="0" borderId="0" xfId="20" applyFont="1" applyAlignment="1">
      <alignment horizontal="left" vertical="top" indent="1"/>
    </xf>
    <xf numFmtId="0" fontId="65" fillId="0" borderId="24" xfId="20" applyFont="1" applyFill="1" applyBorder="1" applyAlignment="1">
      <alignment horizontal="distributed" vertical="center" wrapText="1"/>
    </xf>
    <xf numFmtId="0" fontId="6" fillId="0" borderId="43" xfId="20" applyFont="1" applyFill="1" applyBorder="1" applyAlignment="1">
      <alignment horizontal="center" vertical="center" wrapText="1"/>
    </xf>
    <xf numFmtId="0" fontId="6" fillId="0" borderId="43" xfId="20" applyFont="1" applyFill="1" applyBorder="1" applyAlignment="1">
      <alignment horizontal="distributed" vertical="center"/>
    </xf>
    <xf numFmtId="0" fontId="6" fillId="0" borderId="20" xfId="20" applyFont="1" applyFill="1" applyBorder="1" applyAlignment="1">
      <alignment horizontal="distributed" vertical="center" indent="1"/>
    </xf>
    <xf numFmtId="0" fontId="13" fillId="0" borderId="0" xfId="20" applyFont="1" applyFill="1" applyAlignment="1">
      <alignment vertical="center"/>
    </xf>
    <xf numFmtId="0" fontId="13" fillId="0" borderId="0" xfId="20" applyFont="1" applyFill="1" applyAlignment="1">
      <alignment vertical="top"/>
    </xf>
    <xf numFmtId="0" fontId="33" fillId="0" borderId="0" xfId="20" applyFont="1" applyFill="1" applyAlignment="1">
      <alignment vertical="top"/>
    </xf>
    <xf numFmtId="0" fontId="6" fillId="0" borderId="19" xfId="20" applyFont="1" applyBorder="1" applyAlignment="1">
      <alignment horizontal="distributed" vertical="center" indent="2"/>
    </xf>
    <xf numFmtId="0" fontId="65" fillId="0" borderId="24" xfId="20" applyFont="1" applyBorder="1" applyAlignment="1">
      <alignment horizontal="distributed" vertical="center" wrapText="1"/>
    </xf>
    <xf numFmtId="0" fontId="6" fillId="0" borderId="43" xfId="20" applyFont="1" applyBorder="1" applyAlignment="1">
      <alignment horizontal="center" vertical="center" wrapText="1"/>
    </xf>
    <xf numFmtId="0" fontId="6" fillId="0" borderId="43" xfId="20" applyFont="1" applyBorder="1" applyAlignment="1">
      <alignment horizontal="distributed" vertical="center"/>
    </xf>
    <xf numFmtId="0" fontId="6" fillId="0" borderId="20" xfId="20" applyFont="1" applyBorder="1" applyAlignment="1">
      <alignment horizontal="distributed" vertical="center" indent="1"/>
    </xf>
    <xf numFmtId="0" fontId="13" fillId="0" borderId="0" xfId="20" applyFont="1" applyAlignment="1">
      <alignment vertical="center"/>
    </xf>
    <xf numFmtId="0" fontId="15" fillId="0" borderId="22" xfId="0" applyFont="1" applyFill="1" applyBorder="1" applyAlignment="1">
      <alignment horizontal="left" vertical="top" wrapText="1"/>
    </xf>
    <xf numFmtId="0" fontId="6" fillId="0" borderId="28" xfId="0" applyFont="1" applyBorder="1" applyAlignment="1">
      <alignment horizontal="distributed" vertical="center" wrapText="1" indent="1"/>
    </xf>
    <xf numFmtId="3" fontId="6" fillId="0" borderId="0" xfId="0" applyNumberFormat="1" applyFont="1" applyFill="1" applyBorder="1" applyAlignment="1">
      <alignment vertical="top" wrapText="1"/>
    </xf>
    <xf numFmtId="0" fontId="6" fillId="0" borderId="17" xfId="0" applyFont="1" applyFill="1" applyBorder="1" applyAlignment="1">
      <alignment horizontal="distributed" vertical="center" wrapText="1" indent="2"/>
    </xf>
    <xf numFmtId="0" fontId="6" fillId="0" borderId="15" xfId="0" applyFont="1" applyFill="1" applyBorder="1" applyAlignment="1">
      <alignment horizontal="distributed" vertical="center" wrapText="1" indent="1"/>
    </xf>
    <xf numFmtId="0" fontId="6" fillId="0" borderId="22" xfId="0" applyFont="1" applyFill="1" applyBorder="1" applyAlignment="1">
      <alignment horizontal="left" vertical="top" wrapText="1"/>
    </xf>
    <xf numFmtId="0" fontId="10" fillId="0" borderId="14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top" wrapText="1"/>
    </xf>
    <xf numFmtId="0" fontId="10" fillId="0" borderId="17" xfId="0" applyFont="1" applyFill="1" applyBorder="1" applyAlignment="1">
      <alignment horizontal="left" vertical="top"/>
    </xf>
    <xf numFmtId="0" fontId="10" fillId="0" borderId="18" xfId="0" applyFont="1" applyFill="1" applyBorder="1" applyAlignment="1">
      <alignment horizontal="center" vertical="top" wrapText="1"/>
    </xf>
    <xf numFmtId="0" fontId="10" fillId="0" borderId="21" xfId="0" applyFont="1" applyFill="1" applyBorder="1" applyAlignment="1">
      <alignment horizontal="left" vertical="top"/>
    </xf>
    <xf numFmtId="0" fontId="10" fillId="0" borderId="12" xfId="0" applyFont="1" applyFill="1" applyBorder="1" applyAlignment="1">
      <alignment horizontal="center" vertical="top" wrapText="1"/>
    </xf>
    <xf numFmtId="0" fontId="11" fillId="0" borderId="17" xfId="0" applyFont="1" applyFill="1" applyBorder="1" applyAlignment="1">
      <alignment vertical="top" wrapText="1"/>
    </xf>
    <xf numFmtId="0" fontId="11" fillId="0" borderId="17" xfId="0" applyFont="1" applyFill="1" applyBorder="1" applyAlignment="1">
      <alignment horizontal="justify" vertical="top"/>
    </xf>
    <xf numFmtId="0" fontId="11" fillId="0" borderId="17" xfId="0" applyFont="1" applyFill="1" applyBorder="1" applyAlignment="1">
      <alignment horizontal="justify" vertical="top" wrapText="1"/>
    </xf>
    <xf numFmtId="0" fontId="10" fillId="0" borderId="17" xfId="0" applyFont="1" applyFill="1" applyBorder="1" applyAlignment="1">
      <alignment horizontal="justify" vertical="top" wrapText="1"/>
    </xf>
    <xf numFmtId="0" fontId="10" fillId="0" borderId="17" xfId="0" applyFont="1" applyFill="1" applyBorder="1" applyAlignment="1">
      <alignment vertical="top" wrapText="1"/>
    </xf>
    <xf numFmtId="0" fontId="10" fillId="0" borderId="21" xfId="0" applyFont="1" applyFill="1" applyBorder="1" applyAlignment="1">
      <alignment horizontal="justify" vertical="top" wrapText="1"/>
    </xf>
    <xf numFmtId="0" fontId="10" fillId="0" borderId="21" xfId="0" applyFont="1" applyFill="1" applyBorder="1" applyAlignment="1">
      <alignment vertical="top" wrapText="1"/>
    </xf>
    <xf numFmtId="0" fontId="10" fillId="0" borderId="2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1" fillId="0" borderId="30" xfId="0" applyFont="1" applyBorder="1" applyAlignment="1">
      <alignment vertical="top" wrapText="1"/>
    </xf>
    <xf numFmtId="0" fontId="11" fillId="0" borderId="30" xfId="0" applyFont="1" applyBorder="1" applyAlignment="1">
      <alignment horizontal="left" vertical="top" wrapText="1"/>
    </xf>
    <xf numFmtId="0" fontId="10" fillId="0" borderId="30" xfId="0" applyFont="1" applyBorder="1" applyAlignment="1">
      <alignment horizontal="left" vertical="top" wrapText="1"/>
    </xf>
    <xf numFmtId="0" fontId="10" fillId="0" borderId="31" xfId="0" applyFont="1" applyBorder="1" applyAlignment="1">
      <alignment horizontal="left" vertical="top" wrapText="1"/>
    </xf>
    <xf numFmtId="0" fontId="10" fillId="0" borderId="18" xfId="0" applyFont="1" applyFill="1" applyBorder="1" applyAlignment="1">
      <alignment horizontal="left" vertical="top" wrapText="1"/>
    </xf>
    <xf numFmtId="0" fontId="10" fillId="0" borderId="12" xfId="0" applyFont="1" applyFill="1" applyBorder="1" applyAlignment="1">
      <alignment horizontal="left" vertical="top" wrapText="1"/>
    </xf>
    <xf numFmtId="0" fontId="14" fillId="0" borderId="17" xfId="0" applyFont="1" applyBorder="1" applyAlignment="1">
      <alignment horizontal="distributed" vertical="center" indent="2"/>
    </xf>
    <xf numFmtId="0" fontId="10" fillId="0" borderId="21" xfId="0" applyFont="1" applyBorder="1" applyAlignment="1">
      <alignment vertical="top"/>
    </xf>
    <xf numFmtId="0" fontId="10" fillId="0" borderId="18" xfId="0" applyFont="1" applyFill="1" applyBorder="1" applyAlignment="1">
      <alignment vertical="top" wrapText="1"/>
    </xf>
    <xf numFmtId="0" fontId="10" fillId="0" borderId="12" xfId="0" applyFont="1" applyFill="1" applyBorder="1" applyAlignment="1">
      <alignment vertical="top" wrapText="1"/>
    </xf>
    <xf numFmtId="0" fontId="11" fillId="0" borderId="17" xfId="0" applyFont="1" applyBorder="1" applyAlignment="1">
      <alignment vertical="top"/>
    </xf>
    <xf numFmtId="0" fontId="6" fillId="0" borderId="22" xfId="0" applyFont="1" applyFill="1" applyBorder="1" applyAlignment="1">
      <alignment horizontal="left" vertical="top" wrapText="1"/>
    </xf>
    <xf numFmtId="0" fontId="6" fillId="0" borderId="22" xfId="0" applyFont="1" applyBorder="1" applyAlignment="1">
      <alignment horizontal="left" vertical="top" wrapText="1"/>
    </xf>
    <xf numFmtId="0" fontId="11" fillId="0" borderId="17" xfId="0" applyFont="1" applyBorder="1" applyAlignment="1">
      <alignment horizontal="justify" vertical="top" wrapText="1"/>
    </xf>
    <xf numFmtId="0" fontId="10" fillId="0" borderId="17" xfId="0" applyFont="1" applyBorder="1" applyAlignment="1">
      <alignment vertical="top" wrapText="1"/>
    </xf>
    <xf numFmtId="0" fontId="10" fillId="0" borderId="0" xfId="0" applyFont="1" applyFill="1" applyAlignment="1">
      <alignment vertical="center"/>
    </xf>
    <xf numFmtId="0" fontId="6" fillId="0" borderId="22" xfId="0" applyFont="1" applyBorder="1" applyAlignment="1">
      <alignment vertical="top" wrapText="1"/>
    </xf>
    <xf numFmtId="0" fontId="6" fillId="0" borderId="0" xfId="0" applyFont="1" applyFill="1" applyBorder="1" applyAlignment="1">
      <alignment vertical="top" wrapText="1"/>
    </xf>
    <xf numFmtId="0" fontId="6" fillId="0" borderId="36" xfId="0" applyFont="1" applyBorder="1" applyAlignment="1">
      <alignment vertical="top" wrapText="1"/>
    </xf>
    <xf numFmtId="0" fontId="6" fillId="0" borderId="23" xfId="0" applyFont="1" applyBorder="1" applyAlignment="1">
      <alignment vertical="top" wrapText="1"/>
    </xf>
    <xf numFmtId="0" fontId="11" fillId="0" borderId="21" xfId="0" applyFont="1" applyFill="1" applyBorder="1" applyAlignment="1">
      <alignment horizontal="justify" vertical="top"/>
    </xf>
    <xf numFmtId="0" fontId="10" fillId="0" borderId="17" xfId="0" applyFont="1" applyFill="1" applyBorder="1" applyAlignment="1">
      <alignment horizontal="justify" vertical="top"/>
    </xf>
    <xf numFmtId="3" fontId="10" fillId="0" borderId="14" xfId="20" applyNumberFormat="1" applyFont="1" applyBorder="1" applyAlignment="1">
      <alignment vertical="top"/>
    </xf>
    <xf numFmtId="0" fontId="10" fillId="0" borderId="17" xfId="20" applyFont="1" applyBorder="1" applyAlignment="1">
      <alignment vertical="top" wrapText="1"/>
    </xf>
    <xf numFmtId="0" fontId="11" fillId="0" borderId="21" xfId="0" applyFont="1" applyFill="1" applyBorder="1" applyAlignment="1">
      <alignment horizontal="left" vertical="top" wrapText="1"/>
    </xf>
    <xf numFmtId="0" fontId="11" fillId="0" borderId="21" xfId="0" applyFont="1" applyFill="1" applyBorder="1" applyAlignment="1">
      <alignment horizontal="left" vertical="top"/>
    </xf>
    <xf numFmtId="0" fontId="10" fillId="0" borderId="21" xfId="20" applyFont="1" applyBorder="1" applyAlignment="1">
      <alignment vertical="top" wrapText="1"/>
    </xf>
    <xf numFmtId="0" fontId="10" fillId="0" borderId="19" xfId="20" applyFont="1" applyFill="1" applyBorder="1" applyAlignment="1">
      <alignment horizontal="distributed" vertical="center" indent="2"/>
    </xf>
    <xf numFmtId="3" fontId="10" fillId="0" borderId="14" xfId="20" applyNumberFormat="1" applyFont="1" applyFill="1" applyBorder="1" applyAlignment="1">
      <alignment vertical="top"/>
    </xf>
    <xf numFmtId="0" fontId="11" fillId="0" borderId="17" xfId="20" applyFont="1" applyFill="1" applyBorder="1" applyAlignment="1">
      <alignment vertical="top" wrapText="1"/>
    </xf>
    <xf numFmtId="0" fontId="63" fillId="0" borderId="17" xfId="0" applyFont="1" applyFill="1" applyBorder="1" applyAlignment="1">
      <alignment horizontal="left" vertical="top" wrapText="1"/>
    </xf>
    <xf numFmtId="0" fontId="67" fillId="0" borderId="17" xfId="0" applyFont="1" applyFill="1" applyBorder="1" applyAlignment="1">
      <alignment horizontal="left" vertical="top" wrapText="1"/>
    </xf>
    <xf numFmtId="0" fontId="63" fillId="0" borderId="21" xfId="0" applyFont="1" applyFill="1" applyBorder="1" applyAlignment="1">
      <alignment horizontal="left" vertical="top" wrapText="1"/>
    </xf>
    <xf numFmtId="0" fontId="63" fillId="0" borderId="17" xfId="0" applyNumberFormat="1" applyFont="1" applyFill="1" applyBorder="1" applyAlignment="1">
      <alignment vertical="top" wrapText="1"/>
    </xf>
    <xf numFmtId="0" fontId="6" fillId="0" borderId="11" xfId="0" applyFont="1" applyFill="1" applyBorder="1" applyAlignment="1">
      <alignment horizontal="left" vertical="top" wrapText="1"/>
    </xf>
    <xf numFmtId="0" fontId="6" fillId="0" borderId="11" xfId="0" applyFont="1" applyFill="1" applyBorder="1" applyAlignment="1">
      <alignment horizontal="left" vertical="top" wrapText="1"/>
    </xf>
    <xf numFmtId="0" fontId="14" fillId="0" borderId="14" xfId="0" applyFont="1" applyBorder="1" applyAlignment="1">
      <alignment horizontal="distributed" vertical="top"/>
    </xf>
    <xf numFmtId="0" fontId="10" fillId="0" borderId="17" xfId="0" applyFont="1" applyBorder="1" applyAlignment="1">
      <alignment horizontal="left" vertical="top" wrapText="1"/>
    </xf>
    <xf numFmtId="0" fontId="10" fillId="0" borderId="21" xfId="0" applyFont="1" applyBorder="1" applyAlignment="1">
      <alignment horizontal="left" vertical="top" wrapText="1"/>
    </xf>
    <xf numFmtId="0" fontId="11" fillId="0" borderId="17" xfId="0" applyFont="1" applyBorder="1" applyAlignment="1">
      <alignment horizontal="left" vertical="top" wrapText="1"/>
    </xf>
    <xf numFmtId="179" fontId="6" fillId="0" borderId="0" xfId="20" applyNumberFormat="1" applyFont="1" applyFill="1" applyAlignment="1">
      <alignment vertical="top"/>
    </xf>
    <xf numFmtId="0" fontId="10" fillId="0" borderId="21" xfId="0" applyFont="1" applyFill="1" applyBorder="1" applyAlignment="1">
      <alignment horizontal="left" vertical="top" wrapText="1"/>
    </xf>
    <xf numFmtId="0" fontId="27" fillId="0" borderId="17" xfId="0" applyFont="1" applyFill="1" applyBorder="1" applyAlignment="1">
      <alignment vertical="top"/>
    </xf>
    <xf numFmtId="0" fontId="10" fillId="0" borderId="17" xfId="0" applyFont="1" applyBorder="1" applyAlignment="1">
      <alignment horizontal="left" vertical="top"/>
    </xf>
    <xf numFmtId="0" fontId="68" fillId="0" borderId="0" xfId="111" applyFont="1"/>
    <xf numFmtId="0" fontId="8" fillId="0" borderId="0" xfId="111" applyFont="1"/>
    <xf numFmtId="0" fontId="13" fillId="0" borderId="0" xfId="111" applyFont="1" applyAlignment="1">
      <alignment vertical="top"/>
    </xf>
    <xf numFmtId="0" fontId="33" fillId="0" borderId="0" xfId="111" applyFont="1"/>
    <xf numFmtId="0" fontId="6" fillId="0" borderId="0" xfId="111" applyFont="1" applyAlignment="1">
      <alignment horizontal="right"/>
    </xf>
    <xf numFmtId="0" fontId="11" fillId="0" borderId="28" xfId="111" applyFont="1" applyBorder="1" applyAlignment="1">
      <alignment horizontal="center" vertical="center" wrapText="1"/>
    </xf>
    <xf numFmtId="0" fontId="12" fillId="0" borderId="28" xfId="111" applyFont="1" applyBorder="1" applyAlignment="1">
      <alignment horizontal="center" vertical="center" wrapText="1"/>
    </xf>
    <xf numFmtId="0" fontId="11" fillId="0" borderId="15" xfId="111" applyFont="1" applyBorder="1" applyAlignment="1">
      <alignment horizontal="justify" vertical="center" wrapText="1"/>
    </xf>
    <xf numFmtId="182" fontId="12" fillId="0" borderId="15" xfId="111" applyNumberFormat="1" applyFont="1" applyBorder="1" applyAlignment="1">
      <alignment vertical="center" wrapText="1"/>
    </xf>
    <xf numFmtId="0" fontId="11" fillId="0" borderId="15" xfId="111" applyFont="1" applyBorder="1" applyAlignment="1">
      <alignment vertical="center" wrapText="1"/>
    </xf>
    <xf numFmtId="3" fontId="12" fillId="0" borderId="15" xfId="111" applyNumberFormat="1" applyFont="1" applyBorder="1" applyAlignment="1">
      <alignment vertical="center" wrapText="1"/>
    </xf>
    <xf numFmtId="0" fontId="10" fillId="0" borderId="18" xfId="111" applyFont="1" applyBorder="1" applyAlignment="1">
      <alignment horizontal="justify" vertical="center" wrapText="1"/>
    </xf>
    <xf numFmtId="182" fontId="6" fillId="0" borderId="18" xfId="111" applyNumberFormat="1" applyFont="1" applyBorder="1" applyAlignment="1">
      <alignment vertical="center" wrapText="1"/>
    </xf>
    <xf numFmtId="0" fontId="10" fillId="0" borderId="18" xfId="111" applyFont="1" applyBorder="1" applyAlignment="1">
      <alignment vertical="center" wrapText="1"/>
    </xf>
    <xf numFmtId="3" fontId="6" fillId="0" borderId="18" xfId="111" applyNumberFormat="1" applyFont="1" applyBorder="1" applyAlignment="1">
      <alignment vertical="center" wrapText="1"/>
    </xf>
    <xf numFmtId="0" fontId="11" fillId="0" borderId="18" xfId="111" applyFont="1" applyBorder="1" applyAlignment="1">
      <alignment horizontal="justify" vertical="center" wrapText="1"/>
    </xf>
    <xf numFmtId="182" fontId="12" fillId="0" borderId="18" xfId="111" applyNumberFormat="1" applyFont="1" applyBorder="1" applyAlignment="1">
      <alignment vertical="center" wrapText="1"/>
    </xf>
    <xf numFmtId="0" fontId="11" fillId="0" borderId="18" xfId="111" applyFont="1" applyBorder="1" applyAlignment="1">
      <alignment vertical="center" wrapText="1"/>
    </xf>
    <xf numFmtId="3" fontId="12" fillId="0" borderId="18" xfId="111" applyNumberFormat="1" applyFont="1" applyBorder="1" applyAlignment="1">
      <alignment vertical="center" wrapText="1"/>
    </xf>
    <xf numFmtId="0" fontId="10" fillId="0" borderId="46" xfId="111" applyFont="1" applyBorder="1" applyAlignment="1">
      <alignment horizontal="justify" vertical="center" wrapText="1"/>
    </xf>
    <xf numFmtId="182" fontId="6" fillId="0" borderId="46" xfId="111" applyNumberFormat="1" applyFont="1" applyBorder="1" applyAlignment="1">
      <alignment vertical="center" wrapText="1"/>
    </xf>
    <xf numFmtId="0" fontId="11" fillId="0" borderId="46" xfId="111" applyFont="1" applyBorder="1" applyAlignment="1">
      <alignment vertical="center" wrapText="1"/>
    </xf>
    <xf numFmtId="0" fontId="6" fillId="0" borderId="46" xfId="111" applyFont="1" applyBorder="1" applyAlignment="1">
      <alignment horizontal="right" vertical="center" wrapText="1"/>
    </xf>
    <xf numFmtId="0" fontId="11" fillId="0" borderId="28" xfId="111" applyFont="1" applyBorder="1" applyAlignment="1">
      <alignment horizontal="left" vertical="center" wrapText="1"/>
    </xf>
    <xf numFmtId="182" fontId="12" fillId="0" borderId="28" xfId="111" applyNumberFormat="1" applyFont="1" applyBorder="1" applyAlignment="1">
      <alignment vertical="center" wrapText="1"/>
    </xf>
    <xf numFmtId="3" fontId="12" fillId="0" borderId="28" xfId="111" applyNumberFormat="1" applyFont="1" applyBorder="1" applyAlignment="1">
      <alignment vertical="center" wrapText="1"/>
    </xf>
    <xf numFmtId="182" fontId="33" fillId="0" borderId="0" xfId="111" applyNumberFormat="1" applyFont="1"/>
    <xf numFmtId="187" fontId="33" fillId="0" borderId="0" xfId="111" applyNumberFormat="1" applyFont="1"/>
    <xf numFmtId="176" fontId="33" fillId="0" borderId="0" xfId="111" applyNumberFormat="1" applyFont="1"/>
    <xf numFmtId="0" fontId="10" fillId="0" borderId="0" xfId="111" applyFont="1" applyAlignment="1">
      <alignment horizontal="right"/>
    </xf>
    <xf numFmtId="0" fontId="6" fillId="0" borderId="57" xfId="111" applyFont="1" applyBorder="1" applyAlignment="1">
      <alignment horizontal="left" vertical="center" wrapText="1"/>
    </xf>
    <xf numFmtId="0" fontId="6" fillId="0" borderId="15" xfId="111" applyFont="1" applyBorder="1" applyAlignment="1">
      <alignment horizontal="center" vertical="center"/>
    </xf>
    <xf numFmtId="0" fontId="33" fillId="0" borderId="0" xfId="111" applyFont="1" applyAlignment="1">
      <alignment vertical="center"/>
    </xf>
    <xf numFmtId="0" fontId="11" fillId="0" borderId="15" xfId="111" applyFont="1" applyBorder="1" applyAlignment="1">
      <alignment vertical="center"/>
    </xf>
    <xf numFmtId="3" fontId="12" fillId="0" borderId="15" xfId="111" applyNumberFormat="1" applyFont="1" applyBorder="1" applyAlignment="1">
      <alignment horizontal="right" vertical="center" wrapText="1"/>
    </xf>
    <xf numFmtId="0" fontId="68" fillId="0" borderId="0" xfId="111" applyFont="1" applyAlignment="1">
      <alignment vertical="center"/>
    </xf>
    <xf numFmtId="0" fontId="10" fillId="0" borderId="18" xfId="111" applyFont="1" applyBorder="1" applyAlignment="1">
      <alignment horizontal="left" vertical="center"/>
    </xf>
    <xf numFmtId="3" fontId="6" fillId="0" borderId="18" xfId="111" applyNumberFormat="1" applyFont="1" applyBorder="1" applyAlignment="1">
      <alignment horizontal="right" vertical="center"/>
    </xf>
    <xf numFmtId="0" fontId="33" fillId="0" borderId="0" xfId="111" applyFont="1" applyBorder="1" applyAlignment="1">
      <alignment vertical="center"/>
    </xf>
    <xf numFmtId="0" fontId="11" fillId="0" borderId="46" xfId="111" applyFont="1" applyBorder="1" applyAlignment="1">
      <alignment vertical="center"/>
    </xf>
    <xf numFmtId="3" fontId="12" fillId="0" borderId="46" xfId="111" applyNumberFormat="1" applyFont="1" applyBorder="1" applyAlignment="1">
      <alignment horizontal="right" vertical="center" wrapText="1"/>
    </xf>
    <xf numFmtId="0" fontId="68" fillId="0" borderId="0" xfId="111" applyFont="1" applyBorder="1" applyAlignment="1">
      <alignment vertical="center"/>
    </xf>
    <xf numFmtId="0" fontId="11" fillId="0" borderId="18" xfId="111" applyFont="1" applyBorder="1" applyAlignment="1">
      <alignment vertical="center"/>
    </xf>
    <xf numFmtId="3" fontId="12" fillId="0" borderId="18" xfId="111" applyNumberFormat="1" applyFont="1" applyBorder="1" applyAlignment="1">
      <alignment horizontal="right" vertical="center" wrapText="1"/>
    </xf>
    <xf numFmtId="0" fontId="11" fillId="0" borderId="28" xfId="111" applyFont="1" applyBorder="1" applyAlignment="1">
      <alignment vertical="center"/>
    </xf>
    <xf numFmtId="41" fontId="12" fillId="0" borderId="28" xfId="111" applyNumberFormat="1" applyFont="1" applyBorder="1" applyAlignment="1">
      <alignment horizontal="right" vertical="center" wrapText="1"/>
    </xf>
    <xf numFmtId="0" fontId="6" fillId="0" borderId="58" xfId="111" applyFont="1" applyBorder="1" applyAlignment="1">
      <alignment horizontal="left" vertical="center" wrapText="1"/>
    </xf>
    <xf numFmtId="0" fontId="6" fillId="0" borderId="34" xfId="111" applyFont="1" applyBorder="1" applyAlignment="1">
      <alignment horizontal="center" vertical="center"/>
    </xf>
    <xf numFmtId="0" fontId="6" fillId="0" borderId="50" xfId="111" applyFont="1" applyBorder="1" applyAlignment="1">
      <alignment horizontal="center" vertical="center"/>
    </xf>
    <xf numFmtId="0" fontId="6" fillId="0" borderId="38" xfId="111" applyFont="1" applyBorder="1" applyAlignment="1">
      <alignment horizontal="center" vertical="center"/>
    </xf>
    <xf numFmtId="0" fontId="12" fillId="0" borderId="14" xfId="111" applyFont="1" applyBorder="1" applyAlignment="1">
      <alignment vertical="center"/>
    </xf>
    <xf numFmtId="0" fontId="54" fillId="0" borderId="15" xfId="111" applyFont="1" applyBorder="1" applyAlignment="1">
      <alignment horizontal="right" vertical="center"/>
    </xf>
    <xf numFmtId="0" fontId="54" fillId="0" borderId="25" xfId="111" applyFont="1" applyBorder="1" applyAlignment="1">
      <alignment horizontal="right" vertical="center"/>
    </xf>
    <xf numFmtId="0" fontId="54" fillId="0" borderId="16" xfId="111" applyFont="1" applyBorder="1" applyAlignment="1">
      <alignment horizontal="right" vertical="center"/>
    </xf>
    <xf numFmtId="0" fontId="6" fillId="0" borderId="17" xfId="111" applyFont="1" applyBorder="1" applyAlignment="1">
      <alignment horizontal="left" vertical="center"/>
    </xf>
    <xf numFmtId="3" fontId="25" fillId="0" borderId="18" xfId="111" applyNumberFormat="1" applyFont="1" applyBorder="1" applyAlignment="1">
      <alignment horizontal="right" vertical="center"/>
    </xf>
    <xf numFmtId="3" fontId="25" fillId="0" borderId="11" xfId="111" applyNumberFormat="1" applyFont="1" applyBorder="1" applyAlignment="1">
      <alignment horizontal="right" vertical="center"/>
    </xf>
    <xf numFmtId="0" fontId="12" fillId="0" borderId="49" xfId="111" applyFont="1" applyBorder="1" applyAlignment="1">
      <alignment vertical="center"/>
    </xf>
    <xf numFmtId="3" fontId="54" fillId="0" borderId="46" xfId="111" applyNumberFormat="1" applyFont="1" applyBorder="1" applyAlignment="1">
      <alignment horizontal="right" vertical="center" wrapText="1"/>
    </xf>
    <xf numFmtId="3" fontId="54" fillId="0" borderId="52" xfId="111" applyNumberFormat="1" applyFont="1" applyBorder="1" applyAlignment="1">
      <alignment horizontal="right" vertical="center" wrapText="1"/>
    </xf>
    <xf numFmtId="3" fontId="54" fillId="0" borderId="56" xfId="111" applyNumberFormat="1" applyFont="1" applyBorder="1" applyAlignment="1">
      <alignment horizontal="right" vertical="center" wrapText="1"/>
    </xf>
    <xf numFmtId="0" fontId="12" fillId="0" borderId="17" xfId="111" applyFont="1" applyBorder="1" applyAlignment="1">
      <alignment vertical="center"/>
    </xf>
    <xf numFmtId="0" fontId="54" fillId="0" borderId="18" xfId="111" applyFont="1" applyBorder="1" applyAlignment="1">
      <alignment horizontal="right" vertical="center"/>
    </xf>
    <xf numFmtId="0" fontId="54" fillId="0" borderId="0" xfId="111" applyFont="1" applyBorder="1" applyAlignment="1">
      <alignment horizontal="right" vertical="center"/>
    </xf>
    <xf numFmtId="0" fontId="54" fillId="0" borderId="11" xfId="111" applyFont="1" applyBorder="1" applyAlignment="1">
      <alignment horizontal="right" vertical="center"/>
    </xf>
    <xf numFmtId="0" fontId="12" fillId="0" borderId="59" xfId="111" applyFont="1" applyBorder="1" applyAlignment="1">
      <alignment vertical="center"/>
    </xf>
    <xf numFmtId="41" fontId="54" fillId="0" borderId="60" xfId="111" applyNumberFormat="1" applyFont="1" applyBorder="1" applyAlignment="1">
      <alignment horizontal="right" vertical="center"/>
    </xf>
    <xf numFmtId="41" fontId="54" fillId="0" borderId="61" xfId="111" applyNumberFormat="1" applyFont="1" applyBorder="1" applyAlignment="1">
      <alignment horizontal="right" vertical="center"/>
    </xf>
    <xf numFmtId="41" fontId="54" fillId="0" borderId="62" xfId="111" applyNumberFormat="1" applyFont="1" applyBorder="1" applyAlignment="1">
      <alignment horizontal="right" vertical="center"/>
    </xf>
    <xf numFmtId="0" fontId="20" fillId="0" borderId="28" xfId="0" applyFont="1" applyFill="1" applyBorder="1" applyAlignment="1">
      <alignment horizontal="center" vertical="center" wrapText="1"/>
    </xf>
    <xf numFmtId="3" fontId="6" fillId="0" borderId="0" xfId="0" applyNumberFormat="1" applyFont="1" applyFill="1" applyBorder="1" applyAlignment="1">
      <alignment vertical="top" wrapText="1"/>
    </xf>
    <xf numFmtId="0" fontId="6" fillId="0" borderId="17" xfId="0" applyFont="1" applyFill="1" applyBorder="1" applyAlignment="1">
      <alignment horizontal="distributed" vertical="center" wrapText="1" indent="2"/>
    </xf>
    <xf numFmtId="0" fontId="6" fillId="0" borderId="15" xfId="0" applyFont="1" applyFill="1" applyBorder="1" applyAlignment="1">
      <alignment horizontal="distributed" vertical="center" wrapText="1" indent="1"/>
    </xf>
    <xf numFmtId="0" fontId="6" fillId="0" borderId="15" xfId="0" applyFont="1" applyFill="1" applyBorder="1" applyAlignment="1">
      <alignment horizontal="center" vertical="center" wrapText="1"/>
    </xf>
    <xf numFmtId="177" fontId="6" fillId="0" borderId="15" xfId="0" applyNumberFormat="1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left" vertical="top" wrapText="1"/>
    </xf>
    <xf numFmtId="0" fontId="6" fillId="0" borderId="22" xfId="0" applyFont="1" applyFill="1" applyBorder="1" applyAlignment="1">
      <alignment horizontal="left" vertical="top" wrapText="1"/>
    </xf>
    <xf numFmtId="0" fontId="20" fillId="0" borderId="28" xfId="0" applyFont="1" applyFill="1" applyBorder="1" applyAlignment="1">
      <alignment horizontal="center" vertical="center" wrapText="1"/>
    </xf>
    <xf numFmtId="3" fontId="6" fillId="0" borderId="0" xfId="0" applyNumberFormat="1" applyFont="1" applyFill="1" applyBorder="1" applyAlignment="1">
      <alignment vertical="top" wrapText="1"/>
    </xf>
    <xf numFmtId="0" fontId="6" fillId="0" borderId="17" xfId="0" applyFont="1" applyFill="1" applyBorder="1" applyAlignment="1">
      <alignment horizontal="distributed" vertical="center" wrapText="1" indent="2"/>
    </xf>
    <xf numFmtId="0" fontId="6" fillId="0" borderId="15" xfId="0" applyFont="1" applyFill="1" applyBorder="1" applyAlignment="1">
      <alignment horizontal="distributed" vertical="center" wrapText="1" indent="1"/>
    </xf>
    <xf numFmtId="0" fontId="6" fillId="0" borderId="15" xfId="0" applyFont="1" applyFill="1" applyBorder="1" applyAlignment="1">
      <alignment horizontal="center" vertical="center" wrapText="1"/>
    </xf>
    <xf numFmtId="177" fontId="6" fillId="0" borderId="15" xfId="0" applyNumberFormat="1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left" vertical="top" wrapText="1"/>
    </xf>
    <xf numFmtId="0" fontId="6" fillId="0" borderId="22" xfId="0" applyFont="1" applyFill="1" applyBorder="1" applyAlignment="1">
      <alignment horizontal="left" vertical="top" wrapText="1"/>
    </xf>
    <xf numFmtId="0" fontId="20" fillId="0" borderId="35" xfId="0" applyFont="1" applyFill="1" applyBorder="1" applyAlignment="1">
      <alignment horizontal="center" vertical="center" wrapText="1"/>
    </xf>
    <xf numFmtId="180" fontId="20" fillId="0" borderId="28" xfId="0" applyNumberFormat="1" applyFont="1" applyFill="1" applyBorder="1" applyAlignment="1">
      <alignment horizontal="center" vertical="center" wrapText="1"/>
    </xf>
    <xf numFmtId="176" fontId="20" fillId="0" borderId="28" xfId="0" applyNumberFormat="1" applyFont="1" applyFill="1" applyBorder="1" applyAlignment="1">
      <alignment horizontal="center" vertical="center" wrapText="1"/>
    </xf>
    <xf numFmtId="0" fontId="20" fillId="0" borderId="44" xfId="0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center" vertical="center" wrapText="1"/>
    </xf>
    <xf numFmtId="180" fontId="20" fillId="0" borderId="15" xfId="0" applyNumberFormat="1" applyFont="1" applyFill="1" applyBorder="1" applyAlignment="1">
      <alignment horizontal="center" vertical="center" wrapText="1"/>
    </xf>
    <xf numFmtId="176" fontId="20" fillId="0" borderId="15" xfId="0" applyNumberFormat="1" applyFont="1" applyFill="1" applyBorder="1" applyAlignment="1">
      <alignment horizontal="center" vertical="center" wrapText="1"/>
    </xf>
    <xf numFmtId="0" fontId="20" fillId="0" borderId="16" xfId="0" applyFont="1" applyFill="1" applyBorder="1" applyAlignment="1">
      <alignment horizontal="center" vertical="center" wrapText="1"/>
    </xf>
    <xf numFmtId="181" fontId="54" fillId="0" borderId="18" xfId="0" applyNumberFormat="1" applyFont="1" applyFill="1" applyBorder="1" applyAlignment="1">
      <alignment horizontal="right" vertical="top" wrapText="1"/>
    </xf>
    <xf numFmtId="0" fontId="71" fillId="0" borderId="18" xfId="0" applyFont="1" applyFill="1" applyBorder="1" applyAlignment="1">
      <alignment horizontal="justify" vertical="top" wrapText="1"/>
    </xf>
    <xf numFmtId="180" fontId="54" fillId="0" borderId="18" xfId="0" applyNumberFormat="1" applyFont="1" applyFill="1" applyBorder="1" applyAlignment="1">
      <alignment horizontal="right" vertical="top" wrapText="1"/>
    </xf>
    <xf numFmtId="3" fontId="54" fillId="0" borderId="18" xfId="0" applyNumberFormat="1" applyFont="1" applyFill="1" applyBorder="1" applyAlignment="1">
      <alignment horizontal="right" vertical="top" wrapText="1"/>
    </xf>
    <xf numFmtId="188" fontId="12" fillId="0" borderId="0" xfId="0" applyNumberFormat="1" applyFont="1" applyFill="1" applyBorder="1" applyAlignment="1">
      <alignment vertical="top"/>
    </xf>
    <xf numFmtId="43" fontId="54" fillId="0" borderId="18" xfId="0" applyNumberFormat="1" applyFont="1" applyFill="1" applyBorder="1" applyAlignment="1">
      <alignment horizontal="right" vertical="top" wrapText="1"/>
    </xf>
    <xf numFmtId="179" fontId="25" fillId="0" borderId="17" xfId="0" applyNumberFormat="1" applyFont="1" applyFill="1" applyBorder="1" applyAlignment="1">
      <alignment horizontal="right" vertical="top" wrapText="1"/>
    </xf>
    <xf numFmtId="181" fontId="25" fillId="0" borderId="18" xfId="0" applyNumberFormat="1" applyFont="1" applyFill="1" applyBorder="1" applyAlignment="1">
      <alignment horizontal="right" vertical="top" wrapText="1"/>
    </xf>
    <xf numFmtId="0" fontId="53" fillId="0" borderId="18" xfId="0" applyFont="1" applyFill="1" applyBorder="1" applyAlignment="1">
      <alignment horizontal="justify" vertical="top" wrapText="1"/>
    </xf>
    <xf numFmtId="41" fontId="25" fillId="0" borderId="18" xfId="0" applyNumberFormat="1" applyFont="1" applyFill="1" applyBorder="1" applyAlignment="1">
      <alignment horizontal="right" vertical="top" wrapText="1"/>
    </xf>
    <xf numFmtId="41" fontId="25" fillId="0" borderId="11" xfId="0" applyNumberFormat="1" applyFont="1" applyFill="1" applyBorder="1" applyAlignment="1">
      <alignment horizontal="right" vertical="top" wrapText="1"/>
    </xf>
    <xf numFmtId="188" fontId="6" fillId="0" borderId="0" xfId="0" applyNumberFormat="1" applyFont="1" applyFill="1" applyBorder="1" applyAlignment="1">
      <alignment vertical="top"/>
    </xf>
    <xf numFmtId="180" fontId="25" fillId="0" borderId="18" xfId="0" applyNumberFormat="1" applyFont="1" applyFill="1" applyBorder="1" applyAlignment="1">
      <alignment horizontal="right" vertical="top" wrapText="1"/>
    </xf>
    <xf numFmtId="3" fontId="25" fillId="0" borderId="18" xfId="0" applyNumberFormat="1" applyFont="1" applyFill="1" applyBorder="1" applyAlignment="1">
      <alignment horizontal="right" vertical="top" wrapText="1"/>
    </xf>
    <xf numFmtId="41" fontId="54" fillId="0" borderId="18" xfId="0" applyNumberFormat="1" applyFont="1" applyFill="1" applyBorder="1" applyAlignment="1">
      <alignment horizontal="right" vertical="top" wrapText="1"/>
    </xf>
    <xf numFmtId="41" fontId="54" fillId="0" borderId="30" xfId="0" applyNumberFormat="1" applyFont="1" applyFill="1" applyBorder="1" applyAlignment="1">
      <alignment horizontal="right" vertical="top" wrapText="1"/>
    </xf>
    <xf numFmtId="41" fontId="54" fillId="0" borderId="22" xfId="0" applyNumberFormat="1" applyFont="1" applyFill="1" applyBorder="1" applyAlignment="1">
      <alignment horizontal="right" vertical="top" wrapText="1"/>
    </xf>
    <xf numFmtId="179" fontId="25" fillId="0" borderId="21" xfId="0" applyNumberFormat="1" applyFont="1" applyFill="1" applyBorder="1" applyAlignment="1">
      <alignment horizontal="right" vertical="top" wrapText="1"/>
    </xf>
    <xf numFmtId="181" fontId="25" fillId="0" borderId="12" xfId="0" applyNumberFormat="1" applyFont="1" applyFill="1" applyBorder="1" applyAlignment="1">
      <alignment horizontal="right" vertical="top" wrapText="1"/>
    </xf>
    <xf numFmtId="0" fontId="53" fillId="0" borderId="12" xfId="0" applyFont="1" applyFill="1" applyBorder="1" applyAlignment="1">
      <alignment horizontal="justify" vertical="top" wrapText="1"/>
    </xf>
    <xf numFmtId="180" fontId="25" fillId="0" borderId="12" xfId="0" applyNumberFormat="1" applyFont="1" applyFill="1" applyBorder="1" applyAlignment="1">
      <alignment horizontal="right" vertical="top" wrapText="1"/>
    </xf>
    <xf numFmtId="3" fontId="25" fillId="0" borderId="12" xfId="0" applyNumberFormat="1" applyFont="1" applyFill="1" applyBorder="1" applyAlignment="1">
      <alignment horizontal="right" vertical="top" wrapText="1"/>
    </xf>
    <xf numFmtId="41" fontId="54" fillId="0" borderId="17" xfId="0" applyNumberFormat="1" applyFont="1" applyFill="1" applyBorder="1" applyAlignment="1">
      <alignment horizontal="right" vertical="top" wrapText="1"/>
    </xf>
    <xf numFmtId="0" fontId="53" fillId="0" borderId="18" xfId="0" applyFont="1" applyFill="1" applyBorder="1" applyAlignment="1">
      <alignment vertical="top" wrapText="1"/>
    </xf>
    <xf numFmtId="41" fontId="25" fillId="0" borderId="17" xfId="0" applyNumberFormat="1" applyFont="1" applyFill="1" applyBorder="1" applyAlignment="1">
      <alignment horizontal="right" vertical="top" wrapText="1"/>
    </xf>
    <xf numFmtId="41" fontId="54" fillId="0" borderId="11" xfId="0" applyNumberFormat="1" applyFont="1" applyFill="1" applyBorder="1" applyAlignment="1">
      <alignment horizontal="right" vertical="top" wrapText="1"/>
    </xf>
    <xf numFmtId="0" fontId="53" fillId="0" borderId="18" xfId="0" applyFont="1" applyFill="1" applyBorder="1" applyAlignment="1">
      <alignment horizontal="left" vertical="top" wrapText="1"/>
    </xf>
    <xf numFmtId="41" fontId="25" fillId="0" borderId="18" xfId="21" applyNumberFormat="1" applyFont="1" applyFill="1" applyBorder="1" applyAlignment="1">
      <alignment horizontal="right" vertical="top" wrapText="1"/>
    </xf>
    <xf numFmtId="180" fontId="25" fillId="0" borderId="18" xfId="21" applyNumberFormat="1" applyFont="1" applyFill="1" applyBorder="1" applyAlignment="1">
      <alignment horizontal="right" vertical="top" wrapText="1"/>
    </xf>
    <xf numFmtId="189" fontId="25" fillId="0" borderId="18" xfId="0" applyNumberFormat="1" applyFont="1" applyFill="1" applyBorder="1" applyAlignment="1">
      <alignment horizontal="right" vertical="top" wrapText="1"/>
    </xf>
    <xf numFmtId="3" fontId="54" fillId="0" borderId="17" xfId="0" applyNumberFormat="1" applyFont="1" applyFill="1" applyBorder="1" applyAlignment="1">
      <alignment horizontal="right" vertical="top" wrapText="1"/>
    </xf>
    <xf numFmtId="179" fontId="25" fillId="0" borderId="17" xfId="21" applyNumberFormat="1" applyFont="1" applyFill="1" applyBorder="1" applyAlignment="1">
      <alignment horizontal="right" vertical="top" wrapText="1"/>
    </xf>
    <xf numFmtId="179" fontId="25" fillId="0" borderId="18" xfId="21" applyNumberFormat="1" applyFont="1" applyFill="1" applyBorder="1" applyAlignment="1">
      <alignment horizontal="right" vertical="top" wrapText="1"/>
    </xf>
    <xf numFmtId="180" fontId="54" fillId="0" borderId="18" xfId="21" applyNumberFormat="1" applyFont="1" applyFill="1" applyBorder="1" applyAlignment="1">
      <alignment horizontal="right" vertical="top" wrapText="1"/>
    </xf>
    <xf numFmtId="41" fontId="54" fillId="0" borderId="12" xfId="0" applyNumberFormat="1" applyFont="1" applyFill="1" applyBorder="1" applyAlignment="1">
      <alignment horizontal="right" vertical="top" wrapText="1"/>
    </xf>
    <xf numFmtId="178" fontId="30" fillId="0" borderId="0" xfId="0" applyNumberFormat="1" applyFont="1" applyFill="1" applyBorder="1" applyAlignment="1">
      <alignment horizontal="right" vertical="top" wrapText="1"/>
    </xf>
    <xf numFmtId="41" fontId="54" fillId="0" borderId="17" xfId="21" applyNumberFormat="1" applyFont="1" applyFill="1" applyBorder="1" applyAlignment="1">
      <alignment horizontal="right" vertical="top" wrapText="1"/>
    </xf>
    <xf numFmtId="41" fontId="54" fillId="0" borderId="18" xfId="21" applyNumberFormat="1" applyFont="1" applyFill="1" applyBorder="1" applyAlignment="1">
      <alignment horizontal="right" vertical="top" wrapText="1"/>
    </xf>
    <xf numFmtId="181" fontId="54" fillId="0" borderId="12" xfId="0" applyNumberFormat="1" applyFont="1" applyFill="1" applyBorder="1" applyAlignment="1">
      <alignment horizontal="right" vertical="top" wrapText="1"/>
    </xf>
    <xf numFmtId="0" fontId="71" fillId="0" borderId="12" xfId="0" applyFont="1" applyFill="1" applyBorder="1" applyAlignment="1">
      <alignment horizontal="justify" vertical="top" wrapText="1"/>
    </xf>
    <xf numFmtId="180" fontId="54" fillId="0" borderId="12" xfId="21" applyNumberFormat="1" applyFont="1" applyFill="1" applyBorder="1" applyAlignment="1">
      <alignment horizontal="right" vertical="top" wrapText="1"/>
    </xf>
    <xf numFmtId="176" fontId="54" fillId="0" borderId="12" xfId="0" applyNumberFormat="1" applyFont="1" applyFill="1" applyBorder="1" applyAlignment="1">
      <alignment horizontal="right" vertical="top" wrapText="1"/>
    </xf>
    <xf numFmtId="181" fontId="54" fillId="0" borderId="13" xfId="0" applyNumberFormat="1" applyFont="1" applyFill="1" applyBorder="1" applyAlignment="1">
      <alignment horizontal="right" vertical="top" wrapText="1"/>
    </xf>
    <xf numFmtId="188" fontId="6" fillId="0" borderId="0" xfId="0" applyNumberFormat="1" applyFont="1" applyFill="1" applyAlignment="1">
      <alignment vertical="top"/>
    </xf>
    <xf numFmtId="0" fontId="72" fillId="0" borderId="0" xfId="0" applyFont="1" applyFill="1" applyAlignment="1">
      <alignment horizontal="justify" vertical="top"/>
    </xf>
    <xf numFmtId="0" fontId="72" fillId="0" borderId="0" xfId="0" applyFont="1" applyFill="1" applyAlignment="1">
      <alignment vertical="top"/>
    </xf>
    <xf numFmtId="0" fontId="73" fillId="0" borderId="0" xfId="0" applyFont="1" applyFill="1" applyAlignment="1">
      <alignment vertical="top"/>
    </xf>
    <xf numFmtId="180" fontId="72" fillId="0" borderId="0" xfId="0" applyNumberFormat="1" applyFont="1" applyFill="1" applyAlignment="1">
      <alignment vertical="top"/>
    </xf>
    <xf numFmtId="176" fontId="72" fillId="0" borderId="0" xfId="0" applyNumberFormat="1" applyFont="1" applyFill="1" applyAlignment="1">
      <alignment vertical="top"/>
    </xf>
    <xf numFmtId="0" fontId="53" fillId="0" borderId="0" xfId="0" applyFont="1" applyFill="1" applyAlignment="1">
      <alignment vertical="top"/>
    </xf>
    <xf numFmtId="180" fontId="6" fillId="0" borderId="0" xfId="0" applyNumberFormat="1" applyFont="1" applyFill="1" applyAlignment="1">
      <alignment vertical="top"/>
    </xf>
    <xf numFmtId="176" fontId="6" fillId="0" borderId="0" xfId="0" applyNumberFormat="1" applyFont="1" applyFill="1" applyAlignment="1">
      <alignment vertical="top"/>
    </xf>
    <xf numFmtId="0" fontId="10" fillId="0" borderId="0" xfId="0" applyFont="1" applyFill="1">
      <alignment vertical="center"/>
    </xf>
    <xf numFmtId="0" fontId="6" fillId="0" borderId="0" xfId="0" applyFont="1" applyFill="1" applyAlignment="1">
      <alignment vertical="top" wrapText="1"/>
    </xf>
    <xf numFmtId="0" fontId="10" fillId="0" borderId="29" xfId="0" applyFont="1" applyFill="1" applyBorder="1" applyAlignment="1">
      <alignment horizontal="center" vertical="center"/>
    </xf>
    <xf numFmtId="190" fontId="12" fillId="0" borderId="0" xfId="0" applyNumberFormat="1" applyFont="1" applyFill="1" applyAlignment="1">
      <alignment vertical="top"/>
    </xf>
    <xf numFmtId="0" fontId="54" fillId="0" borderId="18" xfId="0" applyNumberFormat="1" applyFont="1" applyFill="1" applyBorder="1" applyAlignment="1">
      <alignment horizontal="right" vertical="top" wrapText="1"/>
    </xf>
    <xf numFmtId="190" fontId="6" fillId="0" borderId="0" xfId="0" applyNumberFormat="1" applyFont="1" applyFill="1" applyAlignment="1">
      <alignment vertical="top"/>
    </xf>
    <xf numFmtId="0" fontId="25" fillId="0" borderId="18" xfId="0" applyNumberFormat="1" applyFont="1" applyFill="1" applyBorder="1" applyAlignment="1">
      <alignment horizontal="right" vertical="top" wrapText="1"/>
    </xf>
    <xf numFmtId="176" fontId="54" fillId="0" borderId="18" xfId="0" applyNumberFormat="1" applyFont="1" applyFill="1" applyBorder="1" applyAlignment="1">
      <alignment horizontal="right" vertical="top" wrapText="1"/>
    </xf>
    <xf numFmtId="179" fontId="54" fillId="0" borderId="18" xfId="21" applyNumberFormat="1" applyFont="1" applyFill="1" applyBorder="1" applyAlignment="1">
      <alignment horizontal="right" vertical="top" wrapText="1"/>
    </xf>
    <xf numFmtId="179" fontId="54" fillId="0" borderId="27" xfId="21" applyNumberFormat="1" applyFont="1" applyFill="1" applyBorder="1" applyAlignment="1">
      <alignment horizontal="right" vertical="top" wrapText="1"/>
    </xf>
    <xf numFmtId="181" fontId="54" fillId="0" borderId="11" xfId="21" applyNumberFormat="1" applyFont="1" applyFill="1" applyBorder="1" applyAlignment="1">
      <alignment horizontal="right" vertical="top" wrapText="1"/>
    </xf>
    <xf numFmtId="179" fontId="25" fillId="0" borderId="27" xfId="0" applyNumberFormat="1" applyFont="1" applyFill="1" applyBorder="1" applyAlignment="1">
      <alignment horizontal="right" vertical="top" wrapText="1"/>
    </xf>
    <xf numFmtId="179" fontId="54" fillId="0" borderId="27" xfId="0" applyNumberFormat="1" applyFont="1" applyFill="1" applyBorder="1" applyAlignment="1">
      <alignment horizontal="right" vertical="top" wrapText="1"/>
    </xf>
    <xf numFmtId="41" fontId="25" fillId="0" borderId="12" xfId="0" applyNumberFormat="1" applyFont="1" applyFill="1" applyBorder="1" applyAlignment="1">
      <alignment horizontal="right" vertical="top" wrapText="1"/>
    </xf>
    <xf numFmtId="179" fontId="25" fillId="0" borderId="12" xfId="21" applyNumberFormat="1" applyFont="1" applyFill="1" applyBorder="1" applyAlignment="1">
      <alignment horizontal="right" vertical="top" wrapText="1"/>
    </xf>
    <xf numFmtId="0" fontId="72" fillId="0" borderId="0" xfId="0" applyFont="1" applyFill="1" applyAlignment="1">
      <alignment horizontal="justify" vertical="center"/>
    </xf>
    <xf numFmtId="0" fontId="72" fillId="0" borderId="0" xfId="0" applyFont="1" applyFill="1">
      <alignment vertical="center"/>
    </xf>
    <xf numFmtId="0" fontId="73" fillId="0" borderId="0" xfId="0" applyFont="1" applyFill="1">
      <alignment vertical="center"/>
    </xf>
    <xf numFmtId="176" fontId="72" fillId="0" borderId="0" xfId="0" applyNumberFormat="1" applyFont="1" applyFill="1">
      <alignment vertical="center"/>
    </xf>
    <xf numFmtId="0" fontId="53" fillId="0" borderId="0" xfId="0" applyFont="1" applyFill="1">
      <alignment vertical="center"/>
    </xf>
    <xf numFmtId="188" fontId="12" fillId="0" borderId="0" xfId="0" applyNumberFormat="1" applyFont="1" applyFill="1" applyAlignment="1">
      <alignment vertical="top"/>
    </xf>
    <xf numFmtId="179" fontId="75" fillId="0" borderId="18" xfId="0" applyNumberFormat="1" applyFont="1" applyFill="1" applyBorder="1" applyAlignment="1">
      <alignment horizontal="right" vertical="top" wrapText="1"/>
    </xf>
    <xf numFmtId="0" fontId="25" fillId="0" borderId="12" xfId="0" applyFont="1" applyFill="1" applyBorder="1" applyAlignment="1">
      <alignment horizontal="right" vertical="top" wrapText="1"/>
    </xf>
    <xf numFmtId="0" fontId="6" fillId="0" borderId="17" xfId="0" applyFont="1" applyFill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0" fontId="6" fillId="0" borderId="0" xfId="0" applyFont="1" applyFill="1" applyBorder="1">
      <alignment vertical="center"/>
    </xf>
    <xf numFmtId="180" fontId="72" fillId="0" borderId="0" xfId="0" applyNumberFormat="1" applyFont="1" applyFill="1">
      <alignment vertical="center"/>
    </xf>
    <xf numFmtId="181" fontId="54" fillId="0" borderId="13" xfId="0" applyNumberFormat="1" applyFont="1" applyFill="1" applyBorder="1" applyAlignment="1">
      <alignment horizontal="right" vertical="center" wrapText="1"/>
    </xf>
    <xf numFmtId="178" fontId="54" fillId="0" borderId="12" xfId="21" applyNumberFormat="1" applyFont="1" applyFill="1" applyBorder="1" applyAlignment="1">
      <alignment horizontal="right" vertical="center" wrapText="1"/>
    </xf>
    <xf numFmtId="181" fontId="54" fillId="0" borderId="12" xfId="0" applyNumberFormat="1" applyFont="1" applyFill="1" applyBorder="1" applyAlignment="1">
      <alignment horizontal="right" vertical="center" wrapText="1"/>
    </xf>
    <xf numFmtId="180" fontId="54" fillId="0" borderId="12" xfId="21" applyNumberFormat="1" applyFont="1" applyFill="1" applyBorder="1" applyAlignment="1">
      <alignment horizontal="right" vertical="center" wrapText="1"/>
    </xf>
    <xf numFmtId="0" fontId="71" fillId="0" borderId="12" xfId="0" applyFont="1" applyFill="1" applyBorder="1" applyAlignment="1">
      <alignment horizontal="justify" vertical="center" wrapText="1"/>
    </xf>
    <xf numFmtId="178" fontId="54" fillId="0" borderId="21" xfId="21" applyNumberFormat="1" applyFont="1" applyFill="1" applyBorder="1" applyAlignment="1">
      <alignment horizontal="right" vertical="center" wrapText="1"/>
    </xf>
    <xf numFmtId="41" fontId="30" fillId="0" borderId="27" xfId="0" applyNumberFormat="1" applyFont="1" applyFill="1" applyBorder="1" applyAlignment="1">
      <alignment horizontal="right" vertical="top" wrapText="1"/>
    </xf>
    <xf numFmtId="181" fontId="30" fillId="0" borderId="27" xfId="0" applyNumberFormat="1" applyFont="1" applyFill="1" applyBorder="1" applyAlignment="1">
      <alignment horizontal="right" vertical="top" wrapText="1"/>
    </xf>
    <xf numFmtId="178" fontId="25" fillId="0" borderId="10" xfId="0" applyNumberFormat="1" applyFont="1" applyFill="1" applyBorder="1" applyAlignment="1">
      <alignment horizontal="right" vertical="top" wrapText="1"/>
    </xf>
    <xf numFmtId="185" fontId="25" fillId="0" borderId="18" xfId="0" applyNumberFormat="1" applyFont="1" applyFill="1" applyBorder="1" applyAlignment="1">
      <alignment horizontal="right" vertical="top" wrapText="1"/>
    </xf>
    <xf numFmtId="181" fontId="76" fillId="0" borderId="27" xfId="0" applyNumberFormat="1" applyFont="1" applyFill="1" applyBorder="1" applyAlignment="1">
      <alignment horizontal="right" vertical="top" wrapText="1"/>
    </xf>
    <xf numFmtId="179" fontId="25" fillId="0" borderId="10" xfId="0" applyNumberFormat="1" applyFont="1" applyFill="1" applyBorder="1" applyAlignment="1">
      <alignment horizontal="right" vertical="top" wrapText="1"/>
    </xf>
    <xf numFmtId="41" fontId="25" fillId="0" borderId="21" xfId="0" applyNumberFormat="1" applyFont="1" applyFill="1" applyBorder="1" applyAlignment="1">
      <alignment horizontal="right" vertical="top" wrapText="1"/>
    </xf>
    <xf numFmtId="181" fontId="6" fillId="0" borderId="0" xfId="0" applyNumberFormat="1" applyFont="1" applyFill="1" applyAlignment="1">
      <alignment vertical="top"/>
    </xf>
    <xf numFmtId="43" fontId="6" fillId="0" borderId="0" xfId="0" applyNumberFormat="1" applyFont="1" applyFill="1" applyAlignment="1">
      <alignment vertical="top"/>
    </xf>
    <xf numFmtId="41" fontId="6" fillId="0" borderId="13" xfId="0" applyNumberFormat="1" applyFont="1" applyFill="1" applyBorder="1" applyAlignment="1">
      <alignment vertical="top"/>
    </xf>
    <xf numFmtId="41" fontId="6" fillId="0" borderId="12" xfId="0" applyNumberFormat="1" applyFont="1" applyFill="1" applyBorder="1" applyAlignment="1">
      <alignment vertical="top"/>
    </xf>
    <xf numFmtId="0" fontId="10" fillId="0" borderId="36" xfId="0" applyFont="1" applyFill="1" applyBorder="1" applyAlignment="1">
      <alignment horizontal="justify" vertical="top"/>
    </xf>
    <xf numFmtId="41" fontId="6" fillId="0" borderId="21" xfId="0" applyNumberFormat="1" applyFont="1" applyFill="1" applyBorder="1" applyAlignment="1">
      <alignment vertical="top"/>
    </xf>
    <xf numFmtId="179" fontId="12" fillId="0" borderId="0" xfId="0" applyNumberFormat="1" applyFont="1" applyFill="1" applyAlignment="1">
      <alignment vertical="top"/>
    </xf>
    <xf numFmtId="0" fontId="10" fillId="0" borderId="18" xfId="0" applyFont="1" applyFill="1" applyBorder="1" applyAlignment="1">
      <alignment horizontal="justify" vertical="top"/>
    </xf>
    <xf numFmtId="0" fontId="57" fillId="0" borderId="37" xfId="111" applyFont="1" applyFill="1" applyBorder="1" applyAlignment="1">
      <alignment horizontal="justify" vertical="center" wrapText="1"/>
    </xf>
    <xf numFmtId="0" fontId="57" fillId="0" borderId="37" xfId="111" applyFont="1" applyFill="1" applyBorder="1" applyAlignment="1">
      <alignment horizontal="justify" vertical="center"/>
    </xf>
    <xf numFmtId="0" fontId="18" fillId="0" borderId="24" xfId="0" applyFont="1" applyFill="1" applyBorder="1" applyAlignment="1">
      <alignment horizontal="center" vertical="center" wrapText="1"/>
    </xf>
    <xf numFmtId="0" fontId="20" fillId="0" borderId="24" xfId="0" applyFont="1" applyFill="1" applyBorder="1" applyAlignment="1">
      <alignment horizontal="center" vertical="center" wrapText="1"/>
    </xf>
    <xf numFmtId="0" fontId="53" fillId="0" borderId="15" xfId="0" applyFont="1" applyFill="1" applyBorder="1" applyAlignment="1">
      <alignment horizontal="center" vertical="center" textRotation="255"/>
    </xf>
    <xf numFmtId="0" fontId="53" fillId="0" borderId="18" xfId="0" applyFont="1" applyFill="1" applyBorder="1" applyAlignment="1">
      <alignment horizontal="center" vertical="center" textRotation="255"/>
    </xf>
    <xf numFmtId="0" fontId="53" fillId="0" borderId="46" xfId="0" applyFont="1" applyFill="1" applyBorder="1" applyAlignment="1">
      <alignment horizontal="center" vertical="center" textRotation="255"/>
    </xf>
    <xf numFmtId="0" fontId="4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 wrapText="1"/>
    </xf>
    <xf numFmtId="0" fontId="18" fillId="0" borderId="19" xfId="0" applyFont="1" applyFill="1" applyBorder="1" applyAlignment="1">
      <alignment horizontal="center" vertical="center" wrapText="1"/>
    </xf>
    <xf numFmtId="0" fontId="20" fillId="0" borderId="28" xfId="0" applyFont="1" applyFill="1" applyBorder="1" applyAlignment="1">
      <alignment horizontal="center" vertical="center" wrapText="1"/>
    </xf>
    <xf numFmtId="0" fontId="53" fillId="0" borderId="28" xfId="0" applyFont="1" applyFill="1" applyBorder="1" applyAlignment="1">
      <alignment horizontal="center" vertical="center" textRotation="255"/>
    </xf>
    <xf numFmtId="0" fontId="53" fillId="0" borderId="28" xfId="0" applyFont="1" applyFill="1" applyBorder="1" applyAlignment="1">
      <alignment horizontal="center" vertical="center"/>
    </xf>
    <xf numFmtId="0" fontId="55" fillId="0" borderId="40" xfId="0" applyFont="1" applyFill="1" applyBorder="1" applyAlignment="1">
      <alignment horizontal="left" vertical="top" wrapText="1"/>
    </xf>
    <xf numFmtId="0" fontId="56" fillId="0" borderId="40" xfId="0" applyFont="1" applyFill="1" applyBorder="1" applyAlignment="1">
      <alignment horizontal="left" vertical="top" wrapText="1"/>
    </xf>
    <xf numFmtId="180" fontId="53" fillId="0" borderId="28" xfId="0" applyNumberFormat="1" applyFont="1" applyFill="1" applyBorder="1" applyAlignment="1">
      <alignment horizontal="center" vertical="center"/>
    </xf>
    <xf numFmtId="0" fontId="53" fillId="0" borderId="47" xfId="0" applyFont="1" applyFill="1" applyBorder="1" applyAlignment="1">
      <alignment horizontal="center" vertical="center"/>
    </xf>
    <xf numFmtId="0" fontId="53" fillId="0" borderId="48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left" vertical="top" wrapText="1"/>
    </xf>
    <xf numFmtId="0" fontId="15" fillId="0" borderId="22" xfId="0" applyFont="1" applyFill="1" applyBorder="1" applyAlignment="1">
      <alignment horizontal="left" vertical="top" wrapText="1"/>
    </xf>
    <xf numFmtId="0" fontId="6" fillId="0" borderId="3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19" xfId="0" applyFont="1" applyBorder="1" applyAlignment="1">
      <alignment horizontal="distributed" vertical="center" wrapText="1" indent="1"/>
    </xf>
    <xf numFmtId="0" fontId="6" fillId="0" borderId="24" xfId="0" applyFont="1" applyBorder="1" applyAlignment="1">
      <alignment horizontal="distributed" vertical="center" wrapText="1" indent="1"/>
    </xf>
    <xf numFmtId="0" fontId="6" fillId="0" borderId="28" xfId="0" applyFont="1" applyBorder="1" applyAlignment="1">
      <alignment horizontal="distributed" vertical="center" wrapText="1" indent="1"/>
    </xf>
    <xf numFmtId="0" fontId="6" fillId="0" borderId="20" xfId="0" applyFont="1" applyBorder="1" applyAlignment="1">
      <alignment horizontal="distributed" vertical="center" wrapText="1" indent="1"/>
    </xf>
    <xf numFmtId="0" fontId="6" fillId="0" borderId="44" xfId="0" applyFont="1" applyBorder="1" applyAlignment="1">
      <alignment horizontal="distributed" vertical="center" wrapText="1" indent="1"/>
    </xf>
    <xf numFmtId="3" fontId="6" fillId="0" borderId="27" xfId="0" applyNumberFormat="1" applyFont="1" applyFill="1" applyBorder="1" applyAlignment="1">
      <alignment horizontal="left" vertical="top" wrapText="1"/>
    </xf>
    <xf numFmtId="3" fontId="6" fillId="0" borderId="0" xfId="0" applyNumberFormat="1" applyFont="1" applyFill="1" applyBorder="1" applyAlignment="1">
      <alignment horizontal="left" vertical="top" wrapText="1"/>
    </xf>
    <xf numFmtId="3" fontId="6" fillId="0" borderId="22" xfId="0" applyNumberFormat="1" applyFont="1" applyFill="1" applyBorder="1" applyAlignment="1">
      <alignment horizontal="left" vertical="top" wrapText="1"/>
    </xf>
    <xf numFmtId="3" fontId="6" fillId="0" borderId="27" xfId="0" applyNumberFormat="1" applyFont="1" applyFill="1" applyBorder="1" applyAlignment="1">
      <alignment vertical="top" wrapText="1"/>
    </xf>
    <xf numFmtId="3" fontId="6" fillId="0" borderId="0" xfId="0" applyNumberFormat="1" applyFont="1" applyFill="1" applyBorder="1" applyAlignment="1">
      <alignment vertical="top" wrapText="1"/>
    </xf>
    <xf numFmtId="3" fontId="6" fillId="0" borderId="22" xfId="0" applyNumberFormat="1" applyFont="1" applyFill="1" applyBorder="1" applyAlignment="1">
      <alignment vertical="top" wrapText="1"/>
    </xf>
    <xf numFmtId="0" fontId="6" fillId="0" borderId="33" xfId="0" applyFont="1" applyFill="1" applyBorder="1" applyAlignment="1">
      <alignment horizontal="distributed" vertical="center" wrapText="1" indent="2"/>
    </xf>
    <xf numFmtId="0" fontId="6" fillId="0" borderId="17" xfId="0" applyFont="1" applyFill="1" applyBorder="1" applyAlignment="1">
      <alignment horizontal="distributed" vertical="center" wrapText="1" indent="2"/>
    </xf>
    <xf numFmtId="0" fontId="6" fillId="0" borderId="49" xfId="0" applyFont="1" applyFill="1" applyBorder="1" applyAlignment="1">
      <alignment horizontal="distributed" vertical="center" wrapText="1" indent="2"/>
    </xf>
    <xf numFmtId="0" fontId="6" fillId="0" borderId="24" xfId="0" applyFont="1" applyFill="1" applyBorder="1" applyAlignment="1">
      <alignment horizontal="distributed" vertical="center" wrapText="1" indent="1"/>
    </xf>
    <xf numFmtId="0" fontId="6" fillId="0" borderId="28" xfId="0" applyFont="1" applyFill="1" applyBorder="1" applyAlignment="1">
      <alignment horizontal="distributed" vertical="center" wrapText="1" indent="1"/>
    </xf>
    <xf numFmtId="0" fontId="6" fillId="0" borderId="15" xfId="0" applyFont="1" applyFill="1" applyBorder="1" applyAlignment="1">
      <alignment horizontal="distributed" vertical="center" wrapText="1" indent="1"/>
    </xf>
    <xf numFmtId="0" fontId="6" fillId="0" borderId="50" xfId="0" applyFont="1" applyFill="1" applyBorder="1" applyAlignment="1">
      <alignment horizontal="distributed" vertical="center" wrapText="1" indent="2"/>
    </xf>
    <xf numFmtId="0" fontId="6" fillId="0" borderId="40" xfId="0" applyFont="1" applyFill="1" applyBorder="1" applyAlignment="1">
      <alignment horizontal="distributed" vertical="center" wrapText="1" indent="2"/>
    </xf>
    <xf numFmtId="0" fontId="6" fillId="0" borderId="41" xfId="0" applyFont="1" applyFill="1" applyBorder="1" applyAlignment="1">
      <alignment horizontal="distributed" vertical="center" wrapText="1" indent="2"/>
    </xf>
    <xf numFmtId="0" fontId="6" fillId="0" borderId="27" xfId="0" applyFont="1" applyFill="1" applyBorder="1" applyAlignment="1">
      <alignment horizontal="distributed" vertical="center" wrapText="1" indent="2"/>
    </xf>
    <xf numFmtId="0" fontId="6" fillId="0" borderId="0" xfId="0" applyFont="1" applyFill="1" applyBorder="1" applyAlignment="1">
      <alignment horizontal="distributed" vertical="center" wrapText="1" indent="2"/>
    </xf>
    <xf numFmtId="0" fontId="6" fillId="0" borderId="22" xfId="0" applyFont="1" applyFill="1" applyBorder="1" applyAlignment="1">
      <alignment horizontal="distributed" vertical="center" wrapText="1" indent="2"/>
    </xf>
    <xf numFmtId="0" fontId="6" fillId="0" borderId="51" xfId="0" applyFont="1" applyFill="1" applyBorder="1" applyAlignment="1">
      <alignment horizontal="distributed" vertical="center" wrapText="1" indent="2"/>
    </xf>
    <xf numFmtId="0" fontId="6" fillId="0" borderId="52" xfId="0" applyFont="1" applyFill="1" applyBorder="1" applyAlignment="1">
      <alignment horizontal="distributed" vertical="center" wrapText="1" indent="2"/>
    </xf>
    <xf numFmtId="0" fontId="6" fillId="0" borderId="53" xfId="0" applyFont="1" applyFill="1" applyBorder="1" applyAlignment="1">
      <alignment horizontal="distributed" vertical="center" wrapText="1" indent="2"/>
    </xf>
    <xf numFmtId="0" fontId="6" fillId="0" borderId="11" xfId="0" applyFont="1" applyFill="1" applyBorder="1" applyAlignment="1">
      <alignment horizontal="left" vertical="top" wrapText="1"/>
    </xf>
    <xf numFmtId="0" fontId="10" fillId="0" borderId="33" xfId="0" applyFont="1" applyFill="1" applyBorder="1" applyAlignment="1">
      <alignment horizontal="distributed" vertical="center" indent="2"/>
    </xf>
    <xf numFmtId="0" fontId="10" fillId="0" borderId="17" xfId="0" applyFont="1" applyFill="1" applyBorder="1" applyAlignment="1">
      <alignment horizontal="distributed" vertical="center" indent="2"/>
    </xf>
    <xf numFmtId="0" fontId="10" fillId="0" borderId="49" xfId="0" applyFont="1" applyFill="1" applyBorder="1" applyAlignment="1">
      <alignment horizontal="distributed" vertical="center" indent="2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8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6" fillId="0" borderId="43" xfId="0" applyFont="1" applyFill="1" applyBorder="1" applyAlignment="1">
      <alignment horizontal="distributed" vertical="center" wrapText="1" indent="2"/>
    </xf>
    <xf numFmtId="0" fontId="6" fillId="0" borderId="54" xfId="0" applyFont="1" applyFill="1" applyBorder="1" applyAlignment="1">
      <alignment horizontal="distributed" vertical="center" wrapText="1" indent="2"/>
    </xf>
    <xf numFmtId="0" fontId="6" fillId="0" borderId="55" xfId="0" applyFont="1" applyFill="1" applyBorder="1" applyAlignment="1">
      <alignment horizontal="distributed" vertical="center" wrapText="1" indent="2"/>
    </xf>
    <xf numFmtId="0" fontId="6" fillId="0" borderId="38" xfId="0" applyFont="1" applyFill="1" applyBorder="1" applyAlignment="1">
      <alignment horizontal="distributed" vertical="center" wrapText="1" indent="2"/>
    </xf>
    <xf numFmtId="0" fontId="6" fillId="0" borderId="11" xfId="0" applyFont="1" applyFill="1" applyBorder="1" applyAlignment="1">
      <alignment horizontal="distributed" vertical="center" wrapText="1" indent="2"/>
    </xf>
    <xf numFmtId="0" fontId="6" fillId="0" borderId="56" xfId="0" applyFont="1" applyFill="1" applyBorder="1" applyAlignment="1">
      <alignment horizontal="distributed" vertical="center" wrapText="1" indent="2"/>
    </xf>
    <xf numFmtId="0" fontId="6" fillId="0" borderId="28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177" fontId="6" fillId="0" borderId="28" xfId="0" applyNumberFormat="1" applyFont="1" applyFill="1" applyBorder="1" applyAlignment="1">
      <alignment horizontal="center" vertical="center" wrapText="1"/>
    </xf>
    <xf numFmtId="177" fontId="6" fillId="0" borderId="15" xfId="0" applyNumberFormat="1" applyFont="1" applyFill="1" applyBorder="1" applyAlignment="1">
      <alignment horizontal="center" vertical="center" wrapText="1"/>
    </xf>
    <xf numFmtId="0" fontId="10" fillId="0" borderId="33" xfId="0" applyFont="1" applyFill="1" applyBorder="1" applyAlignment="1">
      <alignment horizontal="distributed" vertical="center" wrapText="1" indent="2"/>
    </xf>
    <xf numFmtId="0" fontId="10" fillId="0" borderId="17" xfId="0" applyFont="1" applyFill="1" applyBorder="1" applyAlignment="1">
      <alignment horizontal="distributed" vertical="center" wrapText="1" indent="2"/>
    </xf>
    <xf numFmtId="0" fontId="10" fillId="0" borderId="49" xfId="0" applyFont="1" applyFill="1" applyBorder="1" applyAlignment="1">
      <alignment horizontal="distributed" vertical="center" wrapText="1" indent="2"/>
    </xf>
    <xf numFmtId="0" fontId="10" fillId="0" borderId="24" xfId="0" applyFont="1" applyFill="1" applyBorder="1" applyAlignment="1">
      <alignment horizontal="distributed" vertical="center" wrapText="1" indent="1"/>
    </xf>
    <xf numFmtId="0" fontId="10" fillId="0" borderId="28" xfId="0" applyFont="1" applyFill="1" applyBorder="1" applyAlignment="1">
      <alignment horizontal="distributed" vertical="center" wrapText="1" indent="1"/>
    </xf>
    <xf numFmtId="0" fontId="10" fillId="0" borderId="15" xfId="0" applyFont="1" applyFill="1" applyBorder="1" applyAlignment="1">
      <alignment horizontal="distributed" vertical="center" wrapText="1" indent="1"/>
    </xf>
    <xf numFmtId="0" fontId="10" fillId="0" borderId="20" xfId="0" applyFont="1" applyFill="1" applyBorder="1" applyAlignment="1">
      <alignment horizontal="distributed" vertical="center" wrapText="1" indent="1"/>
    </xf>
    <xf numFmtId="0" fontId="10" fillId="0" borderId="44" xfId="0" applyFont="1" applyFill="1" applyBorder="1" applyAlignment="1">
      <alignment horizontal="distributed" vertical="center" wrapText="1" indent="1"/>
    </xf>
    <xf numFmtId="0" fontId="10" fillId="0" borderId="16" xfId="0" applyFont="1" applyFill="1" applyBorder="1" applyAlignment="1">
      <alignment horizontal="distributed" vertical="center" wrapText="1" indent="1"/>
    </xf>
    <xf numFmtId="0" fontId="6" fillId="0" borderId="20" xfId="0" applyFont="1" applyFill="1" applyBorder="1" applyAlignment="1">
      <alignment horizontal="distributed" vertical="center" wrapText="1" indent="1"/>
    </xf>
    <xf numFmtId="0" fontId="6" fillId="0" borderId="44" xfId="0" applyFont="1" applyFill="1" applyBorder="1" applyAlignment="1">
      <alignment horizontal="distributed" vertical="center" wrapText="1" indent="1"/>
    </xf>
    <xf numFmtId="0" fontId="6" fillId="0" borderId="16" xfId="0" applyFont="1" applyFill="1" applyBorder="1" applyAlignment="1">
      <alignment horizontal="distributed" vertical="center" wrapText="1" indent="1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top" wrapText="1"/>
    </xf>
    <xf numFmtId="0" fontId="6" fillId="0" borderId="22" xfId="0" applyFont="1" applyBorder="1" applyAlignment="1">
      <alignment horizontal="left" vertical="top" wrapText="1"/>
    </xf>
    <xf numFmtId="0" fontId="6" fillId="0" borderId="27" xfId="0" applyFont="1" applyFill="1" applyBorder="1" applyAlignment="1">
      <alignment horizontal="left" vertical="top" wrapText="1"/>
    </xf>
    <xf numFmtId="0" fontId="6" fillId="0" borderId="22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6" fillId="0" borderId="0" xfId="0" applyFont="1" applyFill="1" applyBorder="1" applyAlignment="1">
      <alignment horizontal="left" vertical="top" wrapText="1"/>
    </xf>
    <xf numFmtId="0" fontId="13" fillId="0" borderId="54" xfId="0" applyFont="1" applyBorder="1" applyAlignment="1">
      <alignment horizontal="distributed" vertical="center" indent="2"/>
    </xf>
    <xf numFmtId="0" fontId="13" fillId="0" borderId="45" xfId="0" applyFont="1" applyBorder="1" applyAlignment="1">
      <alignment horizontal="distributed" vertical="center" indent="2"/>
    </xf>
    <xf numFmtId="0" fontId="6" fillId="0" borderId="36" xfId="0" applyFont="1" applyFill="1" applyBorder="1" applyAlignment="1">
      <alignment vertical="top" wrapText="1"/>
    </xf>
    <xf numFmtId="0" fontId="6" fillId="0" borderId="23" xfId="0" applyFont="1" applyFill="1" applyBorder="1" applyAlignment="1">
      <alignment vertical="top" wrapText="1"/>
    </xf>
    <xf numFmtId="0" fontId="13" fillId="0" borderId="43" xfId="0" applyFont="1" applyBorder="1" applyAlignment="1">
      <alignment horizontal="distributed" vertical="center" indent="2"/>
    </xf>
    <xf numFmtId="0" fontId="6" fillId="0" borderId="27" xfId="0" applyFont="1" applyBorder="1" applyAlignment="1">
      <alignment horizontal="left" vertical="top" wrapText="1"/>
    </xf>
    <xf numFmtId="0" fontId="15" fillId="0" borderId="0" xfId="0" applyFont="1" applyFill="1" applyAlignment="1">
      <alignment vertical="center" wrapText="1"/>
    </xf>
    <xf numFmtId="0" fontId="6" fillId="0" borderId="33" xfId="0" applyFont="1" applyFill="1" applyBorder="1" applyAlignment="1">
      <alignment horizontal="distributed" vertical="center" wrapText="1"/>
    </xf>
    <xf numFmtId="0" fontId="6" fillId="0" borderId="17" xfId="0" applyFont="1" applyFill="1" applyBorder="1" applyAlignment="1">
      <alignment horizontal="distributed" vertical="center"/>
    </xf>
    <xf numFmtId="0" fontId="6" fillId="0" borderId="49" xfId="0" applyFont="1" applyFill="1" applyBorder="1" applyAlignment="1">
      <alignment horizontal="distributed" vertical="center"/>
    </xf>
    <xf numFmtId="0" fontId="6" fillId="0" borderId="34" xfId="0" applyFont="1" applyFill="1" applyBorder="1" applyAlignment="1">
      <alignment horizontal="distributed" vertical="center" wrapText="1" indent="2"/>
    </xf>
    <xf numFmtId="0" fontId="6" fillId="0" borderId="18" xfId="0" applyFont="1" applyFill="1" applyBorder="1" applyAlignment="1">
      <alignment horizontal="distributed" vertical="center" wrapText="1" indent="2"/>
    </xf>
    <xf numFmtId="0" fontId="6" fillId="0" borderId="46" xfId="0" applyFont="1" applyFill="1" applyBorder="1" applyAlignment="1">
      <alignment horizontal="distributed" vertical="center" wrapText="1" indent="2"/>
    </xf>
    <xf numFmtId="0" fontId="6" fillId="0" borderId="38" xfId="0" applyFont="1" applyFill="1" applyBorder="1" applyAlignment="1">
      <alignment horizontal="distributed" vertical="center" wrapText="1"/>
    </xf>
    <xf numFmtId="0" fontId="6" fillId="0" borderId="11" xfId="0" applyFont="1" applyFill="1" applyBorder="1" applyAlignment="1">
      <alignment horizontal="distributed" vertical="center" wrapText="1"/>
    </xf>
    <xf numFmtId="0" fontId="6" fillId="0" borderId="56" xfId="0" applyFont="1" applyFill="1" applyBorder="1" applyAlignment="1">
      <alignment horizontal="distributed" vertical="center" wrapText="1"/>
    </xf>
    <xf numFmtId="0" fontId="6" fillId="0" borderId="34" xfId="0" applyFont="1" applyFill="1" applyBorder="1" applyAlignment="1">
      <alignment horizontal="distributed" vertical="center" wrapText="1"/>
    </xf>
    <xf numFmtId="0" fontId="6" fillId="0" borderId="18" xfId="0" applyFont="1" applyFill="1" applyBorder="1" applyAlignment="1">
      <alignment horizontal="distributed" vertical="center"/>
    </xf>
    <xf numFmtId="0" fontId="6" fillId="0" borderId="46" xfId="0" applyFont="1" applyFill="1" applyBorder="1" applyAlignment="1">
      <alignment horizontal="distributed" vertical="center"/>
    </xf>
    <xf numFmtId="0" fontId="6" fillId="0" borderId="34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43" xfId="0" applyFont="1" applyFill="1" applyBorder="1" applyAlignment="1">
      <alignment horizontal="distributed" vertical="center" wrapText="1" indent="1"/>
    </xf>
    <xf numFmtId="0" fontId="6" fillId="0" borderId="54" xfId="0" applyFont="1" applyFill="1" applyBorder="1" applyAlignment="1">
      <alignment horizontal="distributed" vertical="center" wrapText="1" indent="1"/>
    </xf>
    <xf numFmtId="0" fontId="6" fillId="0" borderId="45" xfId="0" applyFont="1" applyFill="1" applyBorder="1" applyAlignment="1">
      <alignment horizontal="distributed" vertical="center" wrapText="1" indent="1"/>
    </xf>
    <xf numFmtId="0" fontId="6" fillId="0" borderId="36" xfId="0" applyFont="1" applyFill="1" applyBorder="1" applyAlignment="1">
      <alignment horizontal="left" vertical="center"/>
    </xf>
    <xf numFmtId="0" fontId="6" fillId="0" borderId="43" xfId="0" applyFont="1" applyFill="1" applyBorder="1" applyAlignment="1">
      <alignment horizontal="distributed" vertical="center" wrapText="1"/>
    </xf>
    <xf numFmtId="0" fontId="6" fillId="0" borderId="54" xfId="0" applyFont="1" applyFill="1" applyBorder="1" applyAlignment="1">
      <alignment horizontal="distributed" vertical="center" wrapText="1"/>
    </xf>
    <xf numFmtId="0" fontId="6" fillId="0" borderId="34" xfId="0" applyFont="1" applyFill="1" applyBorder="1" applyAlignment="1">
      <alignment horizontal="distributed" vertical="center" wrapText="1" indent="1"/>
    </xf>
    <xf numFmtId="0" fontId="6" fillId="0" borderId="46" xfId="0" applyFont="1" applyBorder="1" applyAlignment="1">
      <alignment horizontal="distributed" vertical="center" indent="1"/>
    </xf>
    <xf numFmtId="0" fontId="6" fillId="0" borderId="55" xfId="0" applyFont="1" applyFill="1" applyBorder="1" applyAlignment="1">
      <alignment horizontal="distributed" vertical="center" wrapText="1"/>
    </xf>
    <xf numFmtId="0" fontId="6" fillId="0" borderId="33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/>
    </xf>
    <xf numFmtId="0" fontId="6" fillId="0" borderId="24" xfId="0" applyFont="1" applyBorder="1" applyAlignment="1">
      <alignment horizontal="distributed" vertical="distributed" wrapText="1" indent="2"/>
    </xf>
    <xf numFmtId="0" fontId="6" fillId="0" borderId="38" xfId="0" applyFont="1" applyBorder="1" applyAlignment="1">
      <alignment horizontal="distributed" vertical="center" wrapText="1"/>
    </xf>
    <xf numFmtId="0" fontId="6" fillId="0" borderId="56" xfId="0" applyFont="1" applyBorder="1" applyAlignment="1">
      <alignment horizontal="distributed"/>
    </xf>
    <xf numFmtId="0" fontId="6" fillId="0" borderId="33" xfId="0" applyFont="1" applyBorder="1" applyAlignment="1">
      <alignment horizontal="distributed" vertical="center" wrapText="1" indent="2"/>
    </xf>
    <xf numFmtId="0" fontId="6" fillId="0" borderId="49" xfId="0" applyFont="1" applyBorder="1" applyAlignment="1">
      <alignment horizontal="distributed" vertical="center" wrapText="1" indent="2"/>
    </xf>
    <xf numFmtId="182" fontId="6" fillId="0" borderId="0" xfId="0" applyNumberFormat="1" applyFont="1" applyFill="1" applyBorder="1" applyAlignment="1">
      <alignment horizontal="left" vertical="top" wrapText="1"/>
    </xf>
    <xf numFmtId="0" fontId="6" fillId="0" borderId="22" xfId="0" applyFont="1" applyBorder="1" applyAlignment="1">
      <alignment vertical="center"/>
    </xf>
    <xf numFmtId="0" fontId="6" fillId="0" borderId="0" xfId="0" applyFont="1" applyAlignment="1">
      <alignment vertical="center"/>
    </xf>
    <xf numFmtId="182" fontId="6" fillId="0" borderId="27" xfId="0" applyNumberFormat="1" applyFont="1" applyFill="1" applyBorder="1" applyAlignment="1">
      <alignment horizontal="left" vertical="top" wrapText="1"/>
    </xf>
    <xf numFmtId="182" fontId="6" fillId="0" borderId="22" xfId="0" applyNumberFormat="1" applyFont="1" applyFill="1" applyBorder="1" applyAlignment="1">
      <alignment horizontal="left" vertical="top" wrapText="1"/>
    </xf>
    <xf numFmtId="0" fontId="57" fillId="0" borderId="15" xfId="0" applyFont="1" applyFill="1" applyBorder="1" applyAlignment="1">
      <alignment horizontal="center" vertical="center" wrapText="1"/>
    </xf>
    <xf numFmtId="0" fontId="57" fillId="0" borderId="46" xfId="0" applyFont="1" applyFill="1" applyBorder="1" applyAlignment="1">
      <alignment horizontal="center" vertical="center" wrapText="1"/>
    </xf>
    <xf numFmtId="0" fontId="57" fillId="0" borderId="15" xfId="0" applyFont="1" applyFill="1" applyBorder="1" applyAlignment="1">
      <alignment horizontal="center" vertical="top" wrapText="1"/>
    </xf>
    <xf numFmtId="0" fontId="57" fillId="0" borderId="46" xfId="0" applyFont="1" applyFill="1" applyBorder="1" applyAlignment="1">
      <alignment horizontal="center" vertical="top" wrapText="1"/>
    </xf>
    <xf numFmtId="0" fontId="57" fillId="0" borderId="28" xfId="0" applyFont="1" applyFill="1" applyBorder="1" applyAlignment="1">
      <alignment horizontal="center" vertical="center" wrapText="1"/>
    </xf>
    <xf numFmtId="182" fontId="6" fillId="0" borderId="22" xfId="0" applyNumberFormat="1" applyFont="1" applyFill="1" applyBorder="1" applyAlignment="1">
      <alignment horizontal="distributed" vertical="top" wrapText="1"/>
    </xf>
    <xf numFmtId="49" fontId="17" fillId="0" borderId="0" xfId="0" applyNumberFormat="1" applyFont="1" applyBorder="1" applyAlignment="1">
      <alignment horizontal="center" vertical="top" wrapText="1"/>
    </xf>
    <xf numFmtId="49" fontId="17" fillId="0" borderId="36" xfId="0" applyNumberFormat="1" applyFont="1" applyBorder="1" applyAlignment="1">
      <alignment horizontal="center" vertical="top" wrapText="1"/>
    </xf>
    <xf numFmtId="182" fontId="6" fillId="0" borderId="23" xfId="0" applyNumberFormat="1" applyFont="1" applyFill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57" fillId="0" borderId="28" xfId="0" applyFont="1" applyFill="1" applyBorder="1" applyAlignment="1">
      <alignment horizontal="distributed" vertical="center" wrapText="1" indent="1"/>
    </xf>
    <xf numFmtId="0" fontId="6" fillId="0" borderId="11" xfId="20" applyNumberFormat="1" applyFont="1" applyBorder="1" applyAlignment="1">
      <alignment horizontal="left" vertical="top" wrapText="1"/>
    </xf>
    <xf numFmtId="0" fontId="6" fillId="0" borderId="11" xfId="20" applyNumberFormat="1" applyFont="1" applyBorder="1" applyAlignment="1">
      <alignment horizontal="justify" vertical="top" wrapText="1"/>
    </xf>
    <xf numFmtId="0" fontId="6" fillId="0" borderId="11" xfId="20" applyFont="1" applyBorder="1" applyAlignment="1">
      <alignment horizontal="justify" vertical="top" wrapText="1"/>
    </xf>
    <xf numFmtId="0" fontId="6" fillId="0" borderId="13" xfId="20" applyNumberFormat="1" applyFont="1" applyBorder="1" applyAlignment="1">
      <alignment horizontal="left" vertical="top" wrapText="1"/>
    </xf>
    <xf numFmtId="0" fontId="6" fillId="0" borderId="18" xfId="0" applyFont="1" applyBorder="1">
      <alignment vertical="center"/>
    </xf>
    <xf numFmtId="0" fontId="6" fillId="0" borderId="46" xfId="0" applyFont="1" applyBorder="1">
      <alignment vertical="center"/>
    </xf>
    <xf numFmtId="0" fontId="20" fillId="0" borderId="11" xfId="0" applyNumberFormat="1" applyFont="1" applyFill="1" applyBorder="1" applyAlignment="1">
      <alignment horizontal="left" vertical="top" wrapText="1"/>
    </xf>
    <xf numFmtId="0" fontId="20" fillId="0" borderId="19" xfId="0" applyFont="1" applyFill="1" applyBorder="1" applyAlignment="1">
      <alignment horizontal="center" vertical="center" wrapText="1"/>
    </xf>
    <xf numFmtId="0" fontId="18" fillId="0" borderId="28" xfId="0" applyFont="1" applyFill="1" applyBorder="1" applyAlignment="1">
      <alignment horizontal="center" vertical="center" wrapText="1"/>
    </xf>
    <xf numFmtId="0" fontId="10" fillId="0" borderId="34" xfId="0" applyFont="1" applyFill="1" applyBorder="1" applyAlignment="1">
      <alignment horizontal="distributed" vertical="center" wrapText="1" indent="2"/>
    </xf>
    <xf numFmtId="0" fontId="10" fillId="0" borderId="18" xfId="0" applyFont="1" applyFill="1" applyBorder="1" applyAlignment="1">
      <alignment horizontal="distributed" vertical="center" wrapText="1" indent="2"/>
    </xf>
    <xf numFmtId="0" fontId="10" fillId="0" borderId="46" xfId="0" applyFont="1" applyFill="1" applyBorder="1" applyAlignment="1">
      <alignment horizontal="distributed" vertical="center" wrapText="1" indent="2"/>
    </xf>
    <xf numFmtId="0" fontId="15" fillId="0" borderId="40" xfId="0" applyFont="1" applyFill="1" applyBorder="1" applyAlignment="1">
      <alignment horizontal="left" vertical="top" wrapText="1"/>
    </xf>
  </cellXfs>
  <cellStyles count="112">
    <cellStyle name=" 1" xfId="47"/>
    <cellStyle name="20% - 輔色1" xfId="1" builtinId="30" customBuiltin="1"/>
    <cellStyle name="20% - 輔色1 2" xfId="48"/>
    <cellStyle name="20% - 輔色2" xfId="2" builtinId="34" customBuiltin="1"/>
    <cellStyle name="20% - 輔色2 2" xfId="49"/>
    <cellStyle name="20% - 輔色3" xfId="3" builtinId="38" customBuiltin="1"/>
    <cellStyle name="20% - 輔色3 2" xfId="50"/>
    <cellStyle name="20% - 輔色4" xfId="4" builtinId="42" customBuiltin="1"/>
    <cellStyle name="20% - 輔色4 2" xfId="51"/>
    <cellStyle name="20% - 輔色5" xfId="5" builtinId="46" customBuiltin="1"/>
    <cellStyle name="20% - 輔色5 2" xfId="52"/>
    <cellStyle name="20% - 輔色6" xfId="6" builtinId="50" customBuiltin="1"/>
    <cellStyle name="20% - 輔色6 2" xfId="53"/>
    <cellStyle name="40% - 輔色1" xfId="7" builtinId="31" customBuiltin="1"/>
    <cellStyle name="40% - 輔色1 2" xfId="54"/>
    <cellStyle name="40% - 輔色2" xfId="8" builtinId="35" customBuiltin="1"/>
    <cellStyle name="40% - 輔色2 2" xfId="55"/>
    <cellStyle name="40% - 輔色3" xfId="9" builtinId="39" customBuiltin="1"/>
    <cellStyle name="40% - 輔色3 2" xfId="56"/>
    <cellStyle name="40% - 輔色4" xfId="10" builtinId="43" customBuiltin="1"/>
    <cellStyle name="40% - 輔色4 2" xfId="57"/>
    <cellStyle name="40% - 輔色5" xfId="11" builtinId="47" customBuiltin="1"/>
    <cellStyle name="40% - 輔色5 2" xfId="58"/>
    <cellStyle name="40% - 輔色6" xfId="12" builtinId="51" customBuiltin="1"/>
    <cellStyle name="40% - 輔色6 2" xfId="59"/>
    <cellStyle name="60% - 輔色1" xfId="13" builtinId="32" customBuiltin="1"/>
    <cellStyle name="60% - 輔色1 2" xfId="60"/>
    <cellStyle name="60% - 輔色2" xfId="14" builtinId="36" customBuiltin="1"/>
    <cellStyle name="60% - 輔色2 2" xfId="61"/>
    <cellStyle name="60% - 輔色3" xfId="15" builtinId="40" customBuiltin="1"/>
    <cellStyle name="60% - 輔色3 2" xfId="62"/>
    <cellStyle name="60% - 輔色4" xfId="16" builtinId="44" customBuiltin="1"/>
    <cellStyle name="60% - 輔色4 2" xfId="63"/>
    <cellStyle name="60% - 輔色5" xfId="17" builtinId="48" customBuiltin="1"/>
    <cellStyle name="60% - 輔色5 2" xfId="64"/>
    <cellStyle name="60% - 輔色6" xfId="18" builtinId="52" customBuiltin="1"/>
    <cellStyle name="60% - 輔色6 2" xfId="65"/>
    <cellStyle name="Euro" xfId="19"/>
    <cellStyle name="一般" xfId="0" builtinId="0"/>
    <cellStyle name="一般 2" xfId="66"/>
    <cellStyle name="一般 2 2" xfId="67"/>
    <cellStyle name="一般 2 3" xfId="68"/>
    <cellStyle name="一般 2 4" xfId="69"/>
    <cellStyle name="一般 2_1021220-104利息收入" xfId="70"/>
    <cellStyle name="一般 3" xfId="71"/>
    <cellStyle name="一般 3 2" xfId="72"/>
    <cellStyle name="一般 4" xfId="73"/>
    <cellStyle name="一般 4 2" xfId="74"/>
    <cellStyle name="一般 5" xfId="75"/>
    <cellStyle name="一般 6" xfId="111"/>
    <cellStyle name="一般_(For 監理會)101附屬單位預算(營業部分)" xfId="20"/>
    <cellStyle name="千分位" xfId="21" builtinId="3"/>
    <cellStyle name="千分位 2" xfId="76"/>
    <cellStyle name="千分位 2 2" xfId="77"/>
    <cellStyle name="千分位 2 2 2" xfId="78"/>
    <cellStyle name="千分位 2 3" xfId="79"/>
    <cellStyle name="千分位 3" xfId="80"/>
    <cellStyle name="千分位 4" xfId="81"/>
    <cellStyle name="千分位 5" xfId="82"/>
    <cellStyle name="千分位[0] 2" xfId="83"/>
    <cellStyle name="千分位[0] 3" xfId="84"/>
    <cellStyle name="中等" xfId="22" builtinId="28" customBuiltin="1"/>
    <cellStyle name="中等 2" xfId="85"/>
    <cellStyle name="未定義" xfId="23"/>
    <cellStyle name="合計" xfId="24" builtinId="25" customBuiltin="1"/>
    <cellStyle name="合計 2" xfId="86"/>
    <cellStyle name="好" xfId="25" builtinId="26" customBuiltin="1"/>
    <cellStyle name="好 2" xfId="87"/>
    <cellStyle name="百分比" xfId="26" builtinId="5"/>
    <cellStyle name="百分比 2" xfId="88"/>
    <cellStyle name="百分比 3" xfId="89"/>
    <cellStyle name="計算方式" xfId="27" builtinId="22" customBuiltin="1"/>
    <cellStyle name="計算方式 2" xfId="90"/>
    <cellStyle name="連結的儲存格" xfId="28" builtinId="24" customBuiltin="1"/>
    <cellStyle name="連結的儲存格 2" xfId="91"/>
    <cellStyle name="備註" xfId="29" builtinId="10" customBuiltin="1"/>
    <cellStyle name="備註 2" xfId="92"/>
    <cellStyle name="說明文字" xfId="30" builtinId="53" customBuiltin="1"/>
    <cellStyle name="說明文字 2" xfId="93"/>
    <cellStyle name="輔色1" xfId="31" builtinId="29" customBuiltin="1"/>
    <cellStyle name="輔色1 2" xfId="94"/>
    <cellStyle name="輔色2" xfId="32" builtinId="33" customBuiltin="1"/>
    <cellStyle name="輔色2 2" xfId="95"/>
    <cellStyle name="輔色3" xfId="33" builtinId="37" customBuiltin="1"/>
    <cellStyle name="輔色3 2" xfId="96"/>
    <cellStyle name="輔色4" xfId="34" builtinId="41" customBuiltin="1"/>
    <cellStyle name="輔色4 2" xfId="97"/>
    <cellStyle name="輔色5" xfId="35" builtinId="45" customBuiltin="1"/>
    <cellStyle name="輔色5 2" xfId="98"/>
    <cellStyle name="輔色6" xfId="36" builtinId="49" customBuiltin="1"/>
    <cellStyle name="輔色6 2" xfId="99"/>
    <cellStyle name="標題" xfId="37" builtinId="15" customBuiltin="1"/>
    <cellStyle name="標題 1" xfId="38" builtinId="16" customBuiltin="1"/>
    <cellStyle name="標題 1 2" xfId="100"/>
    <cellStyle name="標題 2" xfId="39" builtinId="17" customBuiltin="1"/>
    <cellStyle name="標題 2 2" xfId="101"/>
    <cellStyle name="標題 3" xfId="40" builtinId="18" customBuiltin="1"/>
    <cellStyle name="標題 3 2" xfId="102"/>
    <cellStyle name="標題 4" xfId="41" builtinId="19" customBuiltin="1"/>
    <cellStyle name="標題 4 2" xfId="103"/>
    <cellStyle name="標題 5" xfId="104"/>
    <cellStyle name="樣式 1" xfId="105"/>
    <cellStyle name="輸入" xfId="42" builtinId="20" customBuiltin="1"/>
    <cellStyle name="輸入 2" xfId="106"/>
    <cellStyle name="輸出" xfId="43" builtinId="21" customBuiltin="1"/>
    <cellStyle name="輸出 2" xfId="107"/>
    <cellStyle name="檢查儲存格" xfId="44" builtinId="23" customBuiltin="1"/>
    <cellStyle name="檢查儲存格 2" xfId="108"/>
    <cellStyle name="壞" xfId="45" builtinId="27" customBuiltin="1"/>
    <cellStyle name="壞 2" xfId="109"/>
    <cellStyle name="警告文字" xfId="46" builtinId="11" customBuiltin="1"/>
    <cellStyle name="警告文字 2" xfId="1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2"/>
      <c:rotY val="2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0"/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9525">
      <a:noFill/>
    </a:ln>
  </c:spPr>
  <c:txPr>
    <a:bodyPr/>
    <a:lstStyle/>
    <a:p>
      <a:pPr>
        <a:defRPr sz="425" b="0" i="0" u="none" strike="noStrike" baseline="0">
          <a:solidFill>
            <a:srgbClr val="000000"/>
          </a:solidFill>
          <a:latin typeface="新細明體"/>
          <a:ea typeface="新細明體"/>
          <a:cs typeface="新細明體"/>
        </a:defRPr>
      </a:pPr>
      <a:endParaRPr lang="zh-TW"/>
    </a:p>
  </c:txPr>
  <c:printSettings>
    <c:headerFooter alignWithMargins="0"/>
    <c:pageMargins b="1" l="0.75000000000000333" r="0.75000000000000333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25" b="0" i="0" u="sng" strike="noStrike" baseline="0">
                <a:solidFill>
                  <a:srgbClr val="000000"/>
                </a:solidFill>
                <a:latin typeface="標楷體"/>
                <a:ea typeface="標楷體"/>
                <a:cs typeface="標楷體"/>
              </a:defRPr>
            </a:pPr>
            <a:r>
              <a:rPr lang="zh-TW" altLang="en-US"/>
              <a:t>成本與費用及賸餘</a:t>
            </a:r>
          </a:p>
        </c:rich>
      </c:tx>
      <c:layout>
        <c:manualLayout>
          <c:xMode val="edge"/>
          <c:yMode val="edge"/>
          <c:x val="0.36644105783492831"/>
          <c:y val="3.0984783889309807E-3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8299724690796226"/>
          <c:y val="0.31003039513677838"/>
          <c:w val="0.65129728820785882"/>
          <c:h val="0.54711246200607899"/>
        </c:manualLayout>
      </c:layout>
      <c:pie3DChart>
        <c:varyColors val="1"/>
        <c:ser>
          <c:idx val="0"/>
          <c:order val="0"/>
          <c:tx>
            <c:strRef>
              <c:f>圖1!$C$20</c:f>
              <c:strCache>
                <c:ptCount val="1"/>
                <c:pt idx="0">
                  <c:v>成本與費用及賸餘</c:v>
                </c:pt>
              </c:strCache>
            </c:strRef>
          </c:tx>
          <c:spPr>
            <a:pattFill prst="pct10">
              <a:fgClr>
                <a:srgbClr val="9999FF"/>
              </a:fgClr>
              <a:bgClr>
                <a:srgbClr val="FFFFFF"/>
              </a:bgClr>
            </a:pattFill>
            <a:ln w="12700">
              <a:solidFill>
                <a:srgbClr val="000000"/>
              </a:solidFill>
              <a:prstDash val="solid"/>
            </a:ln>
          </c:spPr>
          <c:explosion val="22"/>
          <c:dPt>
            <c:idx val="0"/>
            <c:bubble3D val="0"/>
            <c:explosion val="31"/>
          </c:dPt>
          <c:dPt>
            <c:idx val="2"/>
            <c:bubble3D val="0"/>
            <c:explosion val="33"/>
          </c:dPt>
          <c:dLbls>
            <c:dLbl>
              <c:idx val="0"/>
              <c:layout>
                <c:manualLayout>
                  <c:x val="0.22190125618020112"/>
                  <c:y val="-9.6208186742614638E-2"/>
                </c:manualLayout>
              </c:layout>
              <c:tx>
                <c:rich>
                  <a:bodyPr/>
                  <a:lstStyle/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標楷體"/>
                        <a:ea typeface="標楷體"/>
                        <a:cs typeface="標楷體"/>
                      </a:defRPr>
                    </a:pPr>
                    <a:r>
                      <a:rPr lang="zh-TW" altLang="en-US" sz="1000" b="0" i="0" strike="noStrike">
                        <a:solidFill>
                          <a:srgbClr val="000000"/>
                        </a:solidFill>
                        <a:latin typeface="標楷體"/>
                        <a:ea typeface="標楷體"/>
                      </a:rPr>
                      <a:t>    投融資業務成本</a:t>
                    </a:r>
                  </a:p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標楷體"/>
                        <a:ea typeface="標楷體"/>
                        <a:cs typeface="標楷體"/>
                      </a:defRPr>
                    </a:pPr>
                    <a:r>
                      <a:rPr lang="zh-TW" altLang="en-US" sz="1000" b="0" i="0" strike="noStrike">
                        <a:solidFill>
                          <a:srgbClr val="000000"/>
                        </a:solidFill>
                        <a:latin typeface="標楷體"/>
                        <a:ea typeface="標楷體"/>
                      </a:rPr>
                      <a:t>   </a:t>
                    </a:r>
                    <a:r>
                      <a:rPr lang="en-US" altLang="zh-TW" sz="1000" b="0" i="0" strike="noStrike">
                        <a:solidFill>
                          <a:srgbClr val="000000"/>
                        </a:solidFill>
                        <a:latin typeface="Times New Roman"/>
                        <a:cs typeface="Times New Roman"/>
                      </a:rPr>
                      <a:t>0.26%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bestFit"/>
              <c:showLegendKey val="0"/>
              <c:showVal val="0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0.16105983824989478"/>
                  <c:y val="4.0348786188960373E-2"/>
                </c:manualLayout>
              </c:layout>
              <c:tx>
                <c:rich>
                  <a:bodyPr/>
                  <a:lstStyle/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標楷體"/>
                        <a:ea typeface="標楷體"/>
                        <a:cs typeface="標楷體"/>
                      </a:defRPr>
                    </a:pPr>
                    <a:r>
                      <a:rPr lang="zh-TW" altLang="en-US" sz="1000" b="0" i="0" strike="noStrike">
                        <a:solidFill>
                          <a:srgbClr val="000000"/>
                        </a:solidFill>
                        <a:latin typeface="標楷體"/>
                        <a:ea typeface="標楷體"/>
                      </a:rPr>
                      <a:t>    保險成本</a:t>
                    </a:r>
                  </a:p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標楷體"/>
                        <a:ea typeface="標楷體"/>
                        <a:cs typeface="標楷體"/>
                      </a:defRPr>
                    </a:pPr>
                    <a:r>
                      <a:rPr lang="zh-TW" altLang="en-US" sz="1000" b="0" i="0" strike="noStrike">
                        <a:solidFill>
                          <a:srgbClr val="000000"/>
                        </a:solidFill>
                        <a:latin typeface="標楷體"/>
                        <a:ea typeface="標楷體"/>
                      </a:rPr>
                      <a:t>    </a:t>
                    </a:r>
                    <a:r>
                      <a:rPr lang="en-US" altLang="zh-TW" sz="1000" b="0" i="0" strike="noStrike">
                        <a:solidFill>
                          <a:srgbClr val="000000"/>
                        </a:solidFill>
                        <a:latin typeface="Times New Roman"/>
                        <a:cs typeface="Times New Roman"/>
                      </a:rPr>
                      <a:t>99.14%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bestFit"/>
              <c:showLegendKey val="0"/>
              <c:showVal val="0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0.18713732414252379"/>
                  <c:y val="-5.7420454022194804E-2"/>
                </c:manualLayout>
              </c:layout>
              <c:tx>
                <c:rich>
                  <a:bodyPr/>
                  <a:lstStyle/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標楷體"/>
                        <a:ea typeface="標楷體"/>
                        <a:cs typeface="標楷體"/>
                      </a:defRPr>
                    </a:pPr>
                    <a:r>
                      <a:rPr lang="zh-TW" altLang="en-US" sz="1000" b="0" i="0" strike="noStrike">
                        <a:solidFill>
                          <a:srgbClr val="000000"/>
                        </a:solidFill>
                        <a:latin typeface="標楷體"/>
                        <a:ea typeface="標楷體"/>
                      </a:rPr>
                      <a:t>    其他業務成本</a:t>
                    </a:r>
                  </a:p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標楷體"/>
                        <a:ea typeface="標楷體"/>
                        <a:cs typeface="標楷體"/>
                      </a:defRPr>
                    </a:pPr>
                    <a:r>
                      <a:rPr lang="zh-TW" altLang="en-US" sz="1000" b="0" i="0" strike="noStrike">
                        <a:solidFill>
                          <a:srgbClr val="000000"/>
                        </a:solidFill>
                        <a:latin typeface="標楷體"/>
                        <a:ea typeface="標楷體"/>
                      </a:rPr>
                      <a:t>   </a:t>
                    </a:r>
                    <a:r>
                      <a:rPr lang="en-US" altLang="zh-TW" sz="1000" b="0" i="0" strike="noStrike">
                        <a:solidFill>
                          <a:srgbClr val="000000"/>
                        </a:solidFill>
                        <a:latin typeface="Times New Roman"/>
                        <a:cs typeface="Times New Roman"/>
                      </a:rPr>
                      <a:t>0.60%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bestFit"/>
              <c:showLegendKey val="0"/>
              <c:showVal val="0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1.3594938514905343E-2"/>
                  <c:y val="-0.13004177563104066"/>
                </c:manualLayout>
              </c:layout>
              <c:tx>
                <c:rich>
                  <a:bodyPr/>
                  <a:lstStyle/>
                  <a:p>
                    <a:r>
                      <a:rPr lang="zh-TW" altLang="en-US" sz="1000" b="0" i="0" strike="noStrike">
                        <a:solidFill>
                          <a:srgbClr val="000000"/>
                        </a:solidFill>
                        <a:latin typeface="標楷體"/>
                        <a:ea typeface="標楷體"/>
                      </a:rPr>
                      <a:t>業務外費用</a:t>
                    </a:r>
                  </a:p>
                  <a:p>
                    <a:r>
                      <a:rPr lang="en-US" altLang="zh-TW" sz="1000" b="0" i="0" strike="noStrike">
                        <a:solidFill>
                          <a:srgbClr val="000000"/>
                        </a:solidFill>
                        <a:latin typeface="Times New Roman"/>
                        <a:cs typeface="Times New Roman"/>
                      </a:rPr>
                      <a:t>0.00%</a:t>
                    </a:r>
                  </a:p>
                </c:rich>
              </c:tx>
              <c:dLblPos val="bestFit"/>
              <c:showLegendKey val="0"/>
              <c:showVal val="0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Mode val="edge"/>
                  <c:yMode val="edge"/>
                  <c:x val="0.31268033526793504"/>
                  <c:y val="0.84498480243161445"/>
                </c:manualLayout>
              </c:layout>
              <c:tx>
                <c:rich>
                  <a:bodyPr/>
                  <a:lstStyle/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標楷體"/>
                        <a:ea typeface="標楷體"/>
                        <a:cs typeface="標楷體"/>
                      </a:defRPr>
                    </a:pPr>
                    <a:r>
                      <a:rPr lang="zh-TW" altLang="en-US" sz="1000" b="0" i="0" strike="noStrike">
                        <a:solidFill>
                          <a:srgbClr val="000000"/>
                        </a:solidFill>
                        <a:latin typeface="標楷體"/>
                        <a:ea typeface="標楷體"/>
                      </a:rPr>
                      <a:t>本期賸餘</a:t>
                    </a:r>
                  </a:p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標楷體"/>
                        <a:ea typeface="標楷體"/>
                        <a:cs typeface="標楷體"/>
                      </a:defRPr>
                    </a:pPr>
                    <a:r>
                      <a:rPr lang="en-US" altLang="zh-TW" sz="1000" b="0" i="0" strike="noStrike">
                        <a:solidFill>
                          <a:srgbClr val="000000"/>
                        </a:solidFill>
                        <a:latin typeface="Times New Roman"/>
                        <a:cs typeface="Times New Roman"/>
                      </a:rPr>
                      <a:t>0.00%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bestFit"/>
              <c:showLegendKey val="0"/>
              <c:showVal val="0"/>
              <c:showCatName val="0"/>
              <c:showSerName val="0"/>
              <c:showPercent val="0"/>
              <c:showBubbleSize val="0"/>
            </c:dLbl>
            <c:numFmt formatCode="0.0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標楷體"/>
                    <a:ea typeface="標楷體"/>
                    <a:cs typeface="標楷體"/>
                  </a:defRPr>
                </a:pPr>
                <a:endParaRPr lang="zh-TW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12700">
                  <a:solidFill>
                    <a:srgbClr val="000000"/>
                  </a:solidFill>
                  <a:prstDash val="solid"/>
                </a:ln>
              </c:spPr>
            </c:leaderLines>
          </c:dLbls>
          <c:cat>
            <c:strRef>
              <c:f>圖1!$C$22:$C$25</c:f>
              <c:strCache>
                <c:ptCount val="4"/>
                <c:pt idx="0">
                  <c:v>  投融資業務成本</c:v>
                </c:pt>
                <c:pt idx="1">
                  <c:v>  保險成本</c:v>
                </c:pt>
                <c:pt idx="2">
                  <c:v>  其他業務成本</c:v>
                </c:pt>
                <c:pt idx="3">
                  <c:v>業務外費用</c:v>
                </c:pt>
              </c:strCache>
            </c:strRef>
          </c:cat>
          <c:val>
            <c:numRef>
              <c:f>圖1!$D$22:$D$25</c:f>
              <c:numCache>
                <c:formatCode>#,##0</c:formatCode>
                <c:ptCount val="4"/>
                <c:pt idx="0">
                  <c:v>1100732</c:v>
                </c:pt>
                <c:pt idx="1">
                  <c:v>414923371</c:v>
                </c:pt>
                <c:pt idx="2">
                  <c:v>2510334</c:v>
                </c:pt>
                <c:pt idx="3">
                  <c:v>90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9525">
      <a:noFill/>
    </a:ln>
  </c:spPr>
  <c:txPr>
    <a:bodyPr/>
    <a:lstStyle/>
    <a:p>
      <a:pPr>
        <a:defRPr sz="1625" b="0" i="0" u="none" strike="noStrike" baseline="0">
          <a:solidFill>
            <a:srgbClr val="000000"/>
          </a:solidFill>
          <a:latin typeface="新細明體"/>
          <a:ea typeface="新細明體"/>
          <a:cs typeface="新細明體"/>
        </a:defRPr>
      </a:pPr>
      <a:endParaRPr lang="zh-TW"/>
    </a:p>
  </c:txPr>
  <c:printSettings>
    <c:headerFooter alignWithMargins="0"/>
    <c:pageMargins b="1" l="0.75000000000000333" r="0.75000000000000333" t="1" header="0.5" footer="0.5"/>
    <c:pageSetup paperSize="9" orientation="landscape" horizontalDpi="300" verticalDpi="300"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25" b="0" i="0" u="sng" strike="noStrike" baseline="0">
                <a:solidFill>
                  <a:srgbClr val="000000"/>
                </a:solidFill>
                <a:latin typeface="標楷體"/>
                <a:ea typeface="標楷體"/>
                <a:cs typeface="標楷體"/>
              </a:defRPr>
            </a:pPr>
            <a:r>
              <a:rPr lang="zh-TW" altLang="en-US"/>
              <a:t>收          入</a:t>
            </a:r>
          </a:p>
        </c:rich>
      </c:tx>
      <c:layout>
        <c:manualLayout>
          <c:xMode val="edge"/>
          <c:yMode val="edge"/>
          <c:x val="0.38040372585591997"/>
          <c:y val="1.5151559989228201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8155632370396071"/>
          <c:y val="0.30909182378025701"/>
          <c:w val="0.65417913461586386"/>
          <c:h val="0.54848647161006037"/>
        </c:manualLayout>
      </c:layout>
      <c:pie3DChart>
        <c:varyColors val="1"/>
        <c:ser>
          <c:idx val="0"/>
          <c:order val="0"/>
          <c:tx>
            <c:strRef>
              <c:f>圖1!$A$20</c:f>
              <c:strCache>
                <c:ptCount val="1"/>
                <c:pt idx="0">
                  <c:v>收        入</c:v>
                </c:pt>
              </c:strCache>
            </c:strRef>
          </c:tx>
          <c:spPr>
            <a:pattFill prst="pct10">
              <a:fgClr>
                <a:srgbClr val="9999FF"/>
              </a:fgClr>
              <a:bgClr>
                <a:srgbClr val="FFFFFF"/>
              </a:bgClr>
            </a:pattFill>
            <a:ln w="12700">
              <a:solidFill>
                <a:srgbClr val="000000"/>
              </a:solidFill>
              <a:prstDash val="solid"/>
            </a:ln>
          </c:spPr>
          <c:explosion val="22"/>
          <c:dPt>
            <c:idx val="0"/>
            <c:bubble3D val="0"/>
            <c:explosion val="31"/>
          </c:dPt>
          <c:dPt>
            <c:idx val="2"/>
            <c:bubble3D val="0"/>
            <c:explosion val="33"/>
          </c:dPt>
          <c:dLbls>
            <c:dLbl>
              <c:idx val="0"/>
              <c:layout>
                <c:manualLayout>
                  <c:x val="3.3796514231271065E-2"/>
                  <c:y val="-1.5996809200528903E-2"/>
                </c:manualLayout>
              </c:layout>
              <c:tx>
                <c:rich>
                  <a:bodyPr/>
                  <a:lstStyle/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標楷體"/>
                        <a:ea typeface="標楷體"/>
                        <a:cs typeface="標楷體"/>
                      </a:defRPr>
                    </a:pPr>
                    <a:r>
                      <a:rPr lang="zh-TW" altLang="en-US" sz="1000" b="0" i="0" strike="noStrike">
                        <a:solidFill>
                          <a:srgbClr val="000000"/>
                        </a:solidFill>
                        <a:latin typeface="標楷體"/>
                        <a:ea typeface="標楷體"/>
                      </a:rPr>
                      <a:t>    投融資業務收入</a:t>
                    </a:r>
                  </a:p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標楷體"/>
                        <a:ea typeface="標楷體"/>
                        <a:cs typeface="標楷體"/>
                      </a:defRPr>
                    </a:pPr>
                    <a:r>
                      <a:rPr lang="zh-TW" altLang="en-US" sz="1000" b="0" i="0" strike="noStrike">
                        <a:solidFill>
                          <a:srgbClr val="000000"/>
                        </a:solidFill>
                        <a:latin typeface="標楷體"/>
                        <a:ea typeface="標楷體"/>
                      </a:rPr>
                      <a:t>   </a:t>
                    </a:r>
                    <a:r>
                      <a:rPr lang="en-US" altLang="zh-TW" sz="1000" b="0" i="0" strike="noStrike">
                        <a:solidFill>
                          <a:srgbClr val="000000"/>
                        </a:solidFill>
                        <a:latin typeface="Times New Roman"/>
                        <a:ea typeface="標楷體"/>
                        <a:cs typeface="Times New Roman"/>
                      </a:rPr>
                      <a:t>7</a:t>
                    </a:r>
                    <a:r>
                      <a:rPr lang="en-US" altLang="zh-TW" sz="1000" b="0" i="0" strike="noStrike">
                        <a:solidFill>
                          <a:srgbClr val="000000"/>
                        </a:solidFill>
                        <a:latin typeface="Times New Roman"/>
                        <a:cs typeface="Times New Roman"/>
                      </a:rPr>
                      <a:t>.52%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bestFit"/>
              <c:showLegendKey val="0"/>
              <c:showVal val="0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0.21310256996963617"/>
                  <c:y val="2.2585761588587012E-2"/>
                </c:manualLayout>
              </c:layout>
              <c:tx>
                <c:rich>
                  <a:bodyPr/>
                  <a:lstStyle/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標楷體"/>
                        <a:ea typeface="標楷體"/>
                        <a:cs typeface="標楷體"/>
                      </a:defRPr>
                    </a:pPr>
                    <a:r>
                      <a:rPr lang="zh-TW" altLang="en-US" sz="1000" b="0" i="0" strike="noStrike">
                        <a:solidFill>
                          <a:srgbClr val="000000"/>
                        </a:solidFill>
                        <a:latin typeface="標楷體"/>
                        <a:ea typeface="標楷體"/>
                      </a:rPr>
                      <a:t>    保險收入</a:t>
                    </a:r>
                  </a:p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標楷體"/>
                        <a:ea typeface="標楷體"/>
                        <a:cs typeface="標楷體"/>
                      </a:defRPr>
                    </a:pPr>
                    <a:r>
                      <a:rPr lang="zh-TW" altLang="en-US" sz="1000" b="0" i="0" strike="noStrike">
                        <a:solidFill>
                          <a:srgbClr val="000000"/>
                        </a:solidFill>
                        <a:latin typeface="標楷體"/>
                        <a:ea typeface="標楷體"/>
                      </a:rPr>
                      <a:t>    </a:t>
                    </a:r>
                    <a:r>
                      <a:rPr lang="en-US" altLang="zh-TW" sz="1000" b="0" i="0" strike="noStrike">
                        <a:solidFill>
                          <a:srgbClr val="000000"/>
                        </a:solidFill>
                        <a:latin typeface="Times New Roman"/>
                        <a:cs typeface="Times New Roman"/>
                      </a:rPr>
                      <a:t>91.50%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bestFit"/>
              <c:showLegendKey val="0"/>
              <c:showVal val="0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0.12150653850528462"/>
                  <c:y val="-8.7732003126004501E-2"/>
                </c:manualLayout>
              </c:layout>
              <c:tx>
                <c:rich>
                  <a:bodyPr/>
                  <a:lstStyle/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標楷體"/>
                        <a:ea typeface="標楷體"/>
                        <a:cs typeface="標楷體"/>
                      </a:defRPr>
                    </a:pPr>
                    <a:r>
                      <a:rPr lang="zh-TW" altLang="en-US" sz="1000" b="0" i="0" strike="noStrike">
                        <a:solidFill>
                          <a:srgbClr val="000000"/>
                        </a:solidFill>
                        <a:latin typeface="標楷體"/>
                        <a:ea typeface="標楷體"/>
                      </a:rPr>
                      <a:t>  其他業務收入</a:t>
                    </a:r>
                  </a:p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標楷體"/>
                        <a:ea typeface="標楷體"/>
                        <a:cs typeface="標楷體"/>
                      </a:defRPr>
                    </a:pPr>
                    <a:r>
                      <a:rPr lang="en-US" altLang="zh-TW" sz="1000" b="0" i="0" strike="noStrike">
                        <a:solidFill>
                          <a:srgbClr val="000000"/>
                        </a:solidFill>
                        <a:latin typeface="Times New Roman"/>
                        <a:cs typeface="Times New Roman"/>
                      </a:rPr>
                      <a:t>0.96%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bestFit"/>
              <c:showLegendKey val="0"/>
              <c:showVal val="0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1.7770495981523186E-2"/>
                  <c:y val="-0.12634243039008691"/>
                </c:manualLayout>
              </c:layout>
              <c:tx>
                <c:rich>
                  <a:bodyPr/>
                  <a:lstStyle/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標楷體"/>
                        <a:ea typeface="標楷體"/>
                        <a:cs typeface="標楷體"/>
                      </a:defRPr>
                    </a:pPr>
                    <a:r>
                      <a:rPr lang="zh-TW" altLang="en-US" sz="1000" b="0" i="0" strike="noStrike">
                        <a:solidFill>
                          <a:srgbClr val="000000"/>
                        </a:solidFill>
                        <a:latin typeface="標楷體"/>
                        <a:ea typeface="標楷體"/>
                      </a:rPr>
                      <a:t>業務外收入</a:t>
                    </a:r>
                  </a:p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標楷體"/>
                        <a:ea typeface="標楷體"/>
                        <a:cs typeface="標楷體"/>
                      </a:defRPr>
                    </a:pPr>
                    <a:r>
                      <a:rPr lang="en-US" altLang="zh-TW" sz="1000" b="0" i="0" strike="noStrike">
                        <a:solidFill>
                          <a:srgbClr val="000000"/>
                        </a:solidFill>
                        <a:latin typeface="Times New Roman"/>
                        <a:cs typeface="Times New Roman"/>
                      </a:rPr>
                      <a:t>0.02%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bestFit"/>
              <c:showLegendKey val="0"/>
              <c:showVal val="0"/>
              <c:showCatName val="0"/>
              <c:showSerName val="0"/>
              <c:showPercent val="0"/>
              <c:showBubbleSize val="0"/>
            </c:dLbl>
            <c:numFmt formatCode="0.00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標楷體"/>
                    <a:ea typeface="標楷體"/>
                    <a:cs typeface="標楷體"/>
                  </a:defRPr>
                </a:pPr>
                <a:endParaRPr lang="zh-TW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12700">
                  <a:solidFill>
                    <a:srgbClr val="000000"/>
                  </a:solidFill>
                  <a:prstDash val="solid"/>
                </a:ln>
              </c:spPr>
            </c:leaderLines>
          </c:dLbls>
          <c:cat>
            <c:strRef>
              <c:f>圖1!$A$22:$A$25</c:f>
              <c:strCache>
                <c:ptCount val="4"/>
                <c:pt idx="0">
                  <c:v>  投融資業務收入</c:v>
                </c:pt>
                <c:pt idx="1">
                  <c:v>  保險收入</c:v>
                </c:pt>
                <c:pt idx="2">
                  <c:v>  其他業務收入</c:v>
                </c:pt>
                <c:pt idx="3">
                  <c:v>業務外收入</c:v>
                </c:pt>
              </c:strCache>
            </c:strRef>
          </c:cat>
          <c:val>
            <c:numRef>
              <c:f>圖1!$B$22:$B$25</c:f>
              <c:numCache>
                <c:formatCode>#,##0_ ;[Red]\-#,##0\ </c:formatCode>
                <c:ptCount val="4"/>
                <c:pt idx="0">
                  <c:v>31473282</c:v>
                </c:pt>
                <c:pt idx="1">
                  <c:v>382942398</c:v>
                </c:pt>
                <c:pt idx="2">
                  <c:v>4015052</c:v>
                </c:pt>
                <c:pt idx="3">
                  <c:v>103795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9525">
      <a:noFill/>
    </a:ln>
  </c:spPr>
  <c:txPr>
    <a:bodyPr/>
    <a:lstStyle/>
    <a:p>
      <a:pPr>
        <a:defRPr sz="1625" b="0" i="0" u="none" strike="noStrike" baseline="0">
          <a:solidFill>
            <a:srgbClr val="000000"/>
          </a:solidFill>
          <a:latin typeface="新細明體"/>
          <a:ea typeface="新細明體"/>
          <a:cs typeface="新細明體"/>
        </a:defRPr>
      </a:pPr>
      <a:endParaRPr lang="zh-TW"/>
    </a:p>
  </c:txPr>
  <c:printSettings>
    <c:headerFooter alignWithMargins="0"/>
    <c:pageMargins b="1" l="0.75000000000000333" r="0.75000000000000333" t="1" header="0.5" footer="0.5"/>
    <c:pageSetup paperSize="9" orientation="landscape"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2"/>
      <c:rotY val="2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0"/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9525">
      <a:noFill/>
    </a:ln>
  </c:spPr>
  <c:txPr>
    <a:bodyPr/>
    <a:lstStyle/>
    <a:p>
      <a:pPr>
        <a:defRPr sz="425" b="0" i="0" u="none" strike="noStrike" baseline="0">
          <a:solidFill>
            <a:srgbClr val="000000"/>
          </a:solidFill>
          <a:latin typeface="新細明體"/>
          <a:ea typeface="新細明體"/>
          <a:cs typeface="新細明體"/>
        </a:defRPr>
      </a:pPr>
      <a:endParaRPr lang="zh-TW"/>
    </a:p>
  </c:txPr>
  <c:printSettings>
    <c:headerFooter alignWithMargins="0"/>
    <c:pageMargins b="1" l="0.75000000000000355" r="0.75000000000000355" t="1" header="0.5" footer="0.5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標楷體"/>
                <a:ea typeface="標楷體"/>
                <a:cs typeface="標楷體"/>
              </a:defRPr>
            </a:pPr>
            <a:r>
              <a:rPr lang="zh-TW" altLang="en-US" sz="1600" b="1" i="0" strike="noStrike">
                <a:solidFill>
                  <a:srgbClr val="000000"/>
                </a:solidFill>
                <a:latin typeface="標楷體"/>
                <a:ea typeface="標楷體"/>
              </a:rPr>
              <a:t>最近</a:t>
            </a:r>
            <a:r>
              <a:rPr lang="en-US" altLang="zh-TW" sz="1600" b="1" i="0" strike="noStrike">
                <a:solidFill>
                  <a:srgbClr val="000000"/>
                </a:solidFill>
                <a:latin typeface="Times New Roman"/>
                <a:cs typeface="Times New Roman"/>
              </a:rPr>
              <a:t>5</a:t>
            </a:r>
            <a:r>
              <a:rPr lang="zh-TW" altLang="en-US" sz="1600" b="1" i="0" strike="noStrike">
                <a:solidFill>
                  <a:srgbClr val="000000"/>
                </a:solidFill>
                <a:latin typeface="標楷體"/>
                <a:ea typeface="標楷體"/>
              </a:rPr>
              <a:t>年收入與費用</a:t>
            </a:r>
          </a:p>
        </c:rich>
      </c:tx>
      <c:layout>
        <c:manualLayout>
          <c:xMode val="edge"/>
          <c:yMode val="edge"/>
          <c:x val="0.37777832433206954"/>
          <c:y val="1.162792018068698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7185210048047048"/>
          <c:y val="0.17441880271030619"/>
          <c:w val="0.74074181241582815"/>
          <c:h val="0.6116286015041428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圖2!$A$18</c:f>
              <c:strCache>
                <c:ptCount val="1"/>
                <c:pt idx="0">
                  <c:v>收入合計</c:v>
                </c:pt>
              </c:strCache>
            </c:strRef>
          </c:tx>
          <c:spPr>
            <a:solidFill>
              <a:srgbClr val="96969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圖2!$B$26:$F$26</c:f>
              <c:numCache>
                <c:formatCode>General</c:formatCode>
                <c:ptCount val="5"/>
                <c:pt idx="0">
                  <c:v>102</c:v>
                </c:pt>
                <c:pt idx="1">
                  <c:v>103</c:v>
                </c:pt>
                <c:pt idx="2">
                  <c:v>104</c:v>
                </c:pt>
                <c:pt idx="3">
                  <c:v>105</c:v>
                </c:pt>
                <c:pt idx="4">
                  <c:v>106</c:v>
                </c:pt>
              </c:numCache>
            </c:numRef>
          </c:cat>
          <c:val>
            <c:numRef>
              <c:f>圖2!$B$30:$F$30</c:f>
              <c:numCache>
                <c:formatCode>#,##0</c:formatCode>
                <c:ptCount val="5"/>
                <c:pt idx="0">
                  <c:v>412068011000</c:v>
                </c:pt>
                <c:pt idx="1">
                  <c:v>422781119000</c:v>
                </c:pt>
                <c:pt idx="2">
                  <c:v>459501636000</c:v>
                </c:pt>
                <c:pt idx="3">
                  <c:v>384123306000</c:v>
                </c:pt>
                <c:pt idx="4">
                  <c:v>418534527000</c:v>
                </c:pt>
              </c:numCache>
            </c:numRef>
          </c:val>
        </c:ser>
        <c:ser>
          <c:idx val="0"/>
          <c:order val="1"/>
          <c:tx>
            <c:strRef>
              <c:f>圖2!$A$22</c:f>
              <c:strCache>
                <c:ptCount val="1"/>
                <c:pt idx="0">
                  <c:v>費用合計</c:v>
                </c:pt>
              </c:strCache>
            </c:strRef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圖2!$B$26:$F$26</c:f>
              <c:numCache>
                <c:formatCode>General</c:formatCode>
                <c:ptCount val="5"/>
                <c:pt idx="0">
                  <c:v>102</c:v>
                </c:pt>
                <c:pt idx="1">
                  <c:v>103</c:v>
                </c:pt>
                <c:pt idx="2">
                  <c:v>104</c:v>
                </c:pt>
                <c:pt idx="3">
                  <c:v>105</c:v>
                </c:pt>
                <c:pt idx="4">
                  <c:v>106</c:v>
                </c:pt>
              </c:numCache>
            </c:numRef>
          </c:cat>
          <c:val>
            <c:numRef>
              <c:f>圖2!$B$34:$F$34</c:f>
              <c:numCache>
                <c:formatCode>#,##0</c:formatCode>
                <c:ptCount val="5"/>
                <c:pt idx="0">
                  <c:v>412068011000</c:v>
                </c:pt>
                <c:pt idx="1">
                  <c:v>422781119000</c:v>
                </c:pt>
                <c:pt idx="2">
                  <c:v>459501636000</c:v>
                </c:pt>
                <c:pt idx="3">
                  <c:v>384123306000</c:v>
                </c:pt>
                <c:pt idx="4">
                  <c:v>418534527000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9640320"/>
        <c:axId val="133318912"/>
      </c:barChart>
      <c:catAx>
        <c:axId val="139640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標楷體"/>
                    <a:ea typeface="標楷體"/>
                    <a:cs typeface="標楷體"/>
                  </a:defRPr>
                </a:pPr>
                <a:r>
                  <a:rPr lang="zh-TW" altLang="en-US"/>
                  <a:t>年度</a:t>
                </a:r>
              </a:p>
            </c:rich>
          </c:tx>
          <c:layout>
            <c:manualLayout>
              <c:xMode val="edge"/>
              <c:yMode val="edge"/>
              <c:x val="0.89283966170895257"/>
              <c:y val="0.8015513642190075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  <a:cs typeface="新細明體"/>
              </a:defRPr>
            </a:pPr>
            <a:endParaRPr lang="zh-TW"/>
          </a:p>
        </c:txPr>
        <c:crossAx val="133318912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3331891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1200" b="0" i="0" u="none" strike="noStrike" baseline="0">
                    <a:solidFill>
                      <a:srgbClr val="000000"/>
                    </a:solidFill>
                    <a:latin typeface="標楷體"/>
                    <a:ea typeface="標楷體"/>
                    <a:cs typeface="標楷體"/>
                  </a:defRPr>
                </a:pPr>
                <a:r>
                  <a:rPr lang="zh-TW" altLang="en-US"/>
                  <a:t>百萬元</a:t>
                </a:r>
              </a:p>
            </c:rich>
          </c:tx>
          <c:layout>
            <c:manualLayout>
              <c:xMode val="edge"/>
              <c:yMode val="edge"/>
              <c:x val="8.0000115740908193E-2"/>
              <c:y val="4.6511680722747924E-2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  <a:cs typeface="新細明體"/>
              </a:defRPr>
            </a:pPr>
            <a:endParaRPr lang="zh-TW"/>
          </a:p>
        </c:txPr>
        <c:crossAx val="139640320"/>
        <c:crosses val="autoZero"/>
        <c:crossBetween val="between"/>
        <c:minorUnit val="1104780514.8156011"/>
        <c:dispUnits>
          <c:builtInUnit val="millions"/>
        </c:dispUnits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t"/>
      <c:legendEntry>
        <c:idx val="0"/>
        <c:txPr>
          <a:bodyPr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標楷體"/>
                <a:ea typeface="標楷體"/>
                <a:cs typeface="標楷體"/>
              </a:defRPr>
            </a:pPr>
            <a:endParaRPr lang="zh-TW"/>
          </a:p>
        </c:txPr>
      </c:legendEntry>
      <c:legendEntry>
        <c:idx val="1"/>
        <c:txPr>
          <a:bodyPr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標楷體"/>
                <a:ea typeface="標楷體"/>
                <a:cs typeface="標楷體"/>
              </a:defRPr>
            </a:pPr>
            <a:endParaRPr lang="zh-TW"/>
          </a:p>
        </c:txPr>
      </c:legendEntry>
      <c:layout>
        <c:manualLayout>
          <c:xMode val="edge"/>
          <c:yMode val="edge"/>
          <c:x val="0.76740851766279106"/>
          <c:y val="1.1627920180686981E-2"/>
          <c:w val="0.13185204261001535"/>
          <c:h val="0.11860478584300722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新細明體"/>
              <a:ea typeface="新細明體"/>
              <a:cs typeface="新細明體"/>
            </a:defRPr>
          </a:pPr>
          <a:endParaRPr lang="zh-TW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新細明體"/>
          <a:ea typeface="新細明體"/>
          <a:cs typeface="新細明體"/>
        </a:defRPr>
      </a:pPr>
      <a:endParaRPr lang="zh-TW"/>
    </a:p>
  </c:txPr>
  <c:printSettings>
    <c:headerFooter alignWithMargins="0">
      <c:oddHeader>&amp;A</c:oddHeader>
      <c:oddFooter>Page &amp;P</c:oddFooter>
    </c:headerFooter>
    <c:pageMargins b="1" l="0.75000000000000355" r="0.75000000000000355" t="1" header="0.5" footer="0.5"/>
    <c:pageSetup paperSize="9" orientation="landscape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17</xdr:row>
      <xdr:rowOff>0</xdr:rowOff>
    </xdr:from>
    <xdr:to>
      <xdr:col>4</xdr:col>
      <xdr:colOff>0</xdr:colOff>
      <xdr:row>17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18</xdr:row>
      <xdr:rowOff>200025</xdr:rowOff>
    </xdr:to>
    <xdr:graphicFrame macro="">
      <xdr:nvGraphicFramePr>
        <xdr:cNvPr id="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</xdr:row>
      <xdr:rowOff>0</xdr:rowOff>
    </xdr:from>
    <xdr:to>
      <xdr:col>4</xdr:col>
      <xdr:colOff>0</xdr:colOff>
      <xdr:row>10</xdr:row>
      <xdr:rowOff>95250</xdr:rowOff>
    </xdr:to>
    <xdr:graphicFrame macro="">
      <xdr:nvGraphicFramePr>
        <xdr:cNvPr id="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0.27306</cdr:x>
      <cdr:y>0.83969</cdr:y>
    </cdr:from>
    <cdr:to>
      <cdr:x>0.3699</cdr:x>
      <cdr:y>0.96376</cdr:y>
    </cdr:to>
    <cdr:sp macro="" textlink="">
      <cdr:nvSpPr>
        <cdr:cNvPr id="20488" name="Text Box 8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837273" y="2644140"/>
          <a:ext cx="651584" cy="39070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27432" tIns="27432" rIns="27432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本期賸餘</a:t>
          </a:r>
          <a:endParaRPr lang="zh-TW" altLang="en-US" sz="1000" b="0" i="0" strike="noStrike">
            <a:solidFill>
              <a:srgbClr val="000000"/>
            </a:solidFill>
            <a:latin typeface="新細明體"/>
            <a:ea typeface="新細明體"/>
          </a:endParaRPr>
        </a:p>
        <a:p xmlns:a="http://schemas.openxmlformats.org/drawingml/2006/main"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0.00%</a:t>
          </a: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0.4453</cdr:x>
      <cdr:y>0.08954</cdr:y>
    </cdr:from>
    <cdr:to>
      <cdr:x>0.45959</cdr:x>
      <cdr:y>0.20131</cdr:y>
    </cdr:to>
    <cdr:sp macro="" textlink="">
      <cdr:nvSpPr>
        <cdr:cNvPr id="5325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950996" y="285465"/>
          <a:ext cx="94607" cy="35238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  <a:effectLst xmlns:a="http://schemas.openxmlformats.org/drawingml/2006/main"/>
      </cdr:spPr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0</xdr:rowOff>
    </xdr:from>
    <xdr:to>
      <xdr:col>4</xdr:col>
      <xdr:colOff>0</xdr:colOff>
      <xdr:row>11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</xdr:row>
      <xdr:rowOff>9525</xdr:rowOff>
    </xdr:from>
    <xdr:to>
      <xdr:col>5</xdr:col>
      <xdr:colOff>952500</xdr:colOff>
      <xdr:row>12</xdr:row>
      <xdr:rowOff>38100</xdr:rowOff>
    </xdr:to>
    <xdr:graphicFrame macro="">
      <xdr:nvGraphicFramePr>
        <xdr:cNvPr id="3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0.24779</cdr:x>
      <cdr:y>0.15031</cdr:y>
    </cdr:from>
    <cdr:to>
      <cdr:x>0.26257</cdr:x>
      <cdr:y>0.2199</cdr:y>
    </cdr:to>
    <cdr:sp macro="" textlink="">
      <cdr:nvSpPr>
        <cdr:cNvPr id="6144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598651" y="620224"/>
          <a:ext cx="95154" cy="28571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  <a:effectLst xmlns:a="http://schemas.openxmlformats.org/drawingml/2006/main"/>
      </cdr:spPr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06&#21508;&#20445;&#21029;&#20027;&#35201;&#3492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收支預計表-總"/>
      <sheetName val="收支預計表 (勞)"/>
      <sheetName val="收支預計表 (就)"/>
      <sheetName val="收支預計表 (農)"/>
      <sheetName val="現金流量表-總"/>
      <sheetName val="現金流量表-勞"/>
      <sheetName val="現金流量表-就"/>
      <sheetName val="現金流量表-農"/>
      <sheetName val="現金流量表-職"/>
      <sheetName val="平衡表-總尚待修正"/>
      <sheetName val="平衡表-勞"/>
      <sheetName val="平衡表-就"/>
      <sheetName val="平衡表-農"/>
      <sheetName val="平衡表-總 (2)"/>
      <sheetName val="平衡表-勞(2)"/>
      <sheetName val="平衡表-就(2)"/>
      <sheetName val="平衡表-農(2)"/>
      <sheetName val="平衡表-職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9">
          <cell r="A9">
            <v>741936101</v>
          </cell>
        </row>
        <row r="79">
          <cell r="C79">
            <v>4584</v>
          </cell>
          <cell r="D79">
            <v>4584</v>
          </cell>
        </row>
      </sheetData>
      <sheetData sheetId="15" refreshError="1">
        <row r="9">
          <cell r="A9">
            <v>109176025</v>
          </cell>
        </row>
        <row r="43">
          <cell r="D43">
            <v>114692046</v>
          </cell>
        </row>
        <row r="49">
          <cell r="C49">
            <v>0</v>
          </cell>
          <cell r="D49">
            <v>0</v>
          </cell>
        </row>
      </sheetData>
      <sheetData sheetId="16" refreshError="1"/>
      <sheetData sheetId="17" refreshError="1">
        <row r="9">
          <cell r="A9">
            <v>10980051</v>
          </cell>
        </row>
        <row r="42">
          <cell r="C42">
            <v>0</v>
          </cell>
          <cell r="D42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34"/>
  <sheetViews>
    <sheetView showGridLines="0" zoomScaleNormal="50" workbookViewId="0">
      <selection activeCell="H23" sqref="H23"/>
    </sheetView>
  </sheetViews>
  <sheetFormatPr defaultColWidth="12" defaultRowHeight="21"/>
  <cols>
    <col min="1" max="2" width="21.109375" style="600" customWidth="1"/>
    <col min="3" max="3" width="23.33203125" style="600" customWidth="1"/>
    <col min="4" max="4" width="21.109375" style="600" customWidth="1"/>
    <col min="5" max="5" width="13.77734375" style="600" hidden="1" customWidth="1"/>
    <col min="6" max="16384" width="12" style="600"/>
  </cols>
  <sheetData>
    <row r="1" spans="1:2" s="599" customFormat="1" ht="30" customHeight="1">
      <c r="A1" s="597" t="s">
        <v>835</v>
      </c>
      <c r="B1" s="598" t="s">
        <v>836</v>
      </c>
    </row>
    <row r="2" spans="1:2" s="599" customFormat="1" ht="30" customHeight="1">
      <c r="A2" s="597"/>
    </row>
    <row r="3" spans="1:2" ht="30" customHeight="1"/>
    <row r="4" spans="1:2" ht="30" customHeight="1"/>
    <row r="5" spans="1:2" ht="30" customHeight="1"/>
    <row r="6" spans="1:2" ht="30" customHeight="1"/>
    <row r="7" spans="1:2" ht="30" customHeight="1"/>
    <row r="8" spans="1:2" ht="30" customHeight="1"/>
    <row r="9" spans="1:2" ht="30" customHeight="1"/>
    <row r="10" spans="1:2" ht="30" customHeight="1"/>
    <row r="11" spans="1:2" ht="30" customHeight="1"/>
    <row r="12" spans="1:2" ht="30" customHeight="1"/>
    <row r="13" spans="1:2" ht="30" customHeight="1"/>
    <row r="14" spans="1:2" ht="30" customHeight="1"/>
    <row r="15" spans="1:2" ht="30" customHeight="1"/>
    <row r="16" spans="1:2" ht="30" customHeight="1"/>
    <row r="17" spans="1:5" ht="30" customHeight="1"/>
    <row r="19" spans="1:5">
      <c r="D19" s="601" t="s">
        <v>837</v>
      </c>
    </row>
    <row r="20" spans="1:5" ht="24" customHeight="1">
      <c r="A20" s="602" t="s">
        <v>838</v>
      </c>
      <c r="B20" s="603" t="s">
        <v>839</v>
      </c>
      <c r="C20" s="602" t="s">
        <v>840</v>
      </c>
      <c r="D20" s="603" t="s">
        <v>839</v>
      </c>
    </row>
    <row r="21" spans="1:5" ht="24" customHeight="1">
      <c r="A21" s="604" t="s">
        <v>19</v>
      </c>
      <c r="B21" s="605">
        <f>SUM(B22:B24)</f>
        <v>418430732</v>
      </c>
      <c r="C21" s="606" t="s">
        <v>841</v>
      </c>
      <c r="D21" s="607">
        <f>SUM(D22:D24)</f>
        <v>418534437</v>
      </c>
    </row>
    <row r="22" spans="1:5" ht="24" customHeight="1">
      <c r="A22" s="608" t="s">
        <v>842</v>
      </c>
      <c r="B22" s="609">
        <v>31473282</v>
      </c>
      <c r="C22" s="610" t="s">
        <v>843</v>
      </c>
      <c r="D22" s="611">
        <v>1100732</v>
      </c>
    </row>
    <row r="23" spans="1:5" ht="24" customHeight="1">
      <c r="A23" s="608" t="s">
        <v>844</v>
      </c>
      <c r="B23" s="609">
        <v>382942398</v>
      </c>
      <c r="C23" s="610" t="s">
        <v>845</v>
      </c>
      <c r="D23" s="611">
        <v>414923371</v>
      </c>
    </row>
    <row r="24" spans="1:5" ht="24" customHeight="1">
      <c r="A24" s="608" t="s">
        <v>846</v>
      </c>
      <c r="B24" s="609">
        <v>4015052</v>
      </c>
      <c r="C24" s="610" t="s">
        <v>847</v>
      </c>
      <c r="D24" s="611">
        <v>2510334</v>
      </c>
    </row>
    <row r="25" spans="1:5" ht="24" customHeight="1">
      <c r="A25" s="612" t="s">
        <v>848</v>
      </c>
      <c r="B25" s="613">
        <v>103795</v>
      </c>
      <c r="C25" s="614" t="s">
        <v>849</v>
      </c>
      <c r="D25" s="615">
        <v>90</v>
      </c>
    </row>
    <row r="26" spans="1:5" ht="24" customHeight="1">
      <c r="A26" s="616"/>
      <c r="B26" s="617"/>
      <c r="C26" s="618" t="s">
        <v>850</v>
      </c>
      <c r="D26" s="619" t="s">
        <v>11</v>
      </c>
    </row>
    <row r="27" spans="1:5" ht="24" customHeight="1">
      <c r="A27" s="620" t="s">
        <v>851</v>
      </c>
      <c r="B27" s="621">
        <f>B21+B25</f>
        <v>418534527</v>
      </c>
      <c r="C27" s="620" t="s">
        <v>852</v>
      </c>
      <c r="D27" s="622">
        <f>D21+D25</f>
        <v>418534527</v>
      </c>
      <c r="E27" s="623">
        <f>B27-D27</f>
        <v>0</v>
      </c>
    </row>
    <row r="28" spans="1:5" hidden="1">
      <c r="B28" s="624">
        <f>B22/$B$27</f>
        <v>7.5198770877032084E-2</v>
      </c>
      <c r="C28" s="625">
        <v>7.52</v>
      </c>
      <c r="D28" s="624">
        <f>D22/$D$27</f>
        <v>2.6299670134502426E-3</v>
      </c>
      <c r="E28" s="625">
        <v>0.26</v>
      </c>
    </row>
    <row r="29" spans="1:5" hidden="1">
      <c r="B29" s="624">
        <f>B23/$B$27</f>
        <v>0.9149601127172956</v>
      </c>
      <c r="C29" s="625">
        <v>91.5</v>
      </c>
      <c r="D29" s="624">
        <f>D23/$D$27</f>
        <v>0.99137190418701104</v>
      </c>
      <c r="E29" s="625">
        <v>99.14</v>
      </c>
    </row>
    <row r="30" spans="1:5" hidden="1">
      <c r="B30" s="624">
        <f>B24/$B$27</f>
        <v>9.5931201394048905E-3</v>
      </c>
      <c r="C30" s="625">
        <v>0.96</v>
      </c>
      <c r="D30" s="624">
        <f>D24/$D$27</f>
        <v>5.9979137635160981E-3</v>
      </c>
      <c r="E30" s="625">
        <v>0.6</v>
      </c>
    </row>
    <row r="31" spans="1:5" hidden="1">
      <c r="B31" s="624">
        <f>B25/$B$27</f>
        <v>2.4799626626741838E-4</v>
      </c>
      <c r="C31" s="625">
        <v>0.02</v>
      </c>
      <c r="D31" s="624">
        <f>D25/$D$27</f>
        <v>2.1503602258362785E-7</v>
      </c>
      <c r="E31" s="625">
        <v>0</v>
      </c>
    </row>
    <row r="32" spans="1:5" hidden="1">
      <c r="B32" s="624">
        <f>SUM(B28:B31)</f>
        <v>1</v>
      </c>
      <c r="C32" s="625">
        <f>SUM(C28:C31)</f>
        <v>99.999999999999986</v>
      </c>
      <c r="D32" s="624">
        <f>SUM(D28:D31)</f>
        <v>0.99999999999999989</v>
      </c>
      <c r="E32" s="625">
        <f>SUM(E28:E31)</f>
        <v>100</v>
      </c>
    </row>
    <row r="33" hidden="1"/>
    <row r="34" hidden="1"/>
  </sheetData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8" orientation="portrait" useFirstPageNumber="1" r:id="rId1"/>
  <headerFooter alignWithMargins="0">
    <oddFooter xml:space="preserve">&amp;C&amp;"Times New Roman,標準"&amp;12 &amp;P 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38"/>
  <sheetViews>
    <sheetView showGridLines="0" topLeftCell="A22" zoomScaleNormal="50" workbookViewId="0">
      <selection activeCell="A24" sqref="A24:F24"/>
    </sheetView>
  </sheetViews>
  <sheetFormatPr defaultColWidth="12" defaultRowHeight="21"/>
  <cols>
    <col min="1" max="1" width="17.88671875" style="600" bestFit="1" customWidth="1"/>
    <col min="2" max="6" width="13.44140625" style="600" customWidth="1"/>
    <col min="7" max="16384" width="12" style="600"/>
  </cols>
  <sheetData>
    <row r="1" spans="1:6" s="599" customFormat="1" ht="30" customHeight="1">
      <c r="A1" s="597" t="s">
        <v>853</v>
      </c>
    </row>
    <row r="2" spans="1:6" s="599" customFormat="1" ht="30" customHeight="1">
      <c r="A2" s="597"/>
      <c r="C2" s="598"/>
    </row>
    <row r="3" spans="1:6" ht="30" customHeight="1"/>
    <row r="4" spans="1:6" ht="30" customHeight="1"/>
    <row r="5" spans="1:6" ht="30" customHeight="1"/>
    <row r="6" spans="1:6" ht="30" customHeight="1"/>
    <row r="7" spans="1:6" ht="30" customHeight="1"/>
    <row r="8" spans="1:6" ht="30" customHeight="1"/>
    <row r="9" spans="1:6" ht="30" customHeight="1"/>
    <row r="10" spans="1:6" ht="30" customHeight="1"/>
    <row r="11" spans="1:6" ht="30" customHeight="1"/>
    <row r="13" spans="1:6">
      <c r="F13" s="626" t="s">
        <v>854</v>
      </c>
    </row>
    <row r="14" spans="1:6" s="629" customFormat="1" ht="41.25" customHeight="1">
      <c r="A14" s="627" t="s">
        <v>855</v>
      </c>
      <c r="B14" s="628" t="s">
        <v>856</v>
      </c>
      <c r="C14" s="628" t="s">
        <v>857</v>
      </c>
      <c r="D14" s="628" t="s">
        <v>858</v>
      </c>
      <c r="E14" s="628" t="s">
        <v>859</v>
      </c>
      <c r="F14" s="628" t="s">
        <v>860</v>
      </c>
    </row>
    <row r="15" spans="1:6" s="632" customFormat="1" ht="30" customHeight="1">
      <c r="A15" s="630" t="s">
        <v>861</v>
      </c>
      <c r="B15" s="631"/>
      <c r="C15" s="631"/>
      <c r="D15" s="631"/>
      <c r="E15" s="631"/>
      <c r="F15" s="631"/>
    </row>
    <row r="16" spans="1:6" s="635" customFormat="1" ht="30" customHeight="1">
      <c r="A16" s="633" t="s">
        <v>862</v>
      </c>
      <c r="B16" s="634">
        <v>411938486</v>
      </c>
      <c r="C16" s="634">
        <v>422645485</v>
      </c>
      <c r="D16" s="634">
        <v>459375726</v>
      </c>
      <c r="E16" s="634">
        <v>384026345</v>
      </c>
      <c r="F16" s="634">
        <v>418430732</v>
      </c>
    </row>
    <row r="17" spans="1:6" s="635" customFormat="1" ht="30" customHeight="1">
      <c r="A17" s="633" t="s">
        <v>863</v>
      </c>
      <c r="B17" s="634">
        <v>129525</v>
      </c>
      <c r="C17" s="634">
        <v>135634</v>
      </c>
      <c r="D17" s="634">
        <v>125910</v>
      </c>
      <c r="E17" s="634">
        <v>96961</v>
      </c>
      <c r="F17" s="634">
        <v>103795</v>
      </c>
    </row>
    <row r="18" spans="1:6" s="638" customFormat="1" ht="30" customHeight="1">
      <c r="A18" s="636" t="s">
        <v>864</v>
      </c>
      <c r="B18" s="637">
        <f>SUM(B16:B17)</f>
        <v>412068011</v>
      </c>
      <c r="C18" s="637">
        <f>SUM(C16:C17)</f>
        <v>422781119</v>
      </c>
      <c r="D18" s="637">
        <f>SUM(D16:D17)</f>
        <v>459501636</v>
      </c>
      <c r="E18" s="637">
        <f>SUM(E16:E17)</f>
        <v>384123306</v>
      </c>
      <c r="F18" s="637">
        <f>SUM(F16:F17)</f>
        <v>418534527</v>
      </c>
    </row>
    <row r="19" spans="1:6" s="638" customFormat="1" ht="30" customHeight="1">
      <c r="A19" s="639" t="s">
        <v>865</v>
      </c>
      <c r="B19" s="640"/>
      <c r="C19" s="640"/>
      <c r="D19" s="640"/>
      <c r="E19" s="640"/>
      <c r="F19" s="640"/>
    </row>
    <row r="20" spans="1:6" s="635" customFormat="1" ht="30" customHeight="1">
      <c r="A20" s="633" t="s">
        <v>866</v>
      </c>
      <c r="B20" s="634">
        <v>412067692</v>
      </c>
      <c r="C20" s="634">
        <v>422779272</v>
      </c>
      <c r="D20" s="634">
        <v>459501120</v>
      </c>
      <c r="E20" s="634">
        <v>384123216</v>
      </c>
      <c r="F20" s="634">
        <v>418534437</v>
      </c>
    </row>
    <row r="21" spans="1:6" s="635" customFormat="1" ht="30" customHeight="1">
      <c r="A21" s="633" t="s">
        <v>867</v>
      </c>
      <c r="B21" s="634">
        <v>319</v>
      </c>
      <c r="C21" s="634">
        <v>1847</v>
      </c>
      <c r="D21" s="634">
        <v>516</v>
      </c>
      <c r="E21" s="634">
        <v>90</v>
      </c>
      <c r="F21" s="634">
        <v>90</v>
      </c>
    </row>
    <row r="22" spans="1:6" s="632" customFormat="1" ht="30" customHeight="1">
      <c r="A22" s="636" t="s">
        <v>868</v>
      </c>
      <c r="B22" s="637">
        <f>SUM(B20:B21)</f>
        <v>412068011</v>
      </c>
      <c r="C22" s="637">
        <f>SUM(C20:C21)</f>
        <v>422781119</v>
      </c>
      <c r="D22" s="637">
        <f>SUM(D20:D21)</f>
        <v>459501636</v>
      </c>
      <c r="E22" s="637">
        <f>SUM(E20:E21)</f>
        <v>384123306</v>
      </c>
      <c r="F22" s="637">
        <f>SUM(F20:F21)</f>
        <v>418534527</v>
      </c>
    </row>
    <row r="23" spans="1:6" s="632" customFormat="1" ht="30" customHeight="1">
      <c r="A23" s="641" t="s">
        <v>869</v>
      </c>
      <c r="B23" s="642">
        <f>B18-B22</f>
        <v>0</v>
      </c>
      <c r="C23" s="642">
        <f>C18-C22</f>
        <v>0</v>
      </c>
      <c r="D23" s="642">
        <f>D18-D22</f>
        <v>0</v>
      </c>
      <c r="E23" s="642">
        <f>E18-E22</f>
        <v>0</v>
      </c>
      <c r="F23" s="642">
        <f>F18-F22</f>
        <v>0</v>
      </c>
    </row>
    <row r="24" spans="1:6" s="632" customFormat="1" ht="70.5" customHeight="1">
      <c r="A24" s="790" t="s">
        <v>1138</v>
      </c>
      <c r="B24" s="791"/>
      <c r="C24" s="791"/>
      <c r="D24" s="791"/>
      <c r="E24" s="791"/>
      <c r="F24" s="791"/>
    </row>
    <row r="25" spans="1:6" ht="49.8" customHeight="1" thickBot="1"/>
    <row r="26" spans="1:6" ht="2.4" customHeight="1">
      <c r="A26" s="643" t="s">
        <v>870</v>
      </c>
      <c r="B26" s="644">
        <v>102</v>
      </c>
      <c r="C26" s="645">
        <v>103</v>
      </c>
      <c r="D26" s="645">
        <v>104</v>
      </c>
      <c r="E26" s="645">
        <v>105</v>
      </c>
      <c r="F26" s="646">
        <v>106</v>
      </c>
    </row>
    <row r="27" spans="1:6" ht="2.4" customHeight="1">
      <c r="A27" s="647" t="s">
        <v>871</v>
      </c>
      <c r="B27" s="648"/>
      <c r="C27" s="648"/>
      <c r="D27" s="648"/>
      <c r="E27" s="649"/>
      <c r="F27" s="650"/>
    </row>
    <row r="28" spans="1:6" ht="2.4" customHeight="1">
      <c r="A28" s="651" t="s">
        <v>872</v>
      </c>
      <c r="B28" s="652">
        <v>411938486000</v>
      </c>
      <c r="C28" s="652">
        <v>422645485000</v>
      </c>
      <c r="D28" s="652">
        <v>459375726000</v>
      </c>
      <c r="E28" s="653">
        <v>384026345000</v>
      </c>
      <c r="F28" s="653">
        <v>418430732000</v>
      </c>
    </row>
    <row r="29" spans="1:6" ht="2.4" customHeight="1">
      <c r="A29" s="651" t="s">
        <v>873</v>
      </c>
      <c r="B29" s="652">
        <v>129525000</v>
      </c>
      <c r="C29" s="652">
        <v>135634000</v>
      </c>
      <c r="D29" s="652">
        <v>125910000</v>
      </c>
      <c r="E29" s="653">
        <v>96961000</v>
      </c>
      <c r="F29" s="653">
        <v>103795000</v>
      </c>
    </row>
    <row r="30" spans="1:6" ht="2.4" customHeight="1">
      <c r="A30" s="654" t="s">
        <v>874</v>
      </c>
      <c r="B30" s="655">
        <f>SUM(B28:B29)</f>
        <v>412068011000</v>
      </c>
      <c r="C30" s="655">
        <f>SUM(C28:C29)</f>
        <v>422781119000</v>
      </c>
      <c r="D30" s="655">
        <f>SUM(D28:D29)</f>
        <v>459501636000</v>
      </c>
      <c r="E30" s="656">
        <f>SUM(E28:E29)</f>
        <v>384123306000</v>
      </c>
      <c r="F30" s="657">
        <f>SUM(F28:F29)</f>
        <v>418534527000</v>
      </c>
    </row>
    <row r="31" spans="1:6" ht="2.4" customHeight="1">
      <c r="A31" s="658" t="str">
        <f>A19</f>
        <v>費用</v>
      </c>
      <c r="B31" s="659"/>
      <c r="C31" s="659"/>
      <c r="D31" s="659"/>
      <c r="E31" s="660"/>
      <c r="F31" s="661"/>
    </row>
    <row r="32" spans="1:6" ht="2.4" customHeight="1">
      <c r="A32" s="651" t="s">
        <v>875</v>
      </c>
      <c r="B32" s="652">
        <v>412067692000</v>
      </c>
      <c r="C32" s="652">
        <v>422779272000</v>
      </c>
      <c r="D32" s="652">
        <v>459501120000</v>
      </c>
      <c r="E32" s="653">
        <v>384123216000</v>
      </c>
      <c r="F32" s="653">
        <v>418534437000</v>
      </c>
    </row>
    <row r="33" spans="1:6" ht="2.4" customHeight="1">
      <c r="A33" s="651" t="s">
        <v>876</v>
      </c>
      <c r="B33" s="652">
        <v>319000</v>
      </c>
      <c r="C33" s="652">
        <v>1847000</v>
      </c>
      <c r="D33" s="652">
        <v>516000</v>
      </c>
      <c r="E33" s="653">
        <v>90000</v>
      </c>
      <c r="F33" s="653">
        <v>90000</v>
      </c>
    </row>
    <row r="34" spans="1:6" ht="2.4" customHeight="1">
      <c r="A34" s="654" t="str">
        <f>A22</f>
        <v>費用合計</v>
      </c>
      <c r="B34" s="655">
        <f>SUM(B32:B33)</f>
        <v>412068011000</v>
      </c>
      <c r="C34" s="655">
        <f>SUM(C32:C33)</f>
        <v>422781119000</v>
      </c>
      <c r="D34" s="655">
        <f>SUM(D32:D33)</f>
        <v>459501636000</v>
      </c>
      <c r="E34" s="656">
        <f>SUM(E32:E33)</f>
        <v>384123306000</v>
      </c>
      <c r="F34" s="657">
        <f>SUM(F32:F33)</f>
        <v>418534527000</v>
      </c>
    </row>
    <row r="35" spans="1:6" ht="2.4" customHeight="1" thickBot="1">
      <c r="A35" s="662" t="s">
        <v>877</v>
      </c>
      <c r="B35" s="663">
        <f>B30-B34</f>
        <v>0</v>
      </c>
      <c r="C35" s="663">
        <f>C30-C34</f>
        <v>0</v>
      </c>
      <c r="D35" s="663">
        <f>D30-D34</f>
        <v>0</v>
      </c>
      <c r="E35" s="664">
        <f>E30-E34</f>
        <v>0</v>
      </c>
      <c r="F35" s="665">
        <f>F30-F34</f>
        <v>0</v>
      </c>
    </row>
    <row r="36" spans="1:6" ht="49.95" customHeight="1"/>
    <row r="37" spans="1:6" ht="49.95" customHeight="1"/>
    <row r="38" spans="1:6" ht="49.95" customHeight="1"/>
  </sheetData>
  <mergeCells count="1">
    <mergeCell ref="A24:F24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9" orientation="portrait" useFirstPageNumber="1" r:id="rId1"/>
  <headerFooter alignWithMargins="0">
    <oddFooter xml:space="preserve">&amp;C&amp;"Times New Roman,標準"&amp;12 &amp;P 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M156"/>
  <sheetViews>
    <sheetView topLeftCell="A128" zoomScaleSheetLayoutView="125" workbookViewId="0">
      <selection activeCell="A133" sqref="A133:I133"/>
    </sheetView>
  </sheetViews>
  <sheetFormatPr defaultColWidth="9" defaultRowHeight="15.6"/>
  <cols>
    <col min="1" max="1" width="10.44140625" style="2" customWidth="1"/>
    <col min="2" max="2" width="6.44140625" style="2" customWidth="1"/>
    <col min="3" max="3" width="21.88671875" style="2" customWidth="1"/>
    <col min="4" max="4" width="10.44140625" style="167" customWidth="1"/>
    <col min="5" max="5" width="6.44140625" style="320" customWidth="1"/>
    <col min="6" max="6" width="10.44140625" style="2" customWidth="1"/>
    <col min="7" max="7" width="6.44140625" style="2" customWidth="1"/>
    <col min="8" max="8" width="10.44140625" style="2" customWidth="1"/>
    <col min="9" max="9" width="6.6640625" style="2" customWidth="1"/>
    <col min="10" max="10" width="9.44140625" style="2" customWidth="1"/>
    <col min="11" max="11" width="11.77734375" style="2" hidden="1" customWidth="1"/>
    <col min="12" max="12" width="13.6640625" style="2" hidden="1" customWidth="1"/>
    <col min="13" max="13" width="10.88671875" style="2" hidden="1" customWidth="1"/>
    <col min="14" max="14" width="9.77734375" style="2" customWidth="1"/>
    <col min="15" max="16384" width="9" style="2"/>
  </cols>
  <sheetData>
    <row r="1" spans="1:13" ht="21" customHeight="1">
      <c r="A1" s="797" t="s">
        <v>44</v>
      </c>
      <c r="B1" s="798"/>
      <c r="C1" s="798"/>
      <c r="D1" s="798"/>
      <c r="E1" s="798"/>
      <c r="F1" s="798"/>
      <c r="G1" s="798"/>
      <c r="H1" s="798"/>
      <c r="I1" s="798"/>
    </row>
    <row r="2" spans="1:13" ht="21" customHeight="1">
      <c r="A2" s="797" t="s">
        <v>34</v>
      </c>
      <c r="B2" s="798"/>
      <c r="C2" s="798"/>
      <c r="D2" s="798"/>
      <c r="E2" s="798"/>
      <c r="F2" s="798"/>
      <c r="G2" s="798"/>
      <c r="H2" s="798"/>
      <c r="I2" s="798"/>
    </row>
    <row r="3" spans="1:13" ht="24.9" customHeight="1">
      <c r="A3" s="799" t="s">
        <v>142</v>
      </c>
      <c r="B3" s="800"/>
      <c r="C3" s="800"/>
      <c r="D3" s="800"/>
      <c r="E3" s="800"/>
      <c r="F3" s="800"/>
      <c r="G3" s="800"/>
      <c r="H3" s="800"/>
      <c r="I3" s="800"/>
    </row>
    <row r="4" spans="1:13" ht="24.9" customHeight="1" thickBot="1">
      <c r="A4" s="801" t="s">
        <v>92</v>
      </c>
      <c r="B4" s="802"/>
      <c r="C4" s="802"/>
      <c r="D4" s="802"/>
      <c r="E4" s="802"/>
      <c r="F4" s="802"/>
      <c r="G4" s="802"/>
      <c r="H4" s="802"/>
      <c r="I4" s="802"/>
    </row>
    <row r="5" spans="1:13" ht="21" customHeight="1">
      <c r="A5" s="804" t="s">
        <v>2</v>
      </c>
      <c r="B5" s="793"/>
      <c r="C5" s="792" t="s">
        <v>18</v>
      </c>
      <c r="D5" s="792" t="s">
        <v>45</v>
      </c>
      <c r="E5" s="793"/>
      <c r="F5" s="792" t="s">
        <v>46</v>
      </c>
      <c r="G5" s="793"/>
      <c r="H5" s="792" t="s">
        <v>21</v>
      </c>
      <c r="I5" s="803"/>
    </row>
    <row r="6" spans="1:13" ht="19.5" customHeight="1">
      <c r="A6" s="165" t="s">
        <v>62</v>
      </c>
      <c r="B6" s="166" t="s">
        <v>10</v>
      </c>
      <c r="C6" s="805"/>
      <c r="D6" s="315" t="s">
        <v>47</v>
      </c>
      <c r="E6" s="316" t="s">
        <v>10</v>
      </c>
      <c r="F6" s="166" t="s">
        <v>47</v>
      </c>
      <c r="G6" s="166" t="s">
        <v>10</v>
      </c>
      <c r="H6" s="166" t="s">
        <v>47</v>
      </c>
      <c r="I6" s="317" t="s">
        <v>10</v>
      </c>
    </row>
    <row r="7" spans="1:13" ht="8.25" customHeight="1">
      <c r="A7" s="175"/>
      <c r="B7" s="176"/>
      <c r="C7" s="177"/>
      <c r="D7" s="178"/>
      <c r="E7" s="318"/>
      <c r="F7" s="176"/>
      <c r="G7" s="176"/>
      <c r="H7" s="176"/>
      <c r="I7" s="319"/>
    </row>
    <row r="8" spans="1:13" s="31" customFormat="1" ht="25.2" customHeight="1">
      <c r="A8" s="337">
        <v>459375726</v>
      </c>
      <c r="B8" s="338">
        <v>100</v>
      </c>
      <c r="C8" s="297" t="s">
        <v>19</v>
      </c>
      <c r="D8" s="348">
        <f>SUM(D9,D34,D46)</f>
        <v>418430732</v>
      </c>
      <c r="E8" s="349">
        <v>100</v>
      </c>
      <c r="F8" s="348">
        <f>SUM(F9,F34,F46)</f>
        <v>384026345</v>
      </c>
      <c r="G8" s="338">
        <v>100</v>
      </c>
      <c r="H8" s="348">
        <f>D8-F8</f>
        <v>34404387</v>
      </c>
      <c r="I8" s="350">
        <f>ROUND(H8/F8*100,2)</f>
        <v>8.9600000000000009</v>
      </c>
      <c r="K8" s="244">
        <f>ROUND(A8/$A$8*100,5)</f>
        <v>100</v>
      </c>
      <c r="L8" s="244">
        <f>ROUND(D8/$D$8*100,5)</f>
        <v>100</v>
      </c>
      <c r="M8" s="244">
        <f>ROUND(F8/$F$8*100,5)</f>
        <v>100</v>
      </c>
    </row>
    <row r="9" spans="1:13" s="31" customFormat="1" ht="25.2" customHeight="1">
      <c r="A9" s="337">
        <v>99336421</v>
      </c>
      <c r="B9" s="338">
        <f>ROUND(A9/$A$8*100,2)</f>
        <v>21.62</v>
      </c>
      <c r="C9" s="297" t="s">
        <v>457</v>
      </c>
      <c r="D9" s="348">
        <f>D10+D12+D14+D17+D19+D21+D30+D28</f>
        <v>31473282</v>
      </c>
      <c r="E9" s="349">
        <f t="shared" ref="E9:E10" si="0">ROUND(D9/$D$8*100,2)</f>
        <v>7.52</v>
      </c>
      <c r="F9" s="348">
        <f>F10+F12+F14+F17+F19+F21+F30+F28</f>
        <v>29000631</v>
      </c>
      <c r="G9" s="338">
        <f t="shared" ref="G9:G77" si="1">ROUND(F9/$F$8*100,2)</f>
        <v>7.55</v>
      </c>
      <c r="H9" s="348">
        <f>D9-F9</f>
        <v>2472651</v>
      </c>
      <c r="I9" s="350">
        <f>ROUND(H9/F9*100,2)</f>
        <v>8.5299999999999994</v>
      </c>
      <c r="K9" s="244">
        <f>ROUND(A9/$A$8*100,5)</f>
        <v>21.624220000000001</v>
      </c>
      <c r="L9" s="244">
        <f>ROUND(D9/$D$8*100,5)</f>
        <v>7.5217400000000003</v>
      </c>
      <c r="M9" s="244">
        <f t="shared" ref="M9:M124" si="2">ROUND(F9/$F$8*100,5)</f>
        <v>7.5517300000000001</v>
      </c>
    </row>
    <row r="10" spans="1:13" s="10" customFormat="1" ht="25.2" customHeight="1">
      <c r="A10" s="339">
        <v>8163194</v>
      </c>
      <c r="B10" s="340">
        <f t="shared" ref="B10:B78" si="3">ROUND(A10/$A$8*100,2)</f>
        <v>1.78</v>
      </c>
      <c r="C10" s="298" t="s">
        <v>458</v>
      </c>
      <c r="D10" s="351">
        <f>D11</f>
        <v>0</v>
      </c>
      <c r="E10" s="352">
        <f t="shared" si="0"/>
        <v>0</v>
      </c>
      <c r="F10" s="351">
        <f>F11</f>
        <v>0</v>
      </c>
      <c r="G10" s="340">
        <f t="shared" si="1"/>
        <v>0</v>
      </c>
      <c r="H10" s="351">
        <f>H11</f>
        <v>0</v>
      </c>
      <c r="I10" s="353">
        <v>0</v>
      </c>
      <c r="K10" s="245">
        <f>ROUND(A10/$A$8*100,5)</f>
        <v>1.77702</v>
      </c>
      <c r="L10" s="245">
        <f>ROUND(D10/$D$8*100,5)</f>
        <v>0</v>
      </c>
      <c r="M10" s="245">
        <f t="shared" si="2"/>
        <v>0</v>
      </c>
    </row>
    <row r="11" spans="1:13" s="10" customFormat="1" ht="25.2" customHeight="1">
      <c r="A11" s="339">
        <v>8163194</v>
      </c>
      <c r="B11" s="340">
        <f t="shared" si="3"/>
        <v>1.78</v>
      </c>
      <c r="C11" s="298" t="s">
        <v>459</v>
      </c>
      <c r="D11" s="351">
        <v>0</v>
      </c>
      <c r="E11" s="352">
        <f>ROUND(D11/$D$8*100,2)</f>
        <v>0</v>
      </c>
      <c r="F11" s="351">
        <v>0</v>
      </c>
      <c r="G11" s="340">
        <f t="shared" si="1"/>
        <v>0</v>
      </c>
      <c r="H11" s="351">
        <v>0</v>
      </c>
      <c r="I11" s="353">
        <v>0</v>
      </c>
      <c r="K11" s="245">
        <f t="shared" ref="K11:K79" si="4">ROUND(A11/$A$8*100,5)</f>
        <v>1.77702</v>
      </c>
      <c r="L11" s="245">
        <f t="shared" ref="L11:L79" si="5">ROUND(D11/$D$8*100,5)</f>
        <v>0</v>
      </c>
      <c r="M11" s="245">
        <f t="shared" si="2"/>
        <v>0</v>
      </c>
    </row>
    <row r="12" spans="1:13" s="10" customFormat="1" ht="25.2" customHeight="1">
      <c r="A12" s="339">
        <v>529430</v>
      </c>
      <c r="B12" s="340">
        <f t="shared" si="3"/>
        <v>0.12</v>
      </c>
      <c r="C12" s="298" t="s">
        <v>460</v>
      </c>
      <c r="D12" s="351">
        <f>D13</f>
        <v>572435</v>
      </c>
      <c r="E12" s="352">
        <f t="shared" ref="E12:E80" si="6">ROUND(D12/$D$8*100,2)</f>
        <v>0.14000000000000001</v>
      </c>
      <c r="F12" s="351">
        <f>F13</f>
        <v>672744</v>
      </c>
      <c r="G12" s="340">
        <f t="shared" si="1"/>
        <v>0.18</v>
      </c>
      <c r="H12" s="354">
        <f t="shared" ref="H12:H80" si="7">D12-F12</f>
        <v>-100309</v>
      </c>
      <c r="I12" s="355">
        <f>ROUND(H12/F12*100,2)</f>
        <v>-14.91</v>
      </c>
      <c r="K12" s="245">
        <f>ROUND(A12/$A$8*100,5)</f>
        <v>0.11525000000000001</v>
      </c>
      <c r="L12" s="245">
        <f t="shared" si="5"/>
        <v>0.13680999999999999</v>
      </c>
      <c r="M12" s="245">
        <f t="shared" si="2"/>
        <v>0.17518</v>
      </c>
    </row>
    <row r="13" spans="1:13" s="10" customFormat="1" ht="25.2" customHeight="1">
      <c r="A13" s="339">
        <v>529430</v>
      </c>
      <c r="B13" s="340">
        <f t="shared" si="3"/>
        <v>0.12</v>
      </c>
      <c r="C13" s="298" t="s">
        <v>459</v>
      </c>
      <c r="D13" s="351">
        <v>572435</v>
      </c>
      <c r="E13" s="352">
        <f t="shared" si="6"/>
        <v>0.14000000000000001</v>
      </c>
      <c r="F13" s="351">
        <v>672744</v>
      </c>
      <c r="G13" s="340">
        <f t="shared" si="1"/>
        <v>0.18</v>
      </c>
      <c r="H13" s="354">
        <f t="shared" si="7"/>
        <v>-100309</v>
      </c>
      <c r="I13" s="355">
        <f t="shared" ref="I13:I79" si="8">ROUND(H13/F13*100,2)</f>
        <v>-14.91</v>
      </c>
      <c r="K13" s="245">
        <f>ROUND(A13/$A$8*100,5)</f>
        <v>0.11525000000000001</v>
      </c>
      <c r="L13" s="245">
        <f>ROUND(D13/$D$8*100,5)</f>
        <v>0.13680999999999999</v>
      </c>
      <c r="M13" s="245">
        <f>ROUND(F13/$F$8*100,5)</f>
        <v>0.17518</v>
      </c>
    </row>
    <row r="14" spans="1:13" s="10" customFormat="1" ht="25.2" customHeight="1">
      <c r="A14" s="339">
        <v>23576013</v>
      </c>
      <c r="B14" s="340">
        <f t="shared" si="3"/>
        <v>5.13</v>
      </c>
      <c r="C14" s="298" t="s">
        <v>461</v>
      </c>
      <c r="D14" s="351">
        <f>SUM(D15:D16)</f>
        <v>0</v>
      </c>
      <c r="E14" s="352">
        <f t="shared" si="6"/>
        <v>0</v>
      </c>
      <c r="F14" s="351">
        <f>SUM(F15:F16)</f>
        <v>0</v>
      </c>
      <c r="G14" s="340">
        <f t="shared" si="1"/>
        <v>0</v>
      </c>
      <c r="H14" s="351">
        <f>H15</f>
        <v>0</v>
      </c>
      <c r="I14" s="353">
        <v>0</v>
      </c>
      <c r="K14" s="245">
        <f t="shared" si="4"/>
        <v>5.1321899999999996</v>
      </c>
      <c r="L14" s="245">
        <f t="shared" si="5"/>
        <v>0</v>
      </c>
      <c r="M14" s="245">
        <f t="shared" si="2"/>
        <v>0</v>
      </c>
    </row>
    <row r="15" spans="1:13" s="10" customFormat="1" ht="19.5" customHeight="1">
      <c r="A15" s="339">
        <v>23198900</v>
      </c>
      <c r="B15" s="340">
        <f t="shared" si="3"/>
        <v>5.05</v>
      </c>
      <c r="C15" s="298" t="s">
        <v>459</v>
      </c>
      <c r="D15" s="351">
        <v>0</v>
      </c>
      <c r="E15" s="352">
        <f t="shared" si="6"/>
        <v>0</v>
      </c>
      <c r="F15" s="351">
        <v>0</v>
      </c>
      <c r="G15" s="340">
        <f t="shared" si="1"/>
        <v>0</v>
      </c>
      <c r="H15" s="351">
        <v>0</v>
      </c>
      <c r="I15" s="353">
        <v>0</v>
      </c>
      <c r="K15" s="245">
        <f t="shared" si="4"/>
        <v>5.05009</v>
      </c>
      <c r="L15" s="245">
        <f t="shared" si="5"/>
        <v>0</v>
      </c>
      <c r="M15" s="245">
        <f t="shared" si="2"/>
        <v>0</v>
      </c>
    </row>
    <row r="16" spans="1:13" s="10" customFormat="1" ht="25.2" customHeight="1">
      <c r="A16" s="339">
        <v>377113</v>
      </c>
      <c r="B16" s="340">
        <f t="shared" ref="B16" si="9">ROUND(A16/$A$8*100,2)</f>
        <v>0.08</v>
      </c>
      <c r="C16" s="298" t="s">
        <v>462</v>
      </c>
      <c r="D16" s="351">
        <v>0</v>
      </c>
      <c r="E16" s="352">
        <f t="shared" ref="E16" si="10">ROUND(D16/$D$8*100,2)</f>
        <v>0</v>
      </c>
      <c r="F16" s="351">
        <v>0</v>
      </c>
      <c r="G16" s="340">
        <f t="shared" ref="G16" si="11">ROUND(F16/$F$8*100,2)</f>
        <v>0</v>
      </c>
      <c r="H16" s="351">
        <v>0</v>
      </c>
      <c r="I16" s="353">
        <v>0</v>
      </c>
      <c r="K16" s="245">
        <f t="shared" ref="K16" si="12">ROUND(A16/$A$8*100,5)</f>
        <v>8.2089999999999996E-2</v>
      </c>
      <c r="L16" s="245">
        <f t="shared" ref="L16" si="13">ROUND(D16/$D$8*100,5)</f>
        <v>0</v>
      </c>
      <c r="M16" s="245">
        <f t="shared" ref="M16" si="14">ROUND(F16/$F$8*100,5)</f>
        <v>0</v>
      </c>
    </row>
    <row r="17" spans="1:13" s="10" customFormat="1" ht="25.2" customHeight="1">
      <c r="A17" s="339">
        <v>193392</v>
      </c>
      <c r="B17" s="340">
        <f t="shared" si="3"/>
        <v>0.04</v>
      </c>
      <c r="C17" s="298" t="s">
        <v>463</v>
      </c>
      <c r="D17" s="351">
        <f>D18</f>
        <v>214545</v>
      </c>
      <c r="E17" s="352">
        <f t="shared" si="6"/>
        <v>0.05</v>
      </c>
      <c r="F17" s="351">
        <f>F18</f>
        <v>203159</v>
      </c>
      <c r="G17" s="340">
        <f t="shared" si="1"/>
        <v>0.05</v>
      </c>
      <c r="H17" s="354">
        <f t="shared" si="7"/>
        <v>11386</v>
      </c>
      <c r="I17" s="355">
        <f t="shared" si="8"/>
        <v>5.6</v>
      </c>
      <c r="K17" s="245">
        <f t="shared" si="4"/>
        <v>4.2099999999999999E-2</v>
      </c>
      <c r="L17" s="245">
        <f t="shared" si="5"/>
        <v>5.1270000000000003E-2</v>
      </c>
      <c r="M17" s="245">
        <f t="shared" si="2"/>
        <v>5.2900000000000003E-2</v>
      </c>
    </row>
    <row r="18" spans="1:13" s="10" customFormat="1" ht="26.25" customHeight="1">
      <c r="A18" s="339">
        <v>193392</v>
      </c>
      <c r="B18" s="340">
        <f t="shared" si="3"/>
        <v>0.04</v>
      </c>
      <c r="C18" s="298" t="s">
        <v>459</v>
      </c>
      <c r="D18" s="351">
        <v>214545</v>
      </c>
      <c r="E18" s="352">
        <f t="shared" si="6"/>
        <v>0.05</v>
      </c>
      <c r="F18" s="351">
        <v>203159</v>
      </c>
      <c r="G18" s="340">
        <f t="shared" si="1"/>
        <v>0.05</v>
      </c>
      <c r="H18" s="354">
        <f t="shared" si="7"/>
        <v>11386</v>
      </c>
      <c r="I18" s="355">
        <f t="shared" si="8"/>
        <v>5.6</v>
      </c>
      <c r="K18" s="245">
        <f t="shared" si="4"/>
        <v>4.2099999999999999E-2</v>
      </c>
      <c r="L18" s="245">
        <f t="shared" si="5"/>
        <v>5.1270000000000003E-2</v>
      </c>
      <c r="M18" s="245">
        <f t="shared" si="2"/>
        <v>5.2900000000000003E-2</v>
      </c>
    </row>
    <row r="19" spans="1:13" s="10" customFormat="1" ht="25.2" customHeight="1">
      <c r="A19" s="339">
        <v>18130139</v>
      </c>
      <c r="B19" s="340">
        <f t="shared" si="3"/>
        <v>3.95</v>
      </c>
      <c r="C19" s="298" t="s">
        <v>464</v>
      </c>
      <c r="D19" s="351">
        <f>D20</f>
        <v>23771458</v>
      </c>
      <c r="E19" s="352">
        <f t="shared" si="6"/>
        <v>5.68</v>
      </c>
      <c r="F19" s="351">
        <f>F20</f>
        <v>20445480</v>
      </c>
      <c r="G19" s="340">
        <f t="shared" si="1"/>
        <v>5.32</v>
      </c>
      <c r="H19" s="354">
        <f t="shared" si="7"/>
        <v>3325978</v>
      </c>
      <c r="I19" s="355">
        <f t="shared" si="8"/>
        <v>16.27</v>
      </c>
      <c r="K19" s="245">
        <f t="shared" si="4"/>
        <v>3.9466899999999998</v>
      </c>
      <c r="L19" s="245">
        <f t="shared" si="5"/>
        <v>5.6810999999999998</v>
      </c>
      <c r="M19" s="245">
        <f t="shared" si="2"/>
        <v>5.3239799999999997</v>
      </c>
    </row>
    <row r="20" spans="1:13" s="10" customFormat="1" ht="25.2" customHeight="1">
      <c r="A20" s="339">
        <v>18130139</v>
      </c>
      <c r="B20" s="340">
        <f t="shared" si="3"/>
        <v>3.95</v>
      </c>
      <c r="C20" s="298" t="s">
        <v>459</v>
      </c>
      <c r="D20" s="351">
        <v>23771458</v>
      </c>
      <c r="E20" s="352">
        <f t="shared" si="6"/>
        <v>5.68</v>
      </c>
      <c r="F20" s="351">
        <v>20445480</v>
      </c>
      <c r="G20" s="340">
        <f t="shared" si="1"/>
        <v>5.32</v>
      </c>
      <c r="H20" s="354">
        <f t="shared" si="7"/>
        <v>3325978</v>
      </c>
      <c r="I20" s="355">
        <f t="shared" si="8"/>
        <v>16.27</v>
      </c>
      <c r="K20" s="245">
        <f t="shared" si="4"/>
        <v>3.9466899999999998</v>
      </c>
      <c r="L20" s="245">
        <f t="shared" si="5"/>
        <v>5.6810999999999998</v>
      </c>
      <c r="M20" s="245">
        <f t="shared" si="2"/>
        <v>5.3239799999999997</v>
      </c>
    </row>
    <row r="21" spans="1:13" s="10" customFormat="1" ht="25.2" customHeight="1">
      <c r="A21" s="339">
        <v>1956895</v>
      </c>
      <c r="B21" s="340">
        <f t="shared" si="3"/>
        <v>0.43</v>
      </c>
      <c r="C21" s="298" t="s">
        <v>465</v>
      </c>
      <c r="D21" s="351">
        <f>SUM(D22:D27)</f>
        <v>1314865</v>
      </c>
      <c r="E21" s="352">
        <f t="shared" si="6"/>
        <v>0.31</v>
      </c>
      <c r="F21" s="351">
        <f>SUM(F22:F27)</f>
        <v>1066799</v>
      </c>
      <c r="G21" s="340">
        <f t="shared" si="1"/>
        <v>0.28000000000000003</v>
      </c>
      <c r="H21" s="354">
        <f t="shared" si="7"/>
        <v>248066</v>
      </c>
      <c r="I21" s="355">
        <f t="shared" si="8"/>
        <v>23.25</v>
      </c>
      <c r="K21" s="245">
        <f t="shared" si="4"/>
        <v>0.42598999999999998</v>
      </c>
      <c r="L21" s="245">
        <f t="shared" si="5"/>
        <v>0.31424000000000002</v>
      </c>
      <c r="M21" s="245">
        <f t="shared" si="2"/>
        <v>0.27778999999999998</v>
      </c>
    </row>
    <row r="22" spans="1:13" s="10" customFormat="1" ht="25.2" customHeight="1">
      <c r="A22" s="339">
        <v>1144962</v>
      </c>
      <c r="B22" s="340">
        <f t="shared" si="3"/>
        <v>0.25</v>
      </c>
      <c r="C22" s="298" t="s">
        <v>459</v>
      </c>
      <c r="D22" s="351">
        <v>887200</v>
      </c>
      <c r="E22" s="352">
        <f t="shared" si="6"/>
        <v>0.21</v>
      </c>
      <c r="F22" s="351">
        <v>501021</v>
      </c>
      <c r="G22" s="340">
        <f t="shared" si="1"/>
        <v>0.13</v>
      </c>
      <c r="H22" s="354">
        <f t="shared" si="7"/>
        <v>386179</v>
      </c>
      <c r="I22" s="355">
        <f t="shared" si="8"/>
        <v>77.08</v>
      </c>
      <c r="K22" s="245">
        <f t="shared" si="4"/>
        <v>0.24923999999999999</v>
      </c>
      <c r="L22" s="245">
        <f t="shared" si="5"/>
        <v>0.21203</v>
      </c>
      <c r="M22" s="245">
        <f t="shared" si="2"/>
        <v>0.13047</v>
      </c>
    </row>
    <row r="23" spans="1:13" s="10" customFormat="1" ht="27" customHeight="1">
      <c r="A23" s="339">
        <v>136898</v>
      </c>
      <c r="B23" s="340">
        <f t="shared" si="3"/>
        <v>0.03</v>
      </c>
      <c r="C23" s="298" t="s">
        <v>466</v>
      </c>
      <c r="D23" s="351">
        <v>105056</v>
      </c>
      <c r="E23" s="352">
        <f t="shared" si="6"/>
        <v>0.03</v>
      </c>
      <c r="F23" s="351">
        <v>106962</v>
      </c>
      <c r="G23" s="340">
        <f t="shared" si="1"/>
        <v>0.03</v>
      </c>
      <c r="H23" s="354">
        <f t="shared" si="7"/>
        <v>-1906</v>
      </c>
      <c r="I23" s="355">
        <f t="shared" si="8"/>
        <v>-1.78</v>
      </c>
      <c r="K23" s="245">
        <f t="shared" si="4"/>
        <v>2.98E-2</v>
      </c>
      <c r="L23" s="245">
        <f t="shared" si="5"/>
        <v>2.511E-2</v>
      </c>
      <c r="M23" s="245">
        <f t="shared" si="2"/>
        <v>2.785E-2</v>
      </c>
    </row>
    <row r="24" spans="1:13" s="10" customFormat="1" ht="22.5" customHeight="1">
      <c r="A24" s="339">
        <v>564291</v>
      </c>
      <c r="B24" s="340">
        <f t="shared" si="3"/>
        <v>0.12</v>
      </c>
      <c r="C24" s="298" t="s">
        <v>462</v>
      </c>
      <c r="D24" s="351">
        <v>256632</v>
      </c>
      <c r="E24" s="352">
        <f t="shared" si="6"/>
        <v>0.06</v>
      </c>
      <c r="F24" s="351">
        <v>373102</v>
      </c>
      <c r="G24" s="340">
        <f t="shared" si="1"/>
        <v>0.1</v>
      </c>
      <c r="H24" s="354">
        <f t="shared" si="7"/>
        <v>-116470</v>
      </c>
      <c r="I24" s="355">
        <f t="shared" si="8"/>
        <v>-31.22</v>
      </c>
      <c r="K24" s="245">
        <f t="shared" si="4"/>
        <v>0.12284</v>
      </c>
      <c r="L24" s="245">
        <f t="shared" si="5"/>
        <v>6.1330000000000003E-2</v>
      </c>
      <c r="M24" s="245">
        <f t="shared" si="2"/>
        <v>9.7159999999999996E-2</v>
      </c>
    </row>
    <row r="25" spans="1:13" s="10" customFormat="1" ht="23.25" customHeight="1">
      <c r="A25" s="339">
        <v>561</v>
      </c>
      <c r="B25" s="340">
        <f>ROUND(A25/$A$8*100,2)</f>
        <v>0</v>
      </c>
      <c r="C25" s="298" t="s">
        <v>467</v>
      </c>
      <c r="D25" s="351">
        <v>480</v>
      </c>
      <c r="E25" s="352">
        <f>ROUND(D25/$D$8*100,2)</f>
        <v>0</v>
      </c>
      <c r="F25" s="351">
        <v>0</v>
      </c>
      <c r="G25" s="340">
        <f>ROUND(F25/$F$8*100,2)</f>
        <v>0</v>
      </c>
      <c r="H25" s="354">
        <f t="shared" ref="H25" si="15">D25-F25</f>
        <v>480</v>
      </c>
      <c r="I25" s="353">
        <v>0</v>
      </c>
      <c r="K25" s="245">
        <f t="shared" ref="K25" si="16">ROUND(A25/$A$8*100,5)</f>
        <v>1.2E-4</v>
      </c>
      <c r="L25" s="245">
        <f t="shared" ref="L25" si="17">ROUND(D25/$D$8*100,5)</f>
        <v>1.1E-4</v>
      </c>
      <c r="M25" s="245">
        <f t="shared" ref="M25" si="18">ROUND(F25/$F$8*100,5)</f>
        <v>0</v>
      </c>
    </row>
    <row r="26" spans="1:13" s="10" customFormat="1" ht="25.2" customHeight="1">
      <c r="A26" s="339">
        <v>108690</v>
      </c>
      <c r="B26" s="340">
        <f t="shared" si="3"/>
        <v>0.02</v>
      </c>
      <c r="C26" s="298" t="s">
        <v>468</v>
      </c>
      <c r="D26" s="351">
        <v>64499</v>
      </c>
      <c r="E26" s="352">
        <f t="shared" si="6"/>
        <v>0.02</v>
      </c>
      <c r="F26" s="351">
        <v>84382</v>
      </c>
      <c r="G26" s="340">
        <f t="shared" si="1"/>
        <v>0.02</v>
      </c>
      <c r="H26" s="354">
        <f t="shared" si="7"/>
        <v>-19883</v>
      </c>
      <c r="I26" s="355">
        <f t="shared" si="8"/>
        <v>-23.56</v>
      </c>
      <c r="K26" s="245">
        <f t="shared" si="4"/>
        <v>2.366E-2</v>
      </c>
      <c r="L26" s="245">
        <f t="shared" si="5"/>
        <v>1.541E-2</v>
      </c>
      <c r="M26" s="245">
        <f t="shared" si="2"/>
        <v>2.197E-2</v>
      </c>
    </row>
    <row r="27" spans="1:13" s="10" customFormat="1" ht="21" customHeight="1">
      <c r="A27" s="339">
        <v>1492</v>
      </c>
      <c r="B27" s="340">
        <f t="shared" si="3"/>
        <v>0</v>
      </c>
      <c r="C27" s="298" t="s">
        <v>469</v>
      </c>
      <c r="D27" s="351">
        <v>998</v>
      </c>
      <c r="E27" s="352">
        <f t="shared" si="6"/>
        <v>0</v>
      </c>
      <c r="F27" s="351">
        <v>1332</v>
      </c>
      <c r="G27" s="340">
        <f t="shared" si="1"/>
        <v>0</v>
      </c>
      <c r="H27" s="354">
        <f t="shared" si="7"/>
        <v>-334</v>
      </c>
      <c r="I27" s="355">
        <f t="shared" si="8"/>
        <v>-25.08</v>
      </c>
      <c r="K27" s="245">
        <f t="shared" si="4"/>
        <v>3.2000000000000003E-4</v>
      </c>
      <c r="L27" s="245">
        <f t="shared" si="5"/>
        <v>2.4000000000000001E-4</v>
      </c>
      <c r="M27" s="245">
        <f t="shared" si="2"/>
        <v>3.5E-4</v>
      </c>
    </row>
    <row r="28" spans="1:13" s="10" customFormat="1" ht="20.399999999999999" customHeight="1">
      <c r="A28" s="339">
        <v>652</v>
      </c>
      <c r="B28" s="340">
        <f t="shared" ref="B28" si="19">ROUND(A28/$A$8*100,2)</f>
        <v>0</v>
      </c>
      <c r="C28" s="298" t="s">
        <v>470</v>
      </c>
      <c r="D28" s="351">
        <f>D29</f>
        <v>0</v>
      </c>
      <c r="E28" s="352">
        <f t="shared" ref="E28:E29" si="20">ROUND(D28/$D$8*100,2)</f>
        <v>0</v>
      </c>
      <c r="F28" s="351">
        <f>F29</f>
        <v>0</v>
      </c>
      <c r="G28" s="340">
        <f t="shared" ref="G28:G29" si="21">ROUND(F28/$F$8*100,2)</f>
        <v>0</v>
      </c>
      <c r="H28" s="351">
        <f t="shared" ref="H28:H29" si="22">D28-F28</f>
        <v>0</v>
      </c>
      <c r="I28" s="353">
        <v>0</v>
      </c>
      <c r="K28" s="245">
        <f t="shared" ref="K28:K29" si="23">ROUND(A28/$A$8*100,5)</f>
        <v>1.3999999999999999E-4</v>
      </c>
      <c r="L28" s="245">
        <f t="shared" ref="L28:L29" si="24">ROUND(D28/$D$8*100,5)</f>
        <v>0</v>
      </c>
      <c r="M28" s="245">
        <f t="shared" ref="M28:M29" si="25">ROUND(F28/$F$8*100,5)</f>
        <v>0</v>
      </c>
    </row>
    <row r="29" spans="1:13" s="10" customFormat="1" ht="19.8" customHeight="1">
      <c r="A29" s="339">
        <v>652</v>
      </c>
      <c r="B29" s="340">
        <f>ROUND(A29/$A$8*100,2)</f>
        <v>0</v>
      </c>
      <c r="C29" s="298" t="s">
        <v>459</v>
      </c>
      <c r="D29" s="351">
        <v>0</v>
      </c>
      <c r="E29" s="352">
        <f t="shared" si="20"/>
        <v>0</v>
      </c>
      <c r="F29" s="351">
        <v>0</v>
      </c>
      <c r="G29" s="340">
        <f t="shared" si="21"/>
        <v>0</v>
      </c>
      <c r="H29" s="351">
        <f t="shared" si="22"/>
        <v>0</v>
      </c>
      <c r="I29" s="353">
        <v>0</v>
      </c>
      <c r="K29" s="245">
        <f t="shared" si="23"/>
        <v>1.3999999999999999E-4</v>
      </c>
      <c r="L29" s="245">
        <f t="shared" si="24"/>
        <v>0</v>
      </c>
      <c r="M29" s="245">
        <f t="shared" si="25"/>
        <v>0</v>
      </c>
    </row>
    <row r="30" spans="1:13" s="10" customFormat="1" ht="25.2" customHeight="1">
      <c r="A30" s="339">
        <v>46786707</v>
      </c>
      <c r="B30" s="340">
        <f t="shared" si="3"/>
        <v>10.18</v>
      </c>
      <c r="C30" s="298" t="s">
        <v>471</v>
      </c>
      <c r="D30" s="351">
        <f>SUM(D31:D33)</f>
        <v>5599979</v>
      </c>
      <c r="E30" s="352">
        <f t="shared" si="6"/>
        <v>1.34</v>
      </c>
      <c r="F30" s="351">
        <f>SUM(F31:F33)</f>
        <v>6612449</v>
      </c>
      <c r="G30" s="340">
        <f t="shared" si="1"/>
        <v>1.72</v>
      </c>
      <c r="H30" s="354">
        <f t="shared" si="7"/>
        <v>-1012470</v>
      </c>
      <c r="I30" s="355">
        <f t="shared" si="8"/>
        <v>-15.31</v>
      </c>
      <c r="K30" s="245">
        <f t="shared" si="4"/>
        <v>10.184850000000001</v>
      </c>
      <c r="L30" s="245">
        <f t="shared" si="5"/>
        <v>1.33833</v>
      </c>
      <c r="M30" s="245">
        <f t="shared" si="2"/>
        <v>1.72187</v>
      </c>
    </row>
    <row r="31" spans="1:13" s="10" customFormat="1" ht="28.5" customHeight="1">
      <c r="A31" s="339">
        <v>46053037</v>
      </c>
      <c r="B31" s="340">
        <f t="shared" si="3"/>
        <v>10.029999999999999</v>
      </c>
      <c r="C31" s="298" t="s">
        <v>459</v>
      </c>
      <c r="D31" s="351">
        <v>4196408</v>
      </c>
      <c r="E31" s="352">
        <f t="shared" si="6"/>
        <v>1</v>
      </c>
      <c r="F31" s="351">
        <v>5341869</v>
      </c>
      <c r="G31" s="340">
        <f t="shared" si="1"/>
        <v>1.39</v>
      </c>
      <c r="H31" s="354">
        <f t="shared" si="7"/>
        <v>-1145461</v>
      </c>
      <c r="I31" s="355">
        <f t="shared" si="8"/>
        <v>-21.44</v>
      </c>
      <c r="K31" s="245">
        <f t="shared" si="4"/>
        <v>10.02514</v>
      </c>
      <c r="L31" s="245">
        <f t="shared" si="5"/>
        <v>1.0028900000000001</v>
      </c>
      <c r="M31" s="245">
        <f t="shared" si="2"/>
        <v>1.3910199999999999</v>
      </c>
    </row>
    <row r="32" spans="1:13" s="10" customFormat="1" ht="21.75" customHeight="1">
      <c r="A32" s="339">
        <v>32208</v>
      </c>
      <c r="B32" s="340">
        <f t="shared" si="3"/>
        <v>0.01</v>
      </c>
      <c r="C32" s="298" t="s">
        <v>466</v>
      </c>
      <c r="D32" s="351">
        <v>30600</v>
      </c>
      <c r="E32" s="352">
        <f t="shared" si="6"/>
        <v>0.01</v>
      </c>
      <c r="F32" s="351">
        <v>49755</v>
      </c>
      <c r="G32" s="340">
        <f t="shared" si="1"/>
        <v>0.01</v>
      </c>
      <c r="H32" s="354">
        <f t="shared" si="7"/>
        <v>-19155</v>
      </c>
      <c r="I32" s="355">
        <f t="shared" si="8"/>
        <v>-38.5</v>
      </c>
      <c r="K32" s="245">
        <f t="shared" si="4"/>
        <v>7.0099999999999997E-3</v>
      </c>
      <c r="L32" s="245">
        <f t="shared" si="5"/>
        <v>7.3099999999999997E-3</v>
      </c>
      <c r="M32" s="245">
        <f t="shared" si="2"/>
        <v>1.2959999999999999E-2</v>
      </c>
    </row>
    <row r="33" spans="1:13" s="10" customFormat="1" ht="23.25" customHeight="1" thickBot="1">
      <c r="A33" s="341">
        <v>701462</v>
      </c>
      <c r="B33" s="439">
        <f t="shared" si="3"/>
        <v>0.15</v>
      </c>
      <c r="C33" s="303" t="s">
        <v>462</v>
      </c>
      <c r="D33" s="356">
        <v>1372971</v>
      </c>
      <c r="E33" s="357">
        <f t="shared" si="6"/>
        <v>0.33</v>
      </c>
      <c r="F33" s="356">
        <v>1220825</v>
      </c>
      <c r="G33" s="342">
        <f t="shared" si="1"/>
        <v>0.32</v>
      </c>
      <c r="H33" s="356">
        <f t="shared" si="7"/>
        <v>152146</v>
      </c>
      <c r="I33" s="358">
        <f t="shared" si="8"/>
        <v>12.46</v>
      </c>
      <c r="K33" s="245">
        <f t="shared" si="4"/>
        <v>0.1527</v>
      </c>
      <c r="L33" s="245">
        <f t="shared" si="5"/>
        <v>0.32812000000000002</v>
      </c>
      <c r="M33" s="245">
        <f t="shared" si="2"/>
        <v>0.31790000000000002</v>
      </c>
    </row>
    <row r="34" spans="1:13" s="31" customFormat="1" ht="26.4" customHeight="1">
      <c r="A34" s="337">
        <v>356334247</v>
      </c>
      <c r="B34" s="338">
        <f t="shared" si="3"/>
        <v>77.569999999999993</v>
      </c>
      <c r="C34" s="297" t="s">
        <v>472</v>
      </c>
      <c r="D34" s="348">
        <f>D35+D40</f>
        <v>382942398</v>
      </c>
      <c r="E34" s="349">
        <f t="shared" si="6"/>
        <v>91.52</v>
      </c>
      <c r="F34" s="348">
        <f>F35+F40</f>
        <v>350845363</v>
      </c>
      <c r="G34" s="338">
        <f t="shared" si="1"/>
        <v>91.36</v>
      </c>
      <c r="H34" s="348">
        <f t="shared" ref="H34:H39" si="26">D34-F34</f>
        <v>32097035</v>
      </c>
      <c r="I34" s="350">
        <f t="shared" si="8"/>
        <v>9.15</v>
      </c>
      <c r="K34" s="244">
        <f t="shared" si="4"/>
        <v>77.569239999999994</v>
      </c>
      <c r="L34" s="244">
        <f t="shared" si="5"/>
        <v>91.518709999999999</v>
      </c>
      <c r="M34" s="244">
        <f t="shared" si="2"/>
        <v>91.359710000000007</v>
      </c>
    </row>
    <row r="35" spans="1:13" s="10" customFormat="1" ht="30" customHeight="1">
      <c r="A35" s="339">
        <v>355946776</v>
      </c>
      <c r="B35" s="340">
        <f t="shared" si="3"/>
        <v>77.48</v>
      </c>
      <c r="C35" s="298" t="s">
        <v>473</v>
      </c>
      <c r="D35" s="351">
        <f>SUM(D36:D39)</f>
        <v>382434846</v>
      </c>
      <c r="E35" s="352">
        <f t="shared" si="6"/>
        <v>91.4</v>
      </c>
      <c r="F35" s="351">
        <f>SUM(F36:F39)</f>
        <v>349989264</v>
      </c>
      <c r="G35" s="340">
        <f t="shared" si="1"/>
        <v>91.14</v>
      </c>
      <c r="H35" s="351">
        <f t="shared" si="26"/>
        <v>32445582</v>
      </c>
      <c r="I35" s="353">
        <f t="shared" si="8"/>
        <v>9.27</v>
      </c>
      <c r="K35" s="245">
        <f t="shared" si="4"/>
        <v>77.484889999999993</v>
      </c>
      <c r="L35" s="245">
        <f t="shared" si="5"/>
        <v>91.397409999999994</v>
      </c>
      <c r="M35" s="245">
        <f t="shared" si="2"/>
        <v>91.136780000000002</v>
      </c>
    </row>
    <row r="36" spans="1:13" s="10" customFormat="1" ht="26.4" customHeight="1">
      <c r="A36" s="339">
        <v>319729033</v>
      </c>
      <c r="B36" s="340">
        <f t="shared" si="3"/>
        <v>69.599999999999994</v>
      </c>
      <c r="C36" s="298" t="s">
        <v>459</v>
      </c>
      <c r="D36" s="351">
        <v>345332086</v>
      </c>
      <c r="E36" s="352">
        <f t="shared" si="6"/>
        <v>82.53</v>
      </c>
      <c r="F36" s="351">
        <v>314471710</v>
      </c>
      <c r="G36" s="340">
        <f t="shared" si="1"/>
        <v>81.89</v>
      </c>
      <c r="H36" s="351">
        <f t="shared" si="26"/>
        <v>30860376</v>
      </c>
      <c r="I36" s="353">
        <f t="shared" si="8"/>
        <v>9.81</v>
      </c>
      <c r="K36" s="245">
        <f t="shared" si="4"/>
        <v>69.600769999999997</v>
      </c>
      <c r="L36" s="245">
        <f t="shared" si="5"/>
        <v>82.530289999999994</v>
      </c>
      <c r="M36" s="245">
        <f t="shared" si="2"/>
        <v>81.888059999999996</v>
      </c>
    </row>
    <row r="37" spans="1:13" s="10" customFormat="1" ht="26.4" customHeight="1">
      <c r="A37" s="339">
        <v>7350018</v>
      </c>
      <c r="B37" s="340">
        <f t="shared" si="3"/>
        <v>1.6</v>
      </c>
      <c r="C37" s="298" t="s">
        <v>466</v>
      </c>
      <c r="D37" s="351">
        <v>8110638</v>
      </c>
      <c r="E37" s="352">
        <f t="shared" si="6"/>
        <v>1.94</v>
      </c>
      <c r="F37" s="351">
        <v>7456023</v>
      </c>
      <c r="G37" s="340">
        <f t="shared" si="1"/>
        <v>1.94</v>
      </c>
      <c r="H37" s="351">
        <f t="shared" si="26"/>
        <v>654615</v>
      </c>
      <c r="I37" s="353">
        <f t="shared" si="8"/>
        <v>8.7799999999999994</v>
      </c>
      <c r="K37" s="245">
        <f t="shared" si="4"/>
        <v>1.6</v>
      </c>
      <c r="L37" s="245">
        <f t="shared" si="5"/>
        <v>1.93835</v>
      </c>
      <c r="M37" s="245">
        <f t="shared" si="2"/>
        <v>1.94154</v>
      </c>
    </row>
    <row r="38" spans="1:13" s="10" customFormat="1" ht="26.4" customHeight="1">
      <c r="A38" s="339">
        <v>24762573</v>
      </c>
      <c r="B38" s="340">
        <f t="shared" si="3"/>
        <v>5.39</v>
      </c>
      <c r="C38" s="298" t="s">
        <v>462</v>
      </c>
      <c r="D38" s="351">
        <v>25174600</v>
      </c>
      <c r="E38" s="352">
        <f t="shared" si="6"/>
        <v>6.02</v>
      </c>
      <c r="F38" s="351">
        <v>24019683</v>
      </c>
      <c r="G38" s="340">
        <f t="shared" si="1"/>
        <v>6.25</v>
      </c>
      <c r="H38" s="351">
        <f t="shared" si="26"/>
        <v>1154917</v>
      </c>
      <c r="I38" s="353">
        <f t="shared" si="8"/>
        <v>4.8099999999999996</v>
      </c>
      <c r="K38" s="245">
        <f t="shared" si="4"/>
        <v>5.3904800000000002</v>
      </c>
      <c r="L38" s="245">
        <f t="shared" si="5"/>
        <v>6.0164299999999997</v>
      </c>
      <c r="M38" s="245">
        <f t="shared" si="2"/>
        <v>6.2546999999999997</v>
      </c>
    </row>
    <row r="39" spans="1:13" s="10" customFormat="1" ht="26.4" customHeight="1">
      <c r="A39" s="339">
        <v>4105153</v>
      </c>
      <c r="B39" s="340">
        <f t="shared" si="3"/>
        <v>0.89</v>
      </c>
      <c r="C39" s="298" t="s">
        <v>467</v>
      </c>
      <c r="D39" s="351">
        <v>3817522</v>
      </c>
      <c r="E39" s="352">
        <f t="shared" si="6"/>
        <v>0.91</v>
      </c>
      <c r="F39" s="351">
        <v>4041848</v>
      </c>
      <c r="G39" s="340">
        <f t="shared" si="1"/>
        <v>1.05</v>
      </c>
      <c r="H39" s="354">
        <f t="shared" si="26"/>
        <v>-224326</v>
      </c>
      <c r="I39" s="355">
        <f t="shared" si="8"/>
        <v>-5.55</v>
      </c>
      <c r="K39" s="245">
        <f t="shared" si="4"/>
        <v>0.89363999999999999</v>
      </c>
      <c r="L39" s="245">
        <f t="shared" si="5"/>
        <v>0.91234000000000004</v>
      </c>
      <c r="M39" s="245">
        <f t="shared" si="2"/>
        <v>1.0524899999999999</v>
      </c>
    </row>
    <row r="40" spans="1:13" s="10" customFormat="1" ht="30.75" customHeight="1">
      <c r="A40" s="339">
        <v>387471</v>
      </c>
      <c r="B40" s="340">
        <f t="shared" si="3"/>
        <v>0.08</v>
      </c>
      <c r="C40" s="299" t="s">
        <v>474</v>
      </c>
      <c r="D40" s="351">
        <f>SUM(D41:D45)</f>
        <v>507552</v>
      </c>
      <c r="E40" s="352">
        <f t="shared" si="6"/>
        <v>0.12</v>
      </c>
      <c r="F40" s="351">
        <f>SUM(F41:F45)</f>
        <v>856099</v>
      </c>
      <c r="G40" s="340">
        <f t="shared" si="1"/>
        <v>0.22</v>
      </c>
      <c r="H40" s="354">
        <f>D40-F40</f>
        <v>-348547</v>
      </c>
      <c r="I40" s="355">
        <f>ROUND(H40/F40*100,2)</f>
        <v>-40.71</v>
      </c>
      <c r="K40" s="245">
        <f t="shared" si="4"/>
        <v>8.4349999999999994E-2</v>
      </c>
      <c r="L40" s="245">
        <f t="shared" si="5"/>
        <v>0.12130000000000001</v>
      </c>
      <c r="M40" s="245">
        <f t="shared" si="2"/>
        <v>0.22292999999999999</v>
      </c>
    </row>
    <row r="41" spans="1:13" s="10" customFormat="1" ht="30" hidden="1" customHeight="1">
      <c r="A41" s="339">
        <v>0</v>
      </c>
      <c r="B41" s="340">
        <f t="shared" si="3"/>
        <v>0</v>
      </c>
      <c r="C41" s="298" t="s">
        <v>459</v>
      </c>
      <c r="D41" s="351">
        <v>0</v>
      </c>
      <c r="E41" s="352">
        <f t="shared" si="6"/>
        <v>0</v>
      </c>
      <c r="F41" s="351">
        <v>0</v>
      </c>
      <c r="G41" s="340">
        <f t="shared" si="1"/>
        <v>0</v>
      </c>
      <c r="H41" s="351">
        <v>0</v>
      </c>
      <c r="I41" s="353">
        <v>0</v>
      </c>
      <c r="K41" s="245">
        <f t="shared" si="4"/>
        <v>0</v>
      </c>
      <c r="L41" s="245">
        <f t="shared" si="5"/>
        <v>0</v>
      </c>
      <c r="M41" s="245">
        <f t="shared" si="2"/>
        <v>0</v>
      </c>
    </row>
    <row r="42" spans="1:13" s="10" customFormat="1" ht="26.4" customHeight="1">
      <c r="A42" s="339">
        <v>0</v>
      </c>
      <c r="B42" s="340">
        <f t="shared" si="3"/>
        <v>0</v>
      </c>
      <c r="C42" s="298" t="s">
        <v>466</v>
      </c>
      <c r="D42" s="351">
        <v>0</v>
      </c>
      <c r="E42" s="352">
        <f t="shared" si="6"/>
        <v>0</v>
      </c>
      <c r="F42" s="351">
        <v>308752</v>
      </c>
      <c r="G42" s="340">
        <f t="shared" si="1"/>
        <v>0.08</v>
      </c>
      <c r="H42" s="354">
        <f t="shared" si="7"/>
        <v>-308752</v>
      </c>
      <c r="I42" s="355">
        <f t="shared" si="8"/>
        <v>-100</v>
      </c>
      <c r="K42" s="245">
        <f t="shared" si="4"/>
        <v>0</v>
      </c>
      <c r="L42" s="245">
        <f t="shared" si="5"/>
        <v>0</v>
      </c>
      <c r="M42" s="245">
        <f t="shared" si="2"/>
        <v>8.0399999999999999E-2</v>
      </c>
    </row>
    <row r="43" spans="1:13" s="10" customFormat="1" ht="30" hidden="1" customHeight="1">
      <c r="A43" s="339">
        <v>0</v>
      </c>
      <c r="B43" s="340">
        <f t="shared" si="3"/>
        <v>0</v>
      </c>
      <c r="C43" s="298" t="s">
        <v>462</v>
      </c>
      <c r="D43" s="351">
        <v>0</v>
      </c>
      <c r="E43" s="352">
        <f t="shared" si="6"/>
        <v>0</v>
      </c>
      <c r="F43" s="351">
        <v>0</v>
      </c>
      <c r="G43" s="340">
        <f t="shared" si="1"/>
        <v>0</v>
      </c>
      <c r="H43" s="351">
        <v>0</v>
      </c>
      <c r="I43" s="353">
        <v>0</v>
      </c>
      <c r="K43" s="245">
        <f t="shared" si="4"/>
        <v>0</v>
      </c>
      <c r="L43" s="245">
        <f t="shared" si="5"/>
        <v>0</v>
      </c>
      <c r="M43" s="245">
        <f t="shared" si="2"/>
        <v>0</v>
      </c>
    </row>
    <row r="44" spans="1:13" s="10" customFormat="1" ht="31.5" customHeight="1">
      <c r="A44" s="339">
        <v>387471</v>
      </c>
      <c r="B44" s="340">
        <f t="shared" si="3"/>
        <v>0.08</v>
      </c>
      <c r="C44" s="298" t="s">
        <v>468</v>
      </c>
      <c r="D44" s="351">
        <f>499680-6110</f>
        <v>493570</v>
      </c>
      <c r="E44" s="352">
        <f t="shared" si="6"/>
        <v>0.12</v>
      </c>
      <c r="F44" s="351">
        <v>537245</v>
      </c>
      <c r="G44" s="340">
        <f t="shared" si="1"/>
        <v>0.14000000000000001</v>
      </c>
      <c r="H44" s="354">
        <f t="shared" si="7"/>
        <v>-43675</v>
      </c>
      <c r="I44" s="355">
        <f t="shared" si="8"/>
        <v>-8.1300000000000008</v>
      </c>
      <c r="K44" s="245">
        <f t="shared" si="4"/>
        <v>8.4349999999999994E-2</v>
      </c>
      <c r="L44" s="245">
        <f t="shared" si="5"/>
        <v>0.11796</v>
      </c>
      <c r="M44" s="245">
        <f t="shared" si="2"/>
        <v>0.1399</v>
      </c>
    </row>
    <row r="45" spans="1:13" s="10" customFormat="1" ht="26.4" customHeight="1">
      <c r="A45" s="339">
        <v>0</v>
      </c>
      <c r="B45" s="340">
        <f t="shared" si="3"/>
        <v>0</v>
      </c>
      <c r="C45" s="298" t="s">
        <v>469</v>
      </c>
      <c r="D45" s="351">
        <v>13982</v>
      </c>
      <c r="E45" s="352">
        <f t="shared" si="6"/>
        <v>0</v>
      </c>
      <c r="F45" s="351">
        <v>10102</v>
      </c>
      <c r="G45" s="340">
        <f t="shared" si="1"/>
        <v>0</v>
      </c>
      <c r="H45" s="354">
        <f t="shared" si="7"/>
        <v>3880</v>
      </c>
      <c r="I45" s="355">
        <f t="shared" si="8"/>
        <v>38.409999999999997</v>
      </c>
      <c r="K45" s="245">
        <f t="shared" si="4"/>
        <v>0</v>
      </c>
      <c r="L45" s="245">
        <f t="shared" si="5"/>
        <v>3.3400000000000001E-3</v>
      </c>
      <c r="M45" s="245">
        <f t="shared" si="2"/>
        <v>2.63E-3</v>
      </c>
    </row>
    <row r="46" spans="1:13" s="31" customFormat="1" ht="26.4" customHeight="1">
      <c r="A46" s="337">
        <v>3705058</v>
      </c>
      <c r="B46" s="338">
        <f t="shared" si="3"/>
        <v>0.81</v>
      </c>
      <c r="C46" s="297" t="s">
        <v>475</v>
      </c>
      <c r="D46" s="348">
        <f>D47+D50</f>
        <v>4015052</v>
      </c>
      <c r="E46" s="349">
        <f t="shared" si="6"/>
        <v>0.96</v>
      </c>
      <c r="F46" s="348">
        <f>F47+F50</f>
        <v>4180351</v>
      </c>
      <c r="G46" s="338">
        <f t="shared" si="1"/>
        <v>1.0900000000000001</v>
      </c>
      <c r="H46" s="359">
        <f t="shared" si="7"/>
        <v>-165299</v>
      </c>
      <c r="I46" s="360">
        <f t="shared" si="8"/>
        <v>-3.95</v>
      </c>
      <c r="K46" s="244">
        <f t="shared" si="4"/>
        <v>0.80654000000000003</v>
      </c>
      <c r="L46" s="244">
        <f t="shared" si="5"/>
        <v>0.95955000000000001</v>
      </c>
      <c r="M46" s="244">
        <f t="shared" si="2"/>
        <v>1.08856</v>
      </c>
    </row>
    <row r="47" spans="1:13" s="10" customFormat="1" ht="26.4" customHeight="1">
      <c r="A47" s="339">
        <v>3682600</v>
      </c>
      <c r="B47" s="340">
        <f t="shared" si="3"/>
        <v>0.8</v>
      </c>
      <c r="C47" s="300" t="s">
        <v>476</v>
      </c>
      <c r="D47" s="351">
        <f>SUM(D48:D49)</f>
        <v>4012252</v>
      </c>
      <c r="E47" s="352">
        <f t="shared" si="6"/>
        <v>0.96</v>
      </c>
      <c r="F47" s="351">
        <f>SUM(F48:F49)</f>
        <v>4177008</v>
      </c>
      <c r="G47" s="340">
        <f t="shared" si="1"/>
        <v>1.0900000000000001</v>
      </c>
      <c r="H47" s="354">
        <f t="shared" si="7"/>
        <v>-164756</v>
      </c>
      <c r="I47" s="355">
        <f t="shared" si="8"/>
        <v>-3.94</v>
      </c>
      <c r="K47" s="245">
        <f t="shared" si="4"/>
        <v>0.80164999999999997</v>
      </c>
      <c r="L47" s="245">
        <f t="shared" si="5"/>
        <v>0.95887999999999995</v>
      </c>
      <c r="M47" s="245">
        <f t="shared" si="2"/>
        <v>1.08769</v>
      </c>
    </row>
    <row r="48" spans="1:13" s="10" customFormat="1" ht="25.5" customHeight="1">
      <c r="A48" s="339">
        <v>3612600</v>
      </c>
      <c r="B48" s="340">
        <f t="shared" si="3"/>
        <v>0.79</v>
      </c>
      <c r="C48" s="298" t="s">
        <v>467</v>
      </c>
      <c r="D48" s="351">
        <v>3982252</v>
      </c>
      <c r="E48" s="352">
        <f t="shared" si="6"/>
        <v>0.95</v>
      </c>
      <c r="F48" s="351">
        <v>4137008</v>
      </c>
      <c r="G48" s="340">
        <f t="shared" si="1"/>
        <v>1.08</v>
      </c>
      <c r="H48" s="354">
        <f t="shared" si="7"/>
        <v>-154756</v>
      </c>
      <c r="I48" s="355">
        <f t="shared" si="8"/>
        <v>-3.74</v>
      </c>
      <c r="K48" s="245">
        <f t="shared" si="4"/>
        <v>0.78642000000000001</v>
      </c>
      <c r="L48" s="245">
        <f t="shared" si="5"/>
        <v>0.95170999999999994</v>
      </c>
      <c r="M48" s="245">
        <f t="shared" si="2"/>
        <v>1.0772699999999999</v>
      </c>
    </row>
    <row r="49" spans="1:13" s="10" customFormat="1" ht="30" customHeight="1">
      <c r="A49" s="339">
        <v>70000</v>
      </c>
      <c r="B49" s="340">
        <f t="shared" si="3"/>
        <v>0.02</v>
      </c>
      <c r="C49" s="298" t="s">
        <v>469</v>
      </c>
      <c r="D49" s="351">
        <v>30000</v>
      </c>
      <c r="E49" s="352">
        <f t="shared" si="6"/>
        <v>0.01</v>
      </c>
      <c r="F49" s="351">
        <v>40000</v>
      </c>
      <c r="G49" s="340">
        <f t="shared" si="1"/>
        <v>0.01</v>
      </c>
      <c r="H49" s="354">
        <f t="shared" si="7"/>
        <v>-10000</v>
      </c>
      <c r="I49" s="355">
        <f t="shared" si="8"/>
        <v>-25</v>
      </c>
      <c r="K49" s="245">
        <f t="shared" si="4"/>
        <v>1.524E-2</v>
      </c>
      <c r="L49" s="245">
        <f t="shared" si="5"/>
        <v>7.1700000000000002E-3</v>
      </c>
      <c r="M49" s="245">
        <f t="shared" si="2"/>
        <v>1.042E-2</v>
      </c>
    </row>
    <row r="50" spans="1:13" s="10" customFormat="1" ht="31.5" customHeight="1">
      <c r="A50" s="339">
        <v>22458</v>
      </c>
      <c r="B50" s="340">
        <f t="shared" si="3"/>
        <v>0</v>
      </c>
      <c r="C50" s="300" t="s">
        <v>477</v>
      </c>
      <c r="D50" s="351">
        <f>SUM(D51:D53)</f>
        <v>2800</v>
      </c>
      <c r="E50" s="352">
        <f t="shared" si="6"/>
        <v>0</v>
      </c>
      <c r="F50" s="351">
        <f>SUM(F51:F53)</f>
        <v>3343</v>
      </c>
      <c r="G50" s="340">
        <f t="shared" si="1"/>
        <v>0</v>
      </c>
      <c r="H50" s="354">
        <f t="shared" si="7"/>
        <v>-543</v>
      </c>
      <c r="I50" s="355">
        <f t="shared" si="8"/>
        <v>-16.239999999999998</v>
      </c>
      <c r="K50" s="245">
        <f t="shared" si="4"/>
        <v>4.8900000000000002E-3</v>
      </c>
      <c r="L50" s="245">
        <f t="shared" si="5"/>
        <v>6.7000000000000002E-4</v>
      </c>
      <c r="M50" s="245">
        <f t="shared" si="2"/>
        <v>8.7000000000000001E-4</v>
      </c>
    </row>
    <row r="51" spans="1:13" s="10" customFormat="1" ht="26.4" customHeight="1">
      <c r="A51" s="339">
        <v>19459</v>
      </c>
      <c r="B51" s="340">
        <f t="shared" si="3"/>
        <v>0</v>
      </c>
      <c r="C51" s="298" t="s">
        <v>459</v>
      </c>
      <c r="D51" s="351">
        <v>0</v>
      </c>
      <c r="E51" s="352">
        <f t="shared" si="6"/>
        <v>0</v>
      </c>
      <c r="F51" s="351">
        <v>0</v>
      </c>
      <c r="G51" s="340">
        <f t="shared" si="1"/>
        <v>0</v>
      </c>
      <c r="H51" s="351">
        <f t="shared" si="7"/>
        <v>0</v>
      </c>
      <c r="I51" s="353" t="s">
        <v>85</v>
      </c>
      <c r="K51" s="245">
        <f t="shared" si="4"/>
        <v>4.2399999999999998E-3</v>
      </c>
      <c r="L51" s="245">
        <f t="shared" si="5"/>
        <v>0</v>
      </c>
      <c r="M51" s="245">
        <f t="shared" si="2"/>
        <v>0</v>
      </c>
    </row>
    <row r="52" spans="1:13" s="10" customFormat="1" ht="0.75" customHeight="1">
      <c r="A52" s="339">
        <v>0</v>
      </c>
      <c r="B52" s="340">
        <f t="shared" si="3"/>
        <v>0</v>
      </c>
      <c r="C52" s="298" t="s">
        <v>468</v>
      </c>
      <c r="D52" s="351">
        <v>0</v>
      </c>
      <c r="E52" s="352">
        <f t="shared" si="6"/>
        <v>0</v>
      </c>
      <c r="F52" s="351">
        <v>0</v>
      </c>
      <c r="G52" s="340">
        <f t="shared" si="1"/>
        <v>0</v>
      </c>
      <c r="H52" s="351">
        <f t="shared" si="7"/>
        <v>0</v>
      </c>
      <c r="I52" s="353" t="s">
        <v>85</v>
      </c>
      <c r="K52" s="245">
        <f t="shared" si="4"/>
        <v>0</v>
      </c>
      <c r="L52" s="245">
        <f t="shared" si="5"/>
        <v>0</v>
      </c>
      <c r="M52" s="245">
        <f t="shared" si="2"/>
        <v>0</v>
      </c>
    </row>
    <row r="53" spans="1:13" s="10" customFormat="1" ht="28.5" customHeight="1">
      <c r="A53" s="339">
        <v>2999</v>
      </c>
      <c r="B53" s="340">
        <f t="shared" si="3"/>
        <v>0</v>
      </c>
      <c r="C53" s="298" t="s">
        <v>469</v>
      </c>
      <c r="D53" s="351">
        <v>2800</v>
      </c>
      <c r="E53" s="352">
        <f t="shared" si="6"/>
        <v>0</v>
      </c>
      <c r="F53" s="351">
        <v>3343</v>
      </c>
      <c r="G53" s="340">
        <f t="shared" si="1"/>
        <v>0</v>
      </c>
      <c r="H53" s="354">
        <f t="shared" si="7"/>
        <v>-543</v>
      </c>
      <c r="I53" s="355">
        <f t="shared" si="8"/>
        <v>-16.239999999999998</v>
      </c>
      <c r="K53" s="245">
        <f t="shared" si="4"/>
        <v>6.4999999999999997E-4</v>
      </c>
      <c r="L53" s="245">
        <f t="shared" si="5"/>
        <v>6.7000000000000002E-4</v>
      </c>
      <c r="M53" s="245">
        <f t="shared" si="2"/>
        <v>8.7000000000000001E-4</v>
      </c>
    </row>
    <row r="54" spans="1:13" s="31" customFormat="1" ht="30" customHeight="1">
      <c r="A54" s="337">
        <v>459501120</v>
      </c>
      <c r="B54" s="338">
        <f t="shared" si="3"/>
        <v>100.03</v>
      </c>
      <c r="C54" s="297" t="s">
        <v>478</v>
      </c>
      <c r="D54" s="348">
        <f>D55+D71+D90</f>
        <v>418534437</v>
      </c>
      <c r="E54" s="349">
        <f t="shared" si="6"/>
        <v>100.02</v>
      </c>
      <c r="F54" s="348">
        <f>F55+F71+F90</f>
        <v>384123216</v>
      </c>
      <c r="G54" s="338">
        <f t="shared" si="1"/>
        <v>100.03</v>
      </c>
      <c r="H54" s="348">
        <f t="shared" si="7"/>
        <v>34411221</v>
      </c>
      <c r="I54" s="350">
        <f t="shared" si="8"/>
        <v>8.9600000000000009</v>
      </c>
      <c r="K54" s="244">
        <f t="shared" si="4"/>
        <v>100.0273</v>
      </c>
      <c r="L54" s="244">
        <f t="shared" si="5"/>
        <v>100.02478000000001</v>
      </c>
      <c r="M54" s="244">
        <f t="shared" si="2"/>
        <v>100.02522999999999</v>
      </c>
    </row>
    <row r="55" spans="1:13" s="31" customFormat="1" ht="27" customHeight="1">
      <c r="A55" s="337">
        <v>101339096</v>
      </c>
      <c r="B55" s="338">
        <f t="shared" si="3"/>
        <v>22.06</v>
      </c>
      <c r="C55" s="297" t="s">
        <v>479</v>
      </c>
      <c r="D55" s="348">
        <f>D58+D60+D63+D65+D67+D56</f>
        <v>1100732</v>
      </c>
      <c r="E55" s="349">
        <f t="shared" si="6"/>
        <v>0.26</v>
      </c>
      <c r="F55" s="348">
        <f>F58+F60+F63+F65+F67+F56</f>
        <v>957166</v>
      </c>
      <c r="G55" s="338">
        <f t="shared" si="1"/>
        <v>0.25</v>
      </c>
      <c r="H55" s="359">
        <f t="shared" si="7"/>
        <v>143566</v>
      </c>
      <c r="I55" s="360">
        <f t="shared" si="8"/>
        <v>15</v>
      </c>
      <c r="K55" s="244">
        <f t="shared" si="4"/>
        <v>22.060179999999999</v>
      </c>
      <c r="L55" s="244">
        <f t="shared" si="5"/>
        <v>0.26306000000000002</v>
      </c>
      <c r="M55" s="244">
        <f t="shared" si="2"/>
        <v>0.24923999999999999</v>
      </c>
    </row>
    <row r="56" spans="1:13" s="10" customFormat="1" ht="30" hidden="1" customHeight="1">
      <c r="A56" s="339"/>
      <c r="B56" s="340">
        <f t="shared" si="3"/>
        <v>0</v>
      </c>
      <c r="C56" s="298" t="s">
        <v>480</v>
      </c>
      <c r="D56" s="351">
        <f>D57</f>
        <v>0</v>
      </c>
      <c r="E56" s="352">
        <f t="shared" si="6"/>
        <v>0</v>
      </c>
      <c r="F56" s="351">
        <f>F57</f>
        <v>0</v>
      </c>
      <c r="G56" s="340">
        <f t="shared" si="1"/>
        <v>0</v>
      </c>
      <c r="H56" s="354">
        <f t="shared" ref="H56:H57" si="27">D56-F56</f>
        <v>0</v>
      </c>
      <c r="I56" s="355" t="e">
        <f t="shared" ref="I56:I57" si="28">ROUND(H56/F56*100,2)</f>
        <v>#DIV/0!</v>
      </c>
      <c r="K56" s="245">
        <f t="shared" ref="K56:K57" si="29">ROUND(A56/$A$8*100,5)</f>
        <v>0</v>
      </c>
      <c r="L56" s="245">
        <f t="shared" ref="L56:L57" si="30">ROUND(D56/$D$8*100,5)</f>
        <v>0</v>
      </c>
      <c r="M56" s="245">
        <f t="shared" ref="M56:M57" si="31">ROUND(F56/$F$8*100,5)</f>
        <v>0</v>
      </c>
    </row>
    <row r="57" spans="1:13" s="10" customFormat="1" ht="30" hidden="1" customHeight="1" thickBot="1">
      <c r="A57" s="341"/>
      <c r="B57" s="340">
        <f t="shared" si="3"/>
        <v>0</v>
      </c>
      <c r="C57" s="303" t="s">
        <v>459</v>
      </c>
      <c r="D57" s="356"/>
      <c r="E57" s="352">
        <f t="shared" si="6"/>
        <v>0</v>
      </c>
      <c r="F57" s="356"/>
      <c r="G57" s="340">
        <f t="shared" si="1"/>
        <v>0</v>
      </c>
      <c r="H57" s="378">
        <f t="shared" si="27"/>
        <v>0</v>
      </c>
      <c r="I57" s="379" t="e">
        <f t="shared" si="28"/>
        <v>#DIV/0!</v>
      </c>
      <c r="K57" s="245">
        <f t="shared" si="29"/>
        <v>0</v>
      </c>
      <c r="L57" s="245">
        <f t="shared" si="30"/>
        <v>0</v>
      </c>
      <c r="M57" s="245">
        <f t="shared" si="31"/>
        <v>0</v>
      </c>
    </row>
    <row r="58" spans="1:13" s="10" customFormat="1" ht="24" customHeight="1">
      <c r="A58" s="339">
        <v>57326</v>
      </c>
      <c r="B58" s="340">
        <f t="shared" si="3"/>
        <v>0.01</v>
      </c>
      <c r="C58" s="298" t="s">
        <v>481</v>
      </c>
      <c r="D58" s="351">
        <f>D59</f>
        <v>68000</v>
      </c>
      <c r="E58" s="352">
        <f t="shared" si="6"/>
        <v>0.02</v>
      </c>
      <c r="F58" s="351">
        <f>F59</f>
        <v>72000</v>
      </c>
      <c r="G58" s="340">
        <f t="shared" si="1"/>
        <v>0.02</v>
      </c>
      <c r="H58" s="354">
        <f t="shared" si="7"/>
        <v>-4000</v>
      </c>
      <c r="I58" s="355">
        <f t="shared" si="8"/>
        <v>-5.56</v>
      </c>
      <c r="K58" s="245">
        <f t="shared" si="4"/>
        <v>1.248E-2</v>
      </c>
      <c r="L58" s="245">
        <f t="shared" si="5"/>
        <v>1.6250000000000001E-2</v>
      </c>
      <c r="M58" s="245">
        <f t="shared" si="2"/>
        <v>1.8749999999999999E-2</v>
      </c>
    </row>
    <row r="59" spans="1:13" s="10" customFormat="1" ht="23.4" customHeight="1">
      <c r="A59" s="339">
        <v>57326</v>
      </c>
      <c r="B59" s="412">
        <f t="shared" si="3"/>
        <v>0.01</v>
      </c>
      <c r="C59" s="298" t="s">
        <v>459</v>
      </c>
      <c r="D59" s="351">
        <f>70000-2000</f>
        <v>68000</v>
      </c>
      <c r="E59" s="352">
        <f t="shared" si="6"/>
        <v>0.02</v>
      </c>
      <c r="F59" s="351">
        <f>80000-8000</f>
        <v>72000</v>
      </c>
      <c r="G59" s="340">
        <f t="shared" si="1"/>
        <v>0.02</v>
      </c>
      <c r="H59" s="354">
        <f t="shared" si="7"/>
        <v>-4000</v>
      </c>
      <c r="I59" s="355">
        <f t="shared" si="8"/>
        <v>-5.56</v>
      </c>
      <c r="K59" s="245">
        <f t="shared" si="4"/>
        <v>1.248E-2</v>
      </c>
      <c r="L59" s="245">
        <f t="shared" si="5"/>
        <v>1.6250000000000001E-2</v>
      </c>
      <c r="M59" s="245">
        <f t="shared" si="2"/>
        <v>1.8749999999999999E-2</v>
      </c>
    </row>
    <row r="60" spans="1:13" s="10" customFormat="1" ht="27.6" customHeight="1">
      <c r="A60" s="339">
        <v>26331728</v>
      </c>
      <c r="B60" s="340">
        <f t="shared" si="3"/>
        <v>5.73</v>
      </c>
      <c r="C60" s="298" t="s">
        <v>482</v>
      </c>
      <c r="D60" s="351">
        <f>D61</f>
        <v>0</v>
      </c>
      <c r="E60" s="352">
        <f t="shared" si="6"/>
        <v>0</v>
      </c>
      <c r="F60" s="351">
        <f>F61</f>
        <v>0</v>
      </c>
      <c r="G60" s="340">
        <f t="shared" si="1"/>
        <v>0</v>
      </c>
      <c r="H60" s="351">
        <f>H61</f>
        <v>0</v>
      </c>
      <c r="I60" s="353">
        <v>0</v>
      </c>
      <c r="K60" s="245">
        <f t="shared" si="4"/>
        <v>5.7320700000000002</v>
      </c>
      <c r="L60" s="245">
        <f t="shared" si="5"/>
        <v>0</v>
      </c>
      <c r="M60" s="245">
        <f t="shared" si="2"/>
        <v>0</v>
      </c>
    </row>
    <row r="61" spans="1:13" s="10" customFormat="1" ht="27.75" customHeight="1" thickBot="1">
      <c r="A61" s="341">
        <v>26095445</v>
      </c>
      <c r="B61" s="342">
        <f t="shared" si="3"/>
        <v>5.68</v>
      </c>
      <c r="C61" s="303" t="s">
        <v>459</v>
      </c>
      <c r="D61" s="356">
        <v>0</v>
      </c>
      <c r="E61" s="357">
        <f t="shared" si="6"/>
        <v>0</v>
      </c>
      <c r="F61" s="356">
        <v>0</v>
      </c>
      <c r="G61" s="342">
        <f t="shared" si="1"/>
        <v>0</v>
      </c>
      <c r="H61" s="356">
        <v>0</v>
      </c>
      <c r="I61" s="358">
        <v>0</v>
      </c>
      <c r="K61" s="245">
        <f t="shared" si="4"/>
        <v>5.6806299999999998</v>
      </c>
      <c r="L61" s="245">
        <f t="shared" si="5"/>
        <v>0</v>
      </c>
      <c r="M61" s="245">
        <f t="shared" si="2"/>
        <v>0</v>
      </c>
    </row>
    <row r="62" spans="1:13" s="10" customFormat="1" ht="26.4" customHeight="1">
      <c r="A62" s="339">
        <v>236283</v>
      </c>
      <c r="B62" s="340">
        <f t="shared" ref="B62" si="32">ROUND(A62/$A$8*100,2)</f>
        <v>0.05</v>
      </c>
      <c r="C62" s="298" t="s">
        <v>462</v>
      </c>
      <c r="D62" s="351">
        <v>0</v>
      </c>
      <c r="E62" s="352">
        <f t="shared" ref="E62" si="33">ROUND(D62/$D$8*100,2)</f>
        <v>0</v>
      </c>
      <c r="F62" s="351">
        <v>0</v>
      </c>
      <c r="G62" s="340">
        <f t="shared" ref="G62" si="34">ROUND(F62/$F$8*100,2)</f>
        <v>0</v>
      </c>
      <c r="H62" s="351">
        <v>0</v>
      </c>
      <c r="I62" s="353">
        <v>0</v>
      </c>
      <c r="K62" s="245">
        <f t="shared" ref="K62" si="35">ROUND(A62/$A$8*100,5)</f>
        <v>5.144E-2</v>
      </c>
      <c r="L62" s="245">
        <f t="shared" ref="L62" si="36">ROUND(D62/$D$8*100,5)</f>
        <v>0</v>
      </c>
      <c r="M62" s="245">
        <f t="shared" ref="M62" si="37">ROUND(F62/$F$8*100,5)</f>
        <v>0</v>
      </c>
    </row>
    <row r="63" spans="1:13" s="10" customFormat="1" ht="26.4" customHeight="1">
      <c r="A63" s="339">
        <v>19625</v>
      </c>
      <c r="B63" s="340">
        <f t="shared" si="3"/>
        <v>0</v>
      </c>
      <c r="C63" s="298" t="s">
        <v>483</v>
      </c>
      <c r="D63" s="351">
        <f>D64</f>
        <v>20670</v>
      </c>
      <c r="E63" s="352">
        <f t="shared" si="6"/>
        <v>0</v>
      </c>
      <c r="F63" s="351">
        <f>F64</f>
        <v>20587</v>
      </c>
      <c r="G63" s="340">
        <f t="shared" si="1"/>
        <v>0.01</v>
      </c>
      <c r="H63" s="354">
        <f t="shared" si="7"/>
        <v>83</v>
      </c>
      <c r="I63" s="355">
        <f t="shared" si="8"/>
        <v>0.4</v>
      </c>
      <c r="K63" s="245">
        <f t="shared" si="4"/>
        <v>4.2700000000000004E-3</v>
      </c>
      <c r="L63" s="245">
        <f t="shared" si="5"/>
        <v>4.9399999999999999E-3</v>
      </c>
      <c r="M63" s="245">
        <f t="shared" si="2"/>
        <v>5.3600000000000002E-3</v>
      </c>
    </row>
    <row r="64" spans="1:13" s="10" customFormat="1" ht="26.4" customHeight="1">
      <c r="A64" s="339">
        <v>19625</v>
      </c>
      <c r="B64" s="340">
        <f t="shared" si="3"/>
        <v>0</v>
      </c>
      <c r="C64" s="298" t="s">
        <v>459</v>
      </c>
      <c r="D64" s="351">
        <v>20670</v>
      </c>
      <c r="E64" s="352">
        <f t="shared" si="6"/>
        <v>0</v>
      </c>
      <c r="F64" s="351">
        <v>20587</v>
      </c>
      <c r="G64" s="340">
        <f t="shared" si="1"/>
        <v>0.01</v>
      </c>
      <c r="H64" s="354">
        <f t="shared" si="7"/>
        <v>83</v>
      </c>
      <c r="I64" s="355">
        <f t="shared" si="8"/>
        <v>0.4</v>
      </c>
      <c r="K64" s="245">
        <f t="shared" si="4"/>
        <v>4.2700000000000004E-3</v>
      </c>
      <c r="L64" s="245">
        <f t="shared" si="5"/>
        <v>4.9399999999999999E-3</v>
      </c>
      <c r="M64" s="245">
        <f t="shared" si="2"/>
        <v>5.3600000000000002E-3</v>
      </c>
    </row>
    <row r="65" spans="1:13" s="10" customFormat="1" ht="26.4" customHeight="1">
      <c r="A65" s="339">
        <v>10742268</v>
      </c>
      <c r="B65" s="340">
        <f t="shared" si="3"/>
        <v>2.34</v>
      </c>
      <c r="C65" s="298" t="s">
        <v>484</v>
      </c>
      <c r="D65" s="351">
        <f>D66</f>
        <v>0</v>
      </c>
      <c r="E65" s="352">
        <f t="shared" si="6"/>
        <v>0</v>
      </c>
      <c r="F65" s="351">
        <f>F66</f>
        <v>0</v>
      </c>
      <c r="G65" s="340">
        <f t="shared" si="1"/>
        <v>0</v>
      </c>
      <c r="H65" s="351">
        <f>H66</f>
        <v>0</v>
      </c>
      <c r="I65" s="353">
        <v>0</v>
      </c>
      <c r="K65" s="245">
        <f t="shared" si="4"/>
        <v>2.3384499999999999</v>
      </c>
      <c r="L65" s="245">
        <f t="shared" si="5"/>
        <v>0</v>
      </c>
      <c r="M65" s="245">
        <f t="shared" si="2"/>
        <v>0</v>
      </c>
    </row>
    <row r="66" spans="1:13" s="10" customFormat="1" ht="26.4" customHeight="1">
      <c r="A66" s="339">
        <v>10742268</v>
      </c>
      <c r="B66" s="340">
        <f t="shared" si="3"/>
        <v>2.34</v>
      </c>
      <c r="C66" s="298" t="s">
        <v>459</v>
      </c>
      <c r="D66" s="351">
        <v>0</v>
      </c>
      <c r="E66" s="352">
        <f t="shared" si="6"/>
        <v>0</v>
      </c>
      <c r="F66" s="351">
        <v>0</v>
      </c>
      <c r="G66" s="340">
        <f t="shared" si="1"/>
        <v>0</v>
      </c>
      <c r="H66" s="351">
        <v>0</v>
      </c>
      <c r="I66" s="353">
        <v>0</v>
      </c>
      <c r="K66" s="245">
        <f t="shared" si="4"/>
        <v>2.3384499999999999</v>
      </c>
      <c r="L66" s="245">
        <f t="shared" si="5"/>
        <v>0</v>
      </c>
      <c r="M66" s="245">
        <f t="shared" si="2"/>
        <v>0</v>
      </c>
    </row>
    <row r="67" spans="1:13" s="10" customFormat="1" ht="26.4" customHeight="1">
      <c r="A67" s="339">
        <v>64188148</v>
      </c>
      <c r="B67" s="340">
        <f t="shared" si="3"/>
        <v>13.97</v>
      </c>
      <c r="C67" s="298" t="s">
        <v>485</v>
      </c>
      <c r="D67" s="351">
        <f>SUM(D68:D70)</f>
        <v>1012062</v>
      </c>
      <c r="E67" s="352">
        <f t="shared" si="6"/>
        <v>0.24</v>
      </c>
      <c r="F67" s="351">
        <f>SUM(F68:F70)</f>
        <v>864579</v>
      </c>
      <c r="G67" s="340">
        <f t="shared" si="1"/>
        <v>0.23</v>
      </c>
      <c r="H67" s="351">
        <f t="shared" si="7"/>
        <v>147483</v>
      </c>
      <c r="I67" s="353">
        <f t="shared" si="8"/>
        <v>17.059999999999999</v>
      </c>
      <c r="K67" s="245">
        <f t="shared" si="4"/>
        <v>13.972910000000001</v>
      </c>
      <c r="L67" s="245">
        <f t="shared" si="5"/>
        <v>0.24187</v>
      </c>
      <c r="M67" s="245">
        <f t="shared" si="2"/>
        <v>0.22514000000000001</v>
      </c>
    </row>
    <row r="68" spans="1:13" s="10" customFormat="1" ht="26.4" customHeight="1">
      <c r="A68" s="339">
        <v>64187805</v>
      </c>
      <c r="B68" s="340">
        <f t="shared" si="3"/>
        <v>13.97</v>
      </c>
      <c r="C68" s="298" t="s">
        <v>459</v>
      </c>
      <c r="D68" s="351">
        <v>1010705</v>
      </c>
      <c r="E68" s="352">
        <f t="shared" si="6"/>
        <v>0.24</v>
      </c>
      <c r="F68" s="351">
        <v>862115</v>
      </c>
      <c r="G68" s="340">
        <f t="shared" si="1"/>
        <v>0.22</v>
      </c>
      <c r="H68" s="351">
        <f t="shared" si="7"/>
        <v>148590</v>
      </c>
      <c r="I68" s="353">
        <f t="shared" si="8"/>
        <v>17.239999999999998</v>
      </c>
      <c r="K68" s="245">
        <f t="shared" si="4"/>
        <v>13.97283</v>
      </c>
      <c r="L68" s="245">
        <f t="shared" si="5"/>
        <v>0.24154999999999999</v>
      </c>
      <c r="M68" s="245">
        <f t="shared" si="2"/>
        <v>0.22449</v>
      </c>
    </row>
    <row r="69" spans="1:13" s="10" customFormat="1" ht="26.4" customHeight="1">
      <c r="A69" s="339">
        <v>24</v>
      </c>
      <c r="B69" s="340">
        <f t="shared" si="3"/>
        <v>0</v>
      </c>
      <c r="C69" s="298" t="s">
        <v>466</v>
      </c>
      <c r="D69" s="351">
        <v>0</v>
      </c>
      <c r="E69" s="352">
        <f t="shared" si="6"/>
        <v>0</v>
      </c>
      <c r="F69" s="351">
        <v>80</v>
      </c>
      <c r="G69" s="340">
        <f t="shared" si="1"/>
        <v>0</v>
      </c>
      <c r="H69" s="354">
        <f t="shared" si="7"/>
        <v>-80</v>
      </c>
      <c r="I69" s="355">
        <f t="shared" si="8"/>
        <v>-100</v>
      </c>
      <c r="K69" s="245">
        <f t="shared" si="4"/>
        <v>1.0000000000000001E-5</v>
      </c>
      <c r="L69" s="245">
        <f t="shared" si="5"/>
        <v>0</v>
      </c>
      <c r="M69" s="245">
        <f t="shared" si="2"/>
        <v>2.0000000000000002E-5</v>
      </c>
    </row>
    <row r="70" spans="1:13" s="10" customFormat="1" ht="26.4" customHeight="1">
      <c r="A70" s="339">
        <v>319</v>
      </c>
      <c r="B70" s="340">
        <f t="shared" si="3"/>
        <v>0</v>
      </c>
      <c r="C70" s="298" t="s">
        <v>462</v>
      </c>
      <c r="D70" s="351">
        <v>1357</v>
      </c>
      <c r="E70" s="352">
        <f t="shared" si="6"/>
        <v>0</v>
      </c>
      <c r="F70" s="351">
        <v>2384</v>
      </c>
      <c r="G70" s="340">
        <f t="shared" si="1"/>
        <v>0</v>
      </c>
      <c r="H70" s="354">
        <f t="shared" si="7"/>
        <v>-1027</v>
      </c>
      <c r="I70" s="355">
        <f t="shared" si="8"/>
        <v>-43.08</v>
      </c>
      <c r="K70" s="245">
        <f t="shared" si="4"/>
        <v>6.9999999999999994E-5</v>
      </c>
      <c r="L70" s="245">
        <f t="shared" si="5"/>
        <v>3.2000000000000003E-4</v>
      </c>
      <c r="M70" s="245">
        <f t="shared" si="2"/>
        <v>6.2E-4</v>
      </c>
    </row>
    <row r="71" spans="1:13" s="31" customFormat="1" ht="26.4" customHeight="1">
      <c r="A71" s="337">
        <v>356158584</v>
      </c>
      <c r="B71" s="338">
        <f t="shared" si="3"/>
        <v>77.53</v>
      </c>
      <c r="C71" s="297" t="s">
        <v>486</v>
      </c>
      <c r="D71" s="348">
        <f>D72+D78+D83</f>
        <v>414923371</v>
      </c>
      <c r="E71" s="349">
        <f t="shared" si="6"/>
        <v>99.16</v>
      </c>
      <c r="F71" s="348">
        <f>F72+F78+F83</f>
        <v>379995310</v>
      </c>
      <c r="G71" s="338">
        <f t="shared" si="1"/>
        <v>98.95</v>
      </c>
      <c r="H71" s="348">
        <f t="shared" si="7"/>
        <v>34928061</v>
      </c>
      <c r="I71" s="350">
        <f t="shared" si="8"/>
        <v>9.19</v>
      </c>
      <c r="K71" s="244">
        <f t="shared" si="4"/>
        <v>77.531000000000006</v>
      </c>
      <c r="L71" s="244">
        <f t="shared" si="5"/>
        <v>99.161779999999993</v>
      </c>
      <c r="M71" s="244">
        <f t="shared" si="2"/>
        <v>98.950320000000005</v>
      </c>
    </row>
    <row r="72" spans="1:13" s="10" customFormat="1" ht="26.4" customHeight="1">
      <c r="A72" s="339">
        <v>307974702</v>
      </c>
      <c r="B72" s="340">
        <f t="shared" si="3"/>
        <v>67.040000000000006</v>
      </c>
      <c r="C72" s="298" t="s">
        <v>487</v>
      </c>
      <c r="D72" s="351">
        <f>SUM(D73:D77)</f>
        <v>365074732</v>
      </c>
      <c r="E72" s="352">
        <f t="shared" si="6"/>
        <v>87.25</v>
      </c>
      <c r="F72" s="351">
        <f>SUM(F73:F77)</f>
        <v>344383283</v>
      </c>
      <c r="G72" s="340">
        <f t="shared" si="1"/>
        <v>89.68</v>
      </c>
      <c r="H72" s="351">
        <f>D72-F72</f>
        <v>20691449</v>
      </c>
      <c r="I72" s="353">
        <f>ROUND(H72/F72*100,2)</f>
        <v>6.01</v>
      </c>
      <c r="K72" s="245">
        <f t="shared" si="4"/>
        <v>67.042010000000005</v>
      </c>
      <c r="L72" s="245">
        <f t="shared" si="5"/>
        <v>87.248549999999994</v>
      </c>
      <c r="M72" s="245">
        <f t="shared" si="2"/>
        <v>89.676990000000004</v>
      </c>
    </row>
    <row r="73" spans="1:13" s="10" customFormat="1" ht="26.4" customHeight="1">
      <c r="A73" s="339">
        <v>275509530</v>
      </c>
      <c r="B73" s="340">
        <f t="shared" si="3"/>
        <v>59.97</v>
      </c>
      <c r="C73" s="298" t="s">
        <v>488</v>
      </c>
      <c r="D73" s="351">
        <v>330221806</v>
      </c>
      <c r="E73" s="352">
        <f t="shared" si="6"/>
        <v>78.92</v>
      </c>
      <c r="F73" s="351">
        <v>310734869</v>
      </c>
      <c r="G73" s="340">
        <f t="shared" si="1"/>
        <v>80.91</v>
      </c>
      <c r="H73" s="351">
        <f t="shared" si="7"/>
        <v>19486937</v>
      </c>
      <c r="I73" s="353">
        <f t="shared" si="8"/>
        <v>6.27</v>
      </c>
      <c r="K73" s="245">
        <f t="shared" si="4"/>
        <v>59.974769999999999</v>
      </c>
      <c r="L73" s="245">
        <f t="shared" si="5"/>
        <v>78.919110000000003</v>
      </c>
      <c r="M73" s="245">
        <f t="shared" si="2"/>
        <v>80.914990000000003</v>
      </c>
    </row>
    <row r="74" spans="1:13" s="10" customFormat="1" ht="26.4" customHeight="1">
      <c r="A74" s="339">
        <v>6963586</v>
      </c>
      <c r="B74" s="340">
        <f t="shared" si="3"/>
        <v>1.52</v>
      </c>
      <c r="C74" s="298" t="s">
        <v>489</v>
      </c>
      <c r="D74" s="351">
        <v>7793098</v>
      </c>
      <c r="E74" s="352">
        <f t="shared" si="6"/>
        <v>1.86</v>
      </c>
      <c r="F74" s="351">
        <v>7909557</v>
      </c>
      <c r="G74" s="340">
        <f t="shared" si="1"/>
        <v>2.06</v>
      </c>
      <c r="H74" s="354">
        <f t="shared" si="7"/>
        <v>-116459</v>
      </c>
      <c r="I74" s="355">
        <f t="shared" si="8"/>
        <v>-1.47</v>
      </c>
      <c r="K74" s="245">
        <f t="shared" si="4"/>
        <v>1.5158799999999999</v>
      </c>
      <c r="L74" s="245">
        <f t="shared" si="5"/>
        <v>1.86246</v>
      </c>
      <c r="M74" s="245">
        <f t="shared" si="2"/>
        <v>2.0596399999999999</v>
      </c>
    </row>
    <row r="75" spans="1:13" s="10" customFormat="1" ht="26.4" customHeight="1">
      <c r="A75" s="339">
        <v>17322524</v>
      </c>
      <c r="B75" s="340">
        <f t="shared" si="3"/>
        <v>3.77</v>
      </c>
      <c r="C75" s="298" t="s">
        <v>490</v>
      </c>
      <c r="D75" s="351">
        <v>18783045</v>
      </c>
      <c r="E75" s="352">
        <f t="shared" si="6"/>
        <v>4.49</v>
      </c>
      <c r="F75" s="351">
        <f>17028226-8830</f>
        <v>17019396</v>
      </c>
      <c r="G75" s="340">
        <f t="shared" si="1"/>
        <v>4.43</v>
      </c>
      <c r="H75" s="351">
        <f t="shared" si="7"/>
        <v>1763649</v>
      </c>
      <c r="I75" s="353">
        <f t="shared" si="8"/>
        <v>10.36</v>
      </c>
      <c r="K75" s="245">
        <f t="shared" si="4"/>
        <v>3.77088</v>
      </c>
      <c r="L75" s="245">
        <f t="shared" si="5"/>
        <v>4.4889299999999999</v>
      </c>
      <c r="M75" s="245">
        <f t="shared" si="2"/>
        <v>4.4318299999999997</v>
      </c>
    </row>
    <row r="76" spans="1:13" s="10" customFormat="1" ht="26.4" customHeight="1">
      <c r="A76" s="339">
        <v>7682105</v>
      </c>
      <c r="B76" s="340">
        <f t="shared" si="3"/>
        <v>1.67</v>
      </c>
      <c r="C76" s="298" t="s">
        <v>491</v>
      </c>
      <c r="D76" s="351">
        <v>7718714</v>
      </c>
      <c r="E76" s="352">
        <f t="shared" si="6"/>
        <v>1.84</v>
      </c>
      <c r="F76" s="351">
        <v>8097834</v>
      </c>
      <c r="G76" s="340">
        <f t="shared" si="1"/>
        <v>2.11</v>
      </c>
      <c r="H76" s="354">
        <f t="shared" si="7"/>
        <v>-379120</v>
      </c>
      <c r="I76" s="355">
        <f t="shared" si="8"/>
        <v>-4.68</v>
      </c>
      <c r="K76" s="245">
        <f t="shared" si="4"/>
        <v>1.6722900000000001</v>
      </c>
      <c r="L76" s="245">
        <f t="shared" si="5"/>
        <v>1.8446800000000001</v>
      </c>
      <c r="M76" s="245">
        <f t="shared" si="2"/>
        <v>2.10867</v>
      </c>
    </row>
    <row r="77" spans="1:13" s="10" customFormat="1" ht="26.4" customHeight="1">
      <c r="A77" s="339">
        <v>496957</v>
      </c>
      <c r="B77" s="340">
        <f t="shared" si="3"/>
        <v>0.11</v>
      </c>
      <c r="C77" s="298" t="s">
        <v>492</v>
      </c>
      <c r="D77" s="351">
        <f>564179-6110</f>
        <v>558069</v>
      </c>
      <c r="E77" s="352">
        <f t="shared" si="6"/>
        <v>0.13</v>
      </c>
      <c r="F77" s="351">
        <v>621627</v>
      </c>
      <c r="G77" s="340">
        <f t="shared" si="1"/>
        <v>0.16</v>
      </c>
      <c r="H77" s="354">
        <f>D77-F77</f>
        <v>-63558</v>
      </c>
      <c r="I77" s="355">
        <f>ROUND(H77/F77*100,2)</f>
        <v>-10.220000000000001</v>
      </c>
      <c r="K77" s="245">
        <f>ROUND(A77/$A$8*100,5)</f>
        <v>0.10818</v>
      </c>
      <c r="L77" s="245">
        <f>ROUND(D77/$D$8*100,5)</f>
        <v>0.13336999999999999</v>
      </c>
      <c r="M77" s="245">
        <f>ROUND(F77/$F$8*100,5)</f>
        <v>0.16187000000000001</v>
      </c>
    </row>
    <row r="78" spans="1:13" s="10" customFormat="1" ht="26.4" customHeight="1">
      <c r="A78" s="339">
        <v>47702508</v>
      </c>
      <c r="B78" s="340">
        <f t="shared" si="3"/>
        <v>10.38</v>
      </c>
      <c r="C78" s="298" t="s">
        <v>493</v>
      </c>
      <c r="D78" s="351">
        <f>SUM(D79:D82)</f>
        <v>49446346</v>
      </c>
      <c r="E78" s="352">
        <f t="shared" si="6"/>
        <v>11.82</v>
      </c>
      <c r="F78" s="351">
        <f>SUM(F79:F82)</f>
        <v>35245090</v>
      </c>
      <c r="G78" s="340">
        <f t="shared" ref="G78:G125" si="38">ROUND(F78/$F$8*100,2)</f>
        <v>9.18</v>
      </c>
      <c r="H78" s="354">
        <f t="shared" si="7"/>
        <v>14201256</v>
      </c>
      <c r="I78" s="355">
        <f t="shared" si="8"/>
        <v>40.29</v>
      </c>
      <c r="K78" s="245">
        <f t="shared" si="4"/>
        <v>10.3842</v>
      </c>
      <c r="L78" s="245">
        <f t="shared" si="5"/>
        <v>11.81709</v>
      </c>
      <c r="M78" s="245">
        <f t="shared" si="2"/>
        <v>9.1777800000000003</v>
      </c>
    </row>
    <row r="79" spans="1:13" s="10" customFormat="1" ht="26.4" customHeight="1">
      <c r="A79" s="339">
        <v>40234368</v>
      </c>
      <c r="B79" s="340">
        <f t="shared" ref="B79:B125" si="39">ROUND(A79/$A$8*100,2)</f>
        <v>8.76</v>
      </c>
      <c r="C79" s="298" t="s">
        <v>488</v>
      </c>
      <c r="D79" s="351">
        <f>43395408+2000</f>
        <v>43397408</v>
      </c>
      <c r="E79" s="352">
        <f t="shared" si="6"/>
        <v>10.37</v>
      </c>
      <c r="F79" s="351">
        <f>29709828+8000</f>
        <v>29717828</v>
      </c>
      <c r="G79" s="340">
        <f t="shared" si="38"/>
        <v>7.74</v>
      </c>
      <c r="H79" s="354">
        <f t="shared" si="7"/>
        <v>13679580</v>
      </c>
      <c r="I79" s="355">
        <f t="shared" si="8"/>
        <v>46.03</v>
      </c>
      <c r="K79" s="245">
        <f t="shared" si="4"/>
        <v>8.7584900000000001</v>
      </c>
      <c r="L79" s="245">
        <f t="shared" si="5"/>
        <v>10.37147</v>
      </c>
      <c r="M79" s="245">
        <f t="shared" si="2"/>
        <v>7.7384899999999996</v>
      </c>
    </row>
    <row r="80" spans="1:13" s="10" customFormat="1" ht="24.6" customHeight="1">
      <c r="A80" s="339">
        <v>543206</v>
      </c>
      <c r="B80" s="340">
        <f t="shared" si="39"/>
        <v>0.12</v>
      </c>
      <c r="C80" s="298" t="s">
        <v>489</v>
      </c>
      <c r="D80" s="351">
        <v>440543</v>
      </c>
      <c r="E80" s="352">
        <f t="shared" si="6"/>
        <v>0.11</v>
      </c>
      <c r="F80" s="351">
        <v>0</v>
      </c>
      <c r="G80" s="340">
        <f t="shared" si="38"/>
        <v>0</v>
      </c>
      <c r="H80" s="354">
        <f t="shared" si="7"/>
        <v>440543</v>
      </c>
      <c r="I80" s="353">
        <v>0</v>
      </c>
      <c r="K80" s="245">
        <f t="shared" ref="K80:K125" si="40">ROUND(A80/$A$8*100,5)</f>
        <v>0.11824999999999999</v>
      </c>
      <c r="L80" s="245">
        <f t="shared" ref="L80:L125" si="41">ROUND(D80/$D$8*100,5)</f>
        <v>0.10528</v>
      </c>
      <c r="M80" s="245">
        <f t="shared" si="2"/>
        <v>0</v>
      </c>
    </row>
    <row r="81" spans="1:13" s="10" customFormat="1" ht="22.8" customHeight="1">
      <c r="A81" s="339">
        <v>6892136</v>
      </c>
      <c r="B81" s="340">
        <f t="shared" si="39"/>
        <v>1.5</v>
      </c>
      <c r="C81" s="298" t="s">
        <v>490</v>
      </c>
      <c r="D81" s="351">
        <v>5608395</v>
      </c>
      <c r="E81" s="352">
        <f t="shared" ref="E81:E125" si="42">ROUND(D81/$D$8*100,2)</f>
        <v>1.34</v>
      </c>
      <c r="F81" s="351">
        <f>5396077+423+121932+8830</f>
        <v>5527262</v>
      </c>
      <c r="G81" s="340">
        <f t="shared" si="38"/>
        <v>1.44</v>
      </c>
      <c r="H81" s="354">
        <f t="shared" ref="H81:H124" si="43">D81-F81</f>
        <v>81133</v>
      </c>
      <c r="I81" s="355">
        <f t="shared" ref="I81:I124" si="44">ROUND(H81/F81*100,2)</f>
        <v>1.47</v>
      </c>
      <c r="K81" s="245">
        <f t="shared" si="40"/>
        <v>1.5003299999999999</v>
      </c>
      <c r="L81" s="245">
        <f t="shared" si="41"/>
        <v>1.3403400000000001</v>
      </c>
      <c r="M81" s="245">
        <f t="shared" si="2"/>
        <v>1.43929</v>
      </c>
    </row>
    <row r="82" spans="1:13" s="10" customFormat="1" ht="26.4" customHeight="1">
      <c r="A82" s="339">
        <v>32799</v>
      </c>
      <c r="B82" s="412">
        <f t="shared" si="39"/>
        <v>0.01</v>
      </c>
      <c r="C82" s="298" t="s">
        <v>494</v>
      </c>
      <c r="D82" s="351">
        <v>0</v>
      </c>
      <c r="E82" s="352">
        <f t="shared" si="42"/>
        <v>0</v>
      </c>
      <c r="F82" s="351">
        <v>0</v>
      </c>
      <c r="G82" s="340">
        <f t="shared" si="38"/>
        <v>0</v>
      </c>
      <c r="H82" s="351">
        <f t="shared" si="43"/>
        <v>0</v>
      </c>
      <c r="I82" s="353">
        <v>0</v>
      </c>
      <c r="K82" s="245">
        <f t="shared" si="40"/>
        <v>7.1399999999999996E-3</v>
      </c>
      <c r="L82" s="245">
        <f t="shared" si="41"/>
        <v>0</v>
      </c>
      <c r="M82" s="245">
        <f t="shared" si="2"/>
        <v>0</v>
      </c>
    </row>
    <row r="83" spans="1:13" s="10" customFormat="1" ht="25.8" customHeight="1">
      <c r="A83" s="339">
        <v>481373</v>
      </c>
      <c r="B83" s="340">
        <f t="shared" si="39"/>
        <v>0.1</v>
      </c>
      <c r="C83" s="298" t="s">
        <v>495</v>
      </c>
      <c r="D83" s="351">
        <f>SUM(D84:D89)</f>
        <v>402293</v>
      </c>
      <c r="E83" s="352">
        <f t="shared" si="42"/>
        <v>0.1</v>
      </c>
      <c r="F83" s="351">
        <f>SUM(F84:F89)</f>
        <v>366937</v>
      </c>
      <c r="G83" s="340">
        <f t="shared" si="38"/>
        <v>0.1</v>
      </c>
      <c r="H83" s="354">
        <f t="shared" si="43"/>
        <v>35356</v>
      </c>
      <c r="I83" s="355">
        <f t="shared" si="44"/>
        <v>9.64</v>
      </c>
      <c r="K83" s="245">
        <f t="shared" si="40"/>
        <v>0.10478999999999999</v>
      </c>
      <c r="L83" s="245">
        <f t="shared" si="41"/>
        <v>9.6140000000000003E-2</v>
      </c>
      <c r="M83" s="245">
        <f t="shared" si="2"/>
        <v>9.5549999999999996E-2</v>
      </c>
    </row>
    <row r="84" spans="1:13" s="10" customFormat="1" ht="28.2" customHeight="1">
      <c r="A84" s="339">
        <v>424747</v>
      </c>
      <c r="B84" s="340">
        <f t="shared" si="39"/>
        <v>0.09</v>
      </c>
      <c r="C84" s="298" t="s">
        <v>488</v>
      </c>
      <c r="D84" s="351">
        <v>346048</v>
      </c>
      <c r="E84" s="352">
        <f t="shared" si="42"/>
        <v>0.08</v>
      </c>
      <c r="F84" s="351">
        <v>312828</v>
      </c>
      <c r="G84" s="340">
        <f t="shared" si="38"/>
        <v>0.08</v>
      </c>
      <c r="H84" s="354">
        <f t="shared" si="43"/>
        <v>33220</v>
      </c>
      <c r="I84" s="355">
        <f t="shared" si="44"/>
        <v>10.62</v>
      </c>
      <c r="K84" s="245">
        <f t="shared" si="40"/>
        <v>9.2460000000000001E-2</v>
      </c>
      <c r="L84" s="245">
        <f t="shared" si="41"/>
        <v>8.2699999999999996E-2</v>
      </c>
      <c r="M84" s="245">
        <f t="shared" si="2"/>
        <v>8.1460000000000005E-2</v>
      </c>
    </row>
    <row r="85" spans="1:13" s="10" customFormat="1" ht="29.25" customHeight="1" thickBot="1">
      <c r="A85" s="341">
        <v>12729</v>
      </c>
      <c r="B85" s="342">
        <f t="shared" si="39"/>
        <v>0</v>
      </c>
      <c r="C85" s="303" t="s">
        <v>489</v>
      </c>
      <c r="D85" s="356">
        <v>12949</v>
      </c>
      <c r="E85" s="357">
        <f t="shared" si="42"/>
        <v>0</v>
      </c>
      <c r="F85" s="356">
        <v>12255</v>
      </c>
      <c r="G85" s="342">
        <f t="shared" si="38"/>
        <v>0</v>
      </c>
      <c r="H85" s="378">
        <f t="shared" si="43"/>
        <v>694</v>
      </c>
      <c r="I85" s="379">
        <f t="shared" si="44"/>
        <v>5.66</v>
      </c>
      <c r="K85" s="245">
        <f t="shared" si="40"/>
        <v>2.7699999999999999E-3</v>
      </c>
      <c r="L85" s="245">
        <f t="shared" si="41"/>
        <v>3.0899999999999999E-3</v>
      </c>
      <c r="M85" s="245">
        <f t="shared" si="2"/>
        <v>3.1900000000000001E-3</v>
      </c>
    </row>
    <row r="86" spans="1:13" s="10" customFormat="1" ht="25.2" customHeight="1">
      <c r="A86" s="339">
        <v>30831</v>
      </c>
      <c r="B86" s="340">
        <f t="shared" si="39"/>
        <v>0.01</v>
      </c>
      <c r="C86" s="298" t="s">
        <v>490</v>
      </c>
      <c r="D86" s="351">
        <v>28622</v>
      </c>
      <c r="E86" s="352">
        <f t="shared" si="42"/>
        <v>0.01</v>
      </c>
      <c r="F86" s="351">
        <v>28113</v>
      </c>
      <c r="G86" s="340">
        <f t="shared" si="38"/>
        <v>0.01</v>
      </c>
      <c r="H86" s="354">
        <f t="shared" si="43"/>
        <v>509</v>
      </c>
      <c r="I86" s="355">
        <f t="shared" si="44"/>
        <v>1.81</v>
      </c>
      <c r="K86" s="245">
        <f t="shared" si="40"/>
        <v>6.7099999999999998E-3</v>
      </c>
      <c r="L86" s="245">
        <f t="shared" si="41"/>
        <v>6.8399999999999997E-3</v>
      </c>
      <c r="M86" s="245">
        <f t="shared" si="2"/>
        <v>7.3200000000000001E-3</v>
      </c>
    </row>
    <row r="87" spans="1:13" s="10" customFormat="1" ht="25.2" customHeight="1">
      <c r="A87" s="339">
        <v>13065</v>
      </c>
      <c r="B87" s="340">
        <f t="shared" si="39"/>
        <v>0</v>
      </c>
      <c r="C87" s="298" t="s">
        <v>491</v>
      </c>
      <c r="D87" s="351">
        <v>13834</v>
      </c>
      <c r="E87" s="352">
        <f t="shared" si="42"/>
        <v>0</v>
      </c>
      <c r="F87" s="351">
        <v>12721</v>
      </c>
      <c r="G87" s="340">
        <f t="shared" si="38"/>
        <v>0</v>
      </c>
      <c r="H87" s="354">
        <f t="shared" si="43"/>
        <v>1113</v>
      </c>
      <c r="I87" s="355">
        <f t="shared" si="44"/>
        <v>8.75</v>
      </c>
      <c r="K87" s="245">
        <f t="shared" si="40"/>
        <v>2.8400000000000001E-3</v>
      </c>
      <c r="L87" s="245">
        <f t="shared" si="41"/>
        <v>3.31E-3</v>
      </c>
      <c r="M87" s="245">
        <f t="shared" si="2"/>
        <v>3.31E-3</v>
      </c>
    </row>
    <row r="88" spans="1:13" s="10" customFormat="1" ht="25.2" hidden="1" customHeight="1">
      <c r="A88" s="339">
        <v>0</v>
      </c>
      <c r="B88" s="340">
        <f t="shared" si="39"/>
        <v>0</v>
      </c>
      <c r="C88" s="298" t="s">
        <v>492</v>
      </c>
      <c r="D88" s="351">
        <v>0</v>
      </c>
      <c r="E88" s="352">
        <f t="shared" si="42"/>
        <v>0</v>
      </c>
      <c r="F88" s="351">
        <v>0</v>
      </c>
      <c r="G88" s="340">
        <f t="shared" si="38"/>
        <v>0</v>
      </c>
      <c r="H88" s="351">
        <v>0</v>
      </c>
      <c r="I88" s="353">
        <v>0</v>
      </c>
      <c r="K88" s="245">
        <f t="shared" si="40"/>
        <v>0</v>
      </c>
      <c r="L88" s="245">
        <f t="shared" si="41"/>
        <v>0</v>
      </c>
      <c r="M88" s="245">
        <f t="shared" si="2"/>
        <v>0</v>
      </c>
    </row>
    <row r="89" spans="1:13" s="10" customFormat="1" ht="25.2" customHeight="1">
      <c r="A89" s="339">
        <v>0</v>
      </c>
      <c r="B89" s="340">
        <f t="shared" si="39"/>
        <v>0</v>
      </c>
      <c r="C89" s="298" t="s">
        <v>494</v>
      </c>
      <c r="D89" s="351">
        <v>840</v>
      </c>
      <c r="E89" s="352">
        <f t="shared" si="42"/>
        <v>0</v>
      </c>
      <c r="F89" s="351">
        <v>1020</v>
      </c>
      <c r="G89" s="340">
        <f t="shared" si="38"/>
        <v>0</v>
      </c>
      <c r="H89" s="354">
        <f t="shared" si="43"/>
        <v>-180</v>
      </c>
      <c r="I89" s="355">
        <f t="shared" si="44"/>
        <v>-17.649999999999999</v>
      </c>
      <c r="K89" s="245">
        <f t="shared" si="40"/>
        <v>0</v>
      </c>
      <c r="L89" s="245">
        <f t="shared" si="41"/>
        <v>2.0000000000000001E-4</v>
      </c>
      <c r="M89" s="245">
        <f t="shared" si="2"/>
        <v>2.7E-4</v>
      </c>
    </row>
    <row r="90" spans="1:13" s="31" customFormat="1" ht="33" customHeight="1">
      <c r="A90" s="337">
        <v>2003440</v>
      </c>
      <c r="B90" s="338">
        <f t="shared" si="39"/>
        <v>0.44</v>
      </c>
      <c r="C90" s="297" t="s">
        <v>496</v>
      </c>
      <c r="D90" s="348">
        <f>SUM(D91:D91)</f>
        <v>2510334</v>
      </c>
      <c r="E90" s="349">
        <f t="shared" si="42"/>
        <v>0.6</v>
      </c>
      <c r="F90" s="348">
        <f>SUM(F91:F91)</f>
        <v>3170740</v>
      </c>
      <c r="G90" s="338">
        <f t="shared" si="38"/>
        <v>0.83</v>
      </c>
      <c r="H90" s="359">
        <f t="shared" si="43"/>
        <v>-660406</v>
      </c>
      <c r="I90" s="360">
        <f t="shared" si="44"/>
        <v>-20.83</v>
      </c>
      <c r="K90" s="244">
        <f t="shared" si="40"/>
        <v>0.43612000000000001</v>
      </c>
      <c r="L90" s="244">
        <f t="shared" si="41"/>
        <v>0.59994000000000003</v>
      </c>
      <c r="M90" s="244">
        <f t="shared" si="2"/>
        <v>0.82565999999999995</v>
      </c>
    </row>
    <row r="91" spans="1:13" s="10" customFormat="1" ht="25.2" customHeight="1">
      <c r="A91" s="339">
        <v>2003440</v>
      </c>
      <c r="B91" s="340">
        <f t="shared" si="39"/>
        <v>0.44</v>
      </c>
      <c r="C91" s="298" t="s">
        <v>497</v>
      </c>
      <c r="D91" s="351">
        <f>SUM(D92:D94)</f>
        <v>2510334</v>
      </c>
      <c r="E91" s="352">
        <f t="shared" si="42"/>
        <v>0.6</v>
      </c>
      <c r="F91" s="351">
        <f>SUM(F92:F94)</f>
        <v>3170740</v>
      </c>
      <c r="G91" s="340">
        <f t="shared" si="38"/>
        <v>0.83</v>
      </c>
      <c r="H91" s="354">
        <f t="shared" si="43"/>
        <v>-660406</v>
      </c>
      <c r="I91" s="355">
        <f t="shared" si="44"/>
        <v>-20.83</v>
      </c>
      <c r="K91" s="245">
        <f t="shared" si="40"/>
        <v>0.43612000000000001</v>
      </c>
      <c r="L91" s="245">
        <f t="shared" si="41"/>
        <v>0.59994000000000003</v>
      </c>
      <c r="M91" s="245">
        <f t="shared" si="2"/>
        <v>0.82565999999999995</v>
      </c>
    </row>
    <row r="92" spans="1:13" s="10" customFormat="1" ht="25.2" customHeight="1">
      <c r="A92" s="339">
        <v>1930743</v>
      </c>
      <c r="B92" s="340">
        <f t="shared" si="39"/>
        <v>0.42</v>
      </c>
      <c r="C92" s="298" t="s">
        <v>490</v>
      </c>
      <c r="D92" s="351">
        <v>2388599</v>
      </c>
      <c r="E92" s="352">
        <f t="shared" si="42"/>
        <v>0.56999999999999995</v>
      </c>
      <c r="F92" s="351">
        <f>3164334-423-121932</f>
        <v>3041979</v>
      </c>
      <c r="G92" s="340">
        <f t="shared" si="38"/>
        <v>0.79</v>
      </c>
      <c r="H92" s="354">
        <f t="shared" si="43"/>
        <v>-653380</v>
      </c>
      <c r="I92" s="355">
        <f t="shared" si="44"/>
        <v>-21.48</v>
      </c>
      <c r="K92" s="245">
        <f t="shared" si="40"/>
        <v>0.42030000000000001</v>
      </c>
      <c r="L92" s="245">
        <f t="shared" si="41"/>
        <v>0.57084999999999997</v>
      </c>
      <c r="M92" s="245">
        <f t="shared" si="2"/>
        <v>0.79213</v>
      </c>
    </row>
    <row r="93" spans="1:13" s="10" customFormat="1" ht="25.2" customHeight="1">
      <c r="A93" s="339">
        <v>30405</v>
      </c>
      <c r="B93" s="340">
        <f t="shared" si="39"/>
        <v>0.01</v>
      </c>
      <c r="C93" s="298" t="s">
        <v>491</v>
      </c>
      <c r="D93" s="351">
        <v>74795</v>
      </c>
      <c r="E93" s="352">
        <f t="shared" si="42"/>
        <v>0.02</v>
      </c>
      <c r="F93" s="351">
        <v>75004</v>
      </c>
      <c r="G93" s="340">
        <f t="shared" si="38"/>
        <v>0.02</v>
      </c>
      <c r="H93" s="354">
        <f t="shared" si="43"/>
        <v>-209</v>
      </c>
      <c r="I93" s="355">
        <f t="shared" si="44"/>
        <v>-0.28000000000000003</v>
      </c>
      <c r="K93" s="245">
        <f t="shared" si="40"/>
        <v>6.62E-3</v>
      </c>
      <c r="L93" s="245">
        <f t="shared" si="41"/>
        <v>1.788E-2</v>
      </c>
      <c r="M93" s="245">
        <f t="shared" si="2"/>
        <v>1.9529999999999999E-2</v>
      </c>
    </row>
    <row r="94" spans="1:13" s="10" customFormat="1" ht="25.2" customHeight="1">
      <c r="A94" s="339">
        <v>42293</v>
      </c>
      <c r="B94" s="340">
        <f t="shared" si="39"/>
        <v>0.01</v>
      </c>
      <c r="C94" s="298" t="s">
        <v>494</v>
      </c>
      <c r="D94" s="351">
        <v>46940</v>
      </c>
      <c r="E94" s="352">
        <f t="shared" si="42"/>
        <v>0.01</v>
      </c>
      <c r="F94" s="351">
        <v>53757</v>
      </c>
      <c r="G94" s="340">
        <f t="shared" si="38"/>
        <v>0.01</v>
      </c>
      <c r="H94" s="354">
        <f t="shared" si="43"/>
        <v>-6817</v>
      </c>
      <c r="I94" s="355">
        <f t="shared" si="44"/>
        <v>-12.68</v>
      </c>
      <c r="K94" s="245">
        <f t="shared" si="40"/>
        <v>9.2099999999999994E-3</v>
      </c>
      <c r="L94" s="245">
        <f t="shared" si="41"/>
        <v>1.1220000000000001E-2</v>
      </c>
      <c r="M94" s="245">
        <f t="shared" si="2"/>
        <v>1.4E-2</v>
      </c>
    </row>
    <row r="95" spans="1:13" s="31" customFormat="1" ht="25.2" customHeight="1">
      <c r="A95" s="344">
        <v>-125394</v>
      </c>
      <c r="B95" s="345">
        <f t="shared" si="39"/>
        <v>-0.03</v>
      </c>
      <c r="C95" s="297" t="s">
        <v>498</v>
      </c>
      <c r="D95" s="359">
        <f>+D8-D54</f>
        <v>-103705</v>
      </c>
      <c r="E95" s="345">
        <f t="shared" si="42"/>
        <v>-0.02</v>
      </c>
      <c r="F95" s="359">
        <f>+F8-F54</f>
        <v>-96871</v>
      </c>
      <c r="G95" s="345">
        <f t="shared" si="38"/>
        <v>-0.03</v>
      </c>
      <c r="H95" s="359">
        <f t="shared" si="43"/>
        <v>-6834</v>
      </c>
      <c r="I95" s="350">
        <f t="shared" si="44"/>
        <v>7.05</v>
      </c>
      <c r="K95" s="244">
        <f t="shared" si="40"/>
        <v>-2.7300000000000001E-2</v>
      </c>
      <c r="L95" s="244">
        <f t="shared" si="41"/>
        <v>-2.478E-2</v>
      </c>
      <c r="M95" s="244">
        <f t="shared" si="2"/>
        <v>-2.5229999999999999E-2</v>
      </c>
    </row>
    <row r="96" spans="1:13" s="31" customFormat="1" ht="25.2" customHeight="1">
      <c r="A96" s="346">
        <v>125910</v>
      </c>
      <c r="B96" s="338">
        <f t="shared" si="39"/>
        <v>0.03</v>
      </c>
      <c r="C96" s="297" t="s">
        <v>499</v>
      </c>
      <c r="D96" s="363">
        <f>D97+D103</f>
        <v>103795</v>
      </c>
      <c r="E96" s="349">
        <f t="shared" si="42"/>
        <v>0.02</v>
      </c>
      <c r="F96" s="363">
        <f>F97+F103</f>
        <v>96961</v>
      </c>
      <c r="G96" s="338">
        <f t="shared" si="38"/>
        <v>0.03</v>
      </c>
      <c r="H96" s="348">
        <f t="shared" si="43"/>
        <v>6834</v>
      </c>
      <c r="I96" s="350">
        <f t="shared" si="44"/>
        <v>7.05</v>
      </c>
      <c r="K96" s="244">
        <f t="shared" si="40"/>
        <v>2.741E-2</v>
      </c>
      <c r="L96" s="244">
        <f t="shared" si="41"/>
        <v>2.4809999999999999E-2</v>
      </c>
      <c r="M96" s="244">
        <f t="shared" si="2"/>
        <v>2.5250000000000002E-2</v>
      </c>
    </row>
    <row r="97" spans="1:13" s="31" customFormat="1" ht="25.2" customHeight="1">
      <c r="A97" s="337">
        <v>698</v>
      </c>
      <c r="B97" s="340">
        <f t="shared" si="39"/>
        <v>0</v>
      </c>
      <c r="C97" s="297" t="s">
        <v>500</v>
      </c>
      <c r="D97" s="348">
        <f>D98</f>
        <v>399</v>
      </c>
      <c r="E97" s="352">
        <f t="shared" si="42"/>
        <v>0</v>
      </c>
      <c r="F97" s="348">
        <f>F98</f>
        <v>597</v>
      </c>
      <c r="G97" s="340">
        <f t="shared" si="38"/>
        <v>0</v>
      </c>
      <c r="H97" s="359">
        <f t="shared" si="43"/>
        <v>-198</v>
      </c>
      <c r="I97" s="360">
        <f t="shared" si="44"/>
        <v>-33.17</v>
      </c>
      <c r="K97" s="244">
        <f t="shared" si="40"/>
        <v>1.4999999999999999E-4</v>
      </c>
      <c r="L97" s="244">
        <f t="shared" si="41"/>
        <v>1E-4</v>
      </c>
      <c r="M97" s="244">
        <f t="shared" si="2"/>
        <v>1.6000000000000001E-4</v>
      </c>
    </row>
    <row r="98" spans="1:13" s="10" customFormat="1" ht="25.2" customHeight="1">
      <c r="A98" s="339">
        <v>698</v>
      </c>
      <c r="B98" s="340">
        <f t="shared" si="39"/>
        <v>0</v>
      </c>
      <c r="C98" s="298" t="s">
        <v>501</v>
      </c>
      <c r="D98" s="351">
        <f>SUM(D99:D102)</f>
        <v>399</v>
      </c>
      <c r="E98" s="352">
        <f t="shared" si="42"/>
        <v>0</v>
      </c>
      <c r="F98" s="351">
        <f>SUM(F99:F102)</f>
        <v>597</v>
      </c>
      <c r="G98" s="340">
        <f t="shared" si="38"/>
        <v>0</v>
      </c>
      <c r="H98" s="354">
        <f t="shared" si="43"/>
        <v>-198</v>
      </c>
      <c r="I98" s="355">
        <f t="shared" si="44"/>
        <v>-33.17</v>
      </c>
      <c r="K98" s="245">
        <f t="shared" si="40"/>
        <v>1.4999999999999999E-4</v>
      </c>
      <c r="L98" s="245">
        <f t="shared" si="41"/>
        <v>1E-4</v>
      </c>
      <c r="M98" s="245">
        <f t="shared" si="2"/>
        <v>1.6000000000000001E-4</v>
      </c>
    </row>
    <row r="99" spans="1:13" s="10" customFormat="1" ht="25.2" customHeight="1">
      <c r="A99" s="339">
        <v>605</v>
      </c>
      <c r="B99" s="340">
        <f t="shared" si="39"/>
        <v>0</v>
      </c>
      <c r="C99" s="298" t="s">
        <v>488</v>
      </c>
      <c r="D99" s="351">
        <v>324</v>
      </c>
      <c r="E99" s="352">
        <f t="shared" si="42"/>
        <v>0</v>
      </c>
      <c r="F99" s="351">
        <v>518</v>
      </c>
      <c r="G99" s="340">
        <f t="shared" si="38"/>
        <v>0</v>
      </c>
      <c r="H99" s="354">
        <f t="shared" si="43"/>
        <v>-194</v>
      </c>
      <c r="I99" s="355">
        <f t="shared" si="44"/>
        <v>-37.450000000000003</v>
      </c>
      <c r="K99" s="245">
        <f t="shared" si="40"/>
        <v>1.2999999999999999E-4</v>
      </c>
      <c r="L99" s="245">
        <f t="shared" si="41"/>
        <v>8.0000000000000007E-5</v>
      </c>
      <c r="M99" s="245">
        <f t="shared" si="2"/>
        <v>1.2999999999999999E-4</v>
      </c>
    </row>
    <row r="100" spans="1:13" s="10" customFormat="1" ht="25.2" customHeight="1">
      <c r="A100" s="339">
        <v>24</v>
      </c>
      <c r="B100" s="340">
        <f t="shared" si="39"/>
        <v>0</v>
      </c>
      <c r="C100" s="298" t="s">
        <v>489</v>
      </c>
      <c r="D100" s="351">
        <v>30</v>
      </c>
      <c r="E100" s="352">
        <f t="shared" si="42"/>
        <v>0</v>
      </c>
      <c r="F100" s="351">
        <v>20</v>
      </c>
      <c r="G100" s="340">
        <f t="shared" si="38"/>
        <v>0</v>
      </c>
      <c r="H100" s="354">
        <f t="shared" si="43"/>
        <v>10</v>
      </c>
      <c r="I100" s="355">
        <f t="shared" si="44"/>
        <v>50</v>
      </c>
      <c r="K100" s="245">
        <f t="shared" si="40"/>
        <v>1.0000000000000001E-5</v>
      </c>
      <c r="L100" s="245">
        <f t="shared" si="41"/>
        <v>1.0000000000000001E-5</v>
      </c>
      <c r="M100" s="245">
        <f t="shared" si="2"/>
        <v>1.0000000000000001E-5</v>
      </c>
    </row>
    <row r="101" spans="1:13" s="10" customFormat="1" ht="25.2" customHeight="1">
      <c r="A101" s="339">
        <v>60</v>
      </c>
      <c r="B101" s="340">
        <f t="shared" si="39"/>
        <v>0</v>
      </c>
      <c r="C101" s="298" t="s">
        <v>490</v>
      </c>
      <c r="D101" s="351">
        <v>31</v>
      </c>
      <c r="E101" s="352">
        <f t="shared" si="42"/>
        <v>0</v>
      </c>
      <c r="F101" s="351">
        <v>43</v>
      </c>
      <c r="G101" s="340">
        <f t="shared" si="38"/>
        <v>0</v>
      </c>
      <c r="H101" s="354">
        <f t="shared" si="43"/>
        <v>-12</v>
      </c>
      <c r="I101" s="355">
        <f t="shared" si="44"/>
        <v>-27.91</v>
      </c>
      <c r="K101" s="245">
        <f t="shared" si="40"/>
        <v>1.0000000000000001E-5</v>
      </c>
      <c r="L101" s="245">
        <f t="shared" si="41"/>
        <v>1.0000000000000001E-5</v>
      </c>
      <c r="M101" s="245">
        <f t="shared" si="2"/>
        <v>1.0000000000000001E-5</v>
      </c>
    </row>
    <row r="102" spans="1:13" s="10" customFormat="1" ht="25.2" customHeight="1">
      <c r="A102" s="339">
        <v>9</v>
      </c>
      <c r="B102" s="340">
        <f t="shared" si="39"/>
        <v>0</v>
      </c>
      <c r="C102" s="298" t="s">
        <v>491</v>
      </c>
      <c r="D102" s="351">
        <v>14</v>
      </c>
      <c r="E102" s="352">
        <f t="shared" si="42"/>
        <v>0</v>
      </c>
      <c r="F102" s="351">
        <v>16</v>
      </c>
      <c r="G102" s="340">
        <f t="shared" si="38"/>
        <v>0</v>
      </c>
      <c r="H102" s="354">
        <f t="shared" si="43"/>
        <v>-2</v>
      </c>
      <c r="I102" s="355">
        <f>ROUND(H102/F102*100,2)</f>
        <v>-12.5</v>
      </c>
      <c r="K102" s="245">
        <f t="shared" si="40"/>
        <v>0</v>
      </c>
      <c r="L102" s="245">
        <f t="shared" si="41"/>
        <v>0</v>
      </c>
      <c r="M102" s="245">
        <f t="shared" si="2"/>
        <v>0</v>
      </c>
    </row>
    <row r="103" spans="1:13" s="31" customFormat="1" ht="25.2" customHeight="1">
      <c r="A103" s="337">
        <v>125212</v>
      </c>
      <c r="B103" s="338">
        <f t="shared" si="39"/>
        <v>0.03</v>
      </c>
      <c r="C103" s="297" t="s">
        <v>502</v>
      </c>
      <c r="D103" s="348">
        <f>D104+D106+D111</f>
        <v>103396</v>
      </c>
      <c r="E103" s="349">
        <f t="shared" si="42"/>
        <v>0.02</v>
      </c>
      <c r="F103" s="348">
        <f>F104+F106+F111</f>
        <v>96364</v>
      </c>
      <c r="G103" s="338">
        <f t="shared" si="38"/>
        <v>0.03</v>
      </c>
      <c r="H103" s="348">
        <f t="shared" si="43"/>
        <v>7032</v>
      </c>
      <c r="I103" s="350">
        <f t="shared" si="44"/>
        <v>7.3</v>
      </c>
      <c r="K103" s="244">
        <f t="shared" si="40"/>
        <v>2.726E-2</v>
      </c>
      <c r="L103" s="244">
        <f t="shared" si="41"/>
        <v>2.4709999999999999E-2</v>
      </c>
      <c r="M103" s="244">
        <f t="shared" si="2"/>
        <v>2.5090000000000001E-2</v>
      </c>
    </row>
    <row r="104" spans="1:13" s="10" customFormat="1" ht="25.2" customHeight="1">
      <c r="A104" s="339">
        <v>695</v>
      </c>
      <c r="B104" s="340">
        <f t="shared" si="39"/>
        <v>0</v>
      </c>
      <c r="C104" s="298" t="s">
        <v>503</v>
      </c>
      <c r="D104" s="351">
        <f>D105</f>
        <v>700</v>
      </c>
      <c r="E104" s="352">
        <f t="shared" si="42"/>
        <v>0</v>
      </c>
      <c r="F104" s="351">
        <f>F105</f>
        <v>700</v>
      </c>
      <c r="G104" s="340">
        <f t="shared" si="38"/>
        <v>0</v>
      </c>
      <c r="H104" s="351">
        <f>H105</f>
        <v>0</v>
      </c>
      <c r="I104" s="353">
        <v>0</v>
      </c>
      <c r="K104" s="245">
        <f t="shared" si="40"/>
        <v>1.4999999999999999E-4</v>
      </c>
      <c r="L104" s="245">
        <f t="shared" si="41"/>
        <v>1.7000000000000001E-4</v>
      </c>
      <c r="M104" s="245">
        <f t="shared" si="2"/>
        <v>1.8000000000000001E-4</v>
      </c>
    </row>
    <row r="105" spans="1:13" s="10" customFormat="1" ht="25.2" customHeight="1">
      <c r="A105" s="339">
        <v>695</v>
      </c>
      <c r="B105" s="412">
        <f t="shared" si="39"/>
        <v>0</v>
      </c>
      <c r="C105" s="298" t="s">
        <v>488</v>
      </c>
      <c r="D105" s="351">
        <v>700</v>
      </c>
      <c r="E105" s="352">
        <f t="shared" si="42"/>
        <v>0</v>
      </c>
      <c r="F105" s="351">
        <v>700</v>
      </c>
      <c r="G105" s="340">
        <f t="shared" si="38"/>
        <v>0</v>
      </c>
      <c r="H105" s="351">
        <f t="shared" si="43"/>
        <v>0</v>
      </c>
      <c r="I105" s="353">
        <v>0</v>
      </c>
      <c r="K105" s="245">
        <f t="shared" si="40"/>
        <v>1.4999999999999999E-4</v>
      </c>
      <c r="L105" s="245">
        <f t="shared" si="41"/>
        <v>1.7000000000000001E-4</v>
      </c>
      <c r="M105" s="245">
        <f t="shared" si="2"/>
        <v>1.8000000000000001E-4</v>
      </c>
    </row>
    <row r="106" spans="1:13" s="10" customFormat="1" ht="24.6" customHeight="1">
      <c r="A106" s="339">
        <v>117689</v>
      </c>
      <c r="B106" s="340">
        <f t="shared" si="39"/>
        <v>0.03</v>
      </c>
      <c r="C106" s="298" t="s">
        <v>504</v>
      </c>
      <c r="D106" s="351">
        <f>SUM(D107:D110)</f>
        <v>98569</v>
      </c>
      <c r="E106" s="352">
        <f t="shared" si="42"/>
        <v>0.02</v>
      </c>
      <c r="F106" s="351">
        <f>SUM(F107:F110)</f>
        <v>92955</v>
      </c>
      <c r="G106" s="340">
        <f t="shared" si="38"/>
        <v>0.02</v>
      </c>
      <c r="H106" s="351">
        <f t="shared" si="43"/>
        <v>5614</v>
      </c>
      <c r="I106" s="353">
        <f t="shared" si="44"/>
        <v>6.04</v>
      </c>
      <c r="K106" s="245">
        <f t="shared" si="40"/>
        <v>2.562E-2</v>
      </c>
      <c r="L106" s="245">
        <f t="shared" si="41"/>
        <v>2.3560000000000001E-2</v>
      </c>
      <c r="M106" s="245">
        <f t="shared" si="2"/>
        <v>2.4209999999999999E-2</v>
      </c>
    </row>
    <row r="107" spans="1:13" s="10" customFormat="1" ht="24.6" customHeight="1">
      <c r="A107" s="339">
        <v>102834</v>
      </c>
      <c r="B107" s="340">
        <f t="shared" si="39"/>
        <v>0.02</v>
      </c>
      <c r="C107" s="298" t="s">
        <v>488</v>
      </c>
      <c r="D107" s="351">
        <v>85505</v>
      </c>
      <c r="E107" s="352">
        <f t="shared" si="42"/>
        <v>0.02</v>
      </c>
      <c r="F107" s="351">
        <v>80521</v>
      </c>
      <c r="G107" s="340">
        <f t="shared" si="38"/>
        <v>0.02</v>
      </c>
      <c r="H107" s="351">
        <f t="shared" si="43"/>
        <v>4984</v>
      </c>
      <c r="I107" s="353">
        <f t="shared" si="44"/>
        <v>6.19</v>
      </c>
      <c r="K107" s="245">
        <f t="shared" si="40"/>
        <v>2.239E-2</v>
      </c>
      <c r="L107" s="245">
        <f t="shared" si="41"/>
        <v>2.043E-2</v>
      </c>
      <c r="M107" s="245">
        <f t="shared" si="2"/>
        <v>2.0969999999999999E-2</v>
      </c>
    </row>
    <row r="108" spans="1:13" s="10" customFormat="1" ht="23.4" customHeight="1">
      <c r="A108" s="339">
        <v>387</v>
      </c>
      <c r="B108" s="340">
        <f t="shared" si="39"/>
        <v>0</v>
      </c>
      <c r="C108" s="298" t="s">
        <v>489</v>
      </c>
      <c r="D108" s="351">
        <v>262</v>
      </c>
      <c r="E108" s="352">
        <f t="shared" si="42"/>
        <v>0</v>
      </c>
      <c r="F108" s="351">
        <v>327</v>
      </c>
      <c r="G108" s="340">
        <f t="shared" si="38"/>
        <v>0</v>
      </c>
      <c r="H108" s="354">
        <f t="shared" si="43"/>
        <v>-65</v>
      </c>
      <c r="I108" s="355">
        <f t="shared" si="44"/>
        <v>-19.88</v>
      </c>
      <c r="K108" s="245">
        <f t="shared" si="40"/>
        <v>8.0000000000000007E-5</v>
      </c>
      <c r="L108" s="245">
        <f t="shared" si="41"/>
        <v>6.0000000000000002E-5</v>
      </c>
      <c r="M108" s="245">
        <f t="shared" si="2"/>
        <v>9.0000000000000006E-5</v>
      </c>
    </row>
    <row r="109" spans="1:13" s="10" customFormat="1" ht="24" customHeight="1">
      <c r="A109" s="339">
        <v>7236</v>
      </c>
      <c r="B109" s="340">
        <f t="shared" si="39"/>
        <v>0</v>
      </c>
      <c r="C109" s="298" t="s">
        <v>490</v>
      </c>
      <c r="D109" s="351">
        <v>5727</v>
      </c>
      <c r="E109" s="352">
        <f t="shared" si="42"/>
        <v>0</v>
      </c>
      <c r="F109" s="351">
        <v>5421</v>
      </c>
      <c r="G109" s="340">
        <f t="shared" si="38"/>
        <v>0</v>
      </c>
      <c r="H109" s="351">
        <f t="shared" si="43"/>
        <v>306</v>
      </c>
      <c r="I109" s="353">
        <f t="shared" si="44"/>
        <v>5.64</v>
      </c>
      <c r="K109" s="245">
        <f t="shared" si="40"/>
        <v>1.58E-3</v>
      </c>
      <c r="L109" s="245">
        <f t="shared" si="41"/>
        <v>1.3699999999999999E-3</v>
      </c>
      <c r="M109" s="245">
        <f t="shared" si="2"/>
        <v>1.41E-3</v>
      </c>
    </row>
    <row r="110" spans="1:13" s="10" customFormat="1" ht="22.2" customHeight="1">
      <c r="A110" s="339">
        <v>7232</v>
      </c>
      <c r="B110" s="340">
        <f t="shared" si="39"/>
        <v>0</v>
      </c>
      <c r="C110" s="298" t="s">
        <v>491</v>
      </c>
      <c r="D110" s="351">
        <v>7075</v>
      </c>
      <c r="E110" s="352">
        <f t="shared" si="42"/>
        <v>0</v>
      </c>
      <c r="F110" s="351">
        <v>6686</v>
      </c>
      <c r="G110" s="340">
        <f t="shared" si="38"/>
        <v>0</v>
      </c>
      <c r="H110" s="351">
        <f t="shared" si="43"/>
        <v>389</v>
      </c>
      <c r="I110" s="353">
        <f t="shared" si="44"/>
        <v>5.82</v>
      </c>
      <c r="K110" s="245">
        <f t="shared" si="40"/>
        <v>1.57E-3</v>
      </c>
      <c r="L110" s="245">
        <f t="shared" si="41"/>
        <v>1.6900000000000001E-3</v>
      </c>
      <c r="M110" s="245">
        <f t="shared" si="2"/>
        <v>1.74E-3</v>
      </c>
    </row>
    <row r="111" spans="1:13" s="10" customFormat="1" ht="24.75" customHeight="1" thickBot="1">
      <c r="A111" s="341">
        <v>6828</v>
      </c>
      <c r="B111" s="342">
        <f t="shared" si="39"/>
        <v>0</v>
      </c>
      <c r="C111" s="303" t="s">
        <v>505</v>
      </c>
      <c r="D111" s="356">
        <f>SUM(D112:D117)</f>
        <v>4127</v>
      </c>
      <c r="E111" s="357">
        <f t="shared" si="42"/>
        <v>0</v>
      </c>
      <c r="F111" s="356">
        <f>SUM(F112:F117)</f>
        <v>2709</v>
      </c>
      <c r="G111" s="342">
        <f t="shared" si="38"/>
        <v>0</v>
      </c>
      <c r="H111" s="378">
        <f t="shared" si="43"/>
        <v>1418</v>
      </c>
      <c r="I111" s="379">
        <f t="shared" si="44"/>
        <v>52.34</v>
      </c>
      <c r="K111" s="245">
        <f t="shared" si="40"/>
        <v>1.49E-3</v>
      </c>
      <c r="L111" s="245">
        <f t="shared" si="41"/>
        <v>9.8999999999999999E-4</v>
      </c>
      <c r="M111" s="245">
        <f t="shared" si="2"/>
        <v>7.1000000000000002E-4</v>
      </c>
    </row>
    <row r="112" spans="1:13" s="10" customFormat="1" ht="26.4" customHeight="1">
      <c r="A112" s="339">
        <v>5283</v>
      </c>
      <c r="B112" s="340">
        <f t="shared" si="39"/>
        <v>0</v>
      </c>
      <c r="C112" s="298" t="s">
        <v>488</v>
      </c>
      <c r="D112" s="351">
        <v>4016</v>
      </c>
      <c r="E112" s="352">
        <f t="shared" si="42"/>
        <v>0</v>
      </c>
      <c r="F112" s="351">
        <v>2545</v>
      </c>
      <c r="G112" s="340">
        <f t="shared" si="38"/>
        <v>0</v>
      </c>
      <c r="H112" s="354">
        <f t="shared" si="43"/>
        <v>1471</v>
      </c>
      <c r="I112" s="355">
        <f t="shared" si="44"/>
        <v>57.8</v>
      </c>
      <c r="K112" s="245">
        <f t="shared" si="40"/>
        <v>1.15E-3</v>
      </c>
      <c r="L112" s="245">
        <f t="shared" si="41"/>
        <v>9.6000000000000002E-4</v>
      </c>
      <c r="M112" s="245">
        <f t="shared" si="2"/>
        <v>6.6E-4</v>
      </c>
    </row>
    <row r="113" spans="1:13" s="10" customFormat="1" ht="26.4" customHeight="1">
      <c r="A113" s="339">
        <v>15</v>
      </c>
      <c r="B113" s="340">
        <f t="shared" si="39"/>
        <v>0</v>
      </c>
      <c r="C113" s="298" t="s">
        <v>489</v>
      </c>
      <c r="D113" s="351">
        <v>24</v>
      </c>
      <c r="E113" s="352">
        <f t="shared" si="42"/>
        <v>0</v>
      </c>
      <c r="F113" s="351">
        <v>73</v>
      </c>
      <c r="G113" s="340">
        <f t="shared" si="38"/>
        <v>0</v>
      </c>
      <c r="H113" s="354">
        <f t="shared" si="43"/>
        <v>-49</v>
      </c>
      <c r="I113" s="355">
        <f t="shared" si="44"/>
        <v>-67.12</v>
      </c>
      <c r="K113" s="245">
        <f t="shared" si="40"/>
        <v>0</v>
      </c>
      <c r="L113" s="245">
        <f t="shared" si="41"/>
        <v>1.0000000000000001E-5</v>
      </c>
      <c r="M113" s="245">
        <f t="shared" si="2"/>
        <v>2.0000000000000002E-5</v>
      </c>
    </row>
    <row r="114" spans="1:13" s="10" customFormat="1" ht="26.4" customHeight="1">
      <c r="A114" s="339">
        <v>113</v>
      </c>
      <c r="B114" s="340">
        <f t="shared" si="39"/>
        <v>0</v>
      </c>
      <c r="C114" s="298" t="s">
        <v>490</v>
      </c>
      <c r="D114" s="351">
        <v>87</v>
      </c>
      <c r="E114" s="352">
        <f t="shared" si="42"/>
        <v>0</v>
      </c>
      <c r="F114" s="351">
        <v>90</v>
      </c>
      <c r="G114" s="340">
        <f t="shared" si="38"/>
        <v>0</v>
      </c>
      <c r="H114" s="354">
        <f t="shared" si="43"/>
        <v>-3</v>
      </c>
      <c r="I114" s="355">
        <f t="shared" si="44"/>
        <v>-3.33</v>
      </c>
      <c r="K114" s="245">
        <f t="shared" si="40"/>
        <v>2.0000000000000002E-5</v>
      </c>
      <c r="L114" s="245">
        <f t="shared" si="41"/>
        <v>2.0000000000000002E-5</v>
      </c>
      <c r="M114" s="245">
        <f t="shared" si="2"/>
        <v>2.0000000000000002E-5</v>
      </c>
    </row>
    <row r="115" spans="1:13" s="10" customFormat="1" ht="26.4" customHeight="1">
      <c r="A115" s="339">
        <v>20</v>
      </c>
      <c r="B115" s="340">
        <f t="shared" si="39"/>
        <v>0</v>
      </c>
      <c r="C115" s="298" t="s">
        <v>491</v>
      </c>
      <c r="D115" s="351">
        <v>0</v>
      </c>
      <c r="E115" s="352">
        <f t="shared" si="42"/>
        <v>0</v>
      </c>
      <c r="F115" s="351">
        <v>1</v>
      </c>
      <c r="G115" s="340">
        <f t="shared" si="38"/>
        <v>0</v>
      </c>
      <c r="H115" s="354">
        <f t="shared" si="43"/>
        <v>-1</v>
      </c>
      <c r="I115" s="355">
        <f>ROUND(H115/F115*100,2)</f>
        <v>-100</v>
      </c>
      <c r="K115" s="245">
        <f t="shared" si="40"/>
        <v>0</v>
      </c>
      <c r="L115" s="245">
        <f t="shared" si="41"/>
        <v>0</v>
      </c>
      <c r="M115" s="245">
        <f t="shared" si="2"/>
        <v>0</v>
      </c>
    </row>
    <row r="116" spans="1:13" s="10" customFormat="1" ht="26.4" customHeight="1">
      <c r="A116" s="339">
        <v>797</v>
      </c>
      <c r="B116" s="340">
        <f t="shared" ref="B116:B117" si="45">ROUND(A116/$A$8*100,2)</f>
        <v>0</v>
      </c>
      <c r="C116" s="298" t="s">
        <v>492</v>
      </c>
      <c r="D116" s="351">
        <v>0</v>
      </c>
      <c r="E116" s="352">
        <f t="shared" ref="E116:E117" si="46">ROUND(D116/$D$8*100,2)</f>
        <v>0</v>
      </c>
      <c r="F116" s="351">
        <v>0</v>
      </c>
      <c r="G116" s="340">
        <f t="shared" ref="G116:G117" si="47">ROUND(F116/$F$8*100,2)</f>
        <v>0</v>
      </c>
      <c r="H116" s="351">
        <f t="shared" ref="H116:H117" si="48">D116-F116</f>
        <v>0</v>
      </c>
      <c r="I116" s="353">
        <v>0</v>
      </c>
      <c r="K116" s="245">
        <f t="shared" ref="K116:K117" si="49">ROUND(A116/$A$8*100,5)</f>
        <v>1.7000000000000001E-4</v>
      </c>
      <c r="L116" s="245">
        <f t="shared" ref="L116:L117" si="50">ROUND(D116/$D$8*100,5)</f>
        <v>0</v>
      </c>
      <c r="M116" s="245">
        <f t="shared" ref="M116:M117" si="51">ROUND(F116/$F$8*100,5)</f>
        <v>0</v>
      </c>
    </row>
    <row r="117" spans="1:13" s="10" customFormat="1" ht="26.4" customHeight="1">
      <c r="A117" s="339">
        <v>600</v>
      </c>
      <c r="B117" s="340">
        <f t="shared" si="45"/>
        <v>0</v>
      </c>
      <c r="C117" s="298" t="s">
        <v>494</v>
      </c>
      <c r="D117" s="351">
        <v>0</v>
      </c>
      <c r="E117" s="352">
        <f t="shared" si="46"/>
        <v>0</v>
      </c>
      <c r="F117" s="351">
        <v>0</v>
      </c>
      <c r="G117" s="340">
        <f t="shared" si="47"/>
        <v>0</v>
      </c>
      <c r="H117" s="351">
        <f t="shared" si="48"/>
        <v>0</v>
      </c>
      <c r="I117" s="353">
        <v>0</v>
      </c>
      <c r="K117" s="245">
        <f t="shared" si="49"/>
        <v>1.2999999999999999E-4</v>
      </c>
      <c r="L117" s="245">
        <f t="shared" si="50"/>
        <v>0</v>
      </c>
      <c r="M117" s="245">
        <f t="shared" si="51"/>
        <v>0</v>
      </c>
    </row>
    <row r="118" spans="1:13" s="31" customFormat="1" ht="26.4" customHeight="1">
      <c r="A118" s="346">
        <v>516</v>
      </c>
      <c r="B118" s="338">
        <f t="shared" si="39"/>
        <v>0</v>
      </c>
      <c r="C118" s="297" t="s">
        <v>506</v>
      </c>
      <c r="D118" s="363">
        <f t="shared" ref="D118:F119" si="52">D119</f>
        <v>90</v>
      </c>
      <c r="E118" s="349">
        <f t="shared" si="42"/>
        <v>0</v>
      </c>
      <c r="F118" s="363">
        <f t="shared" si="52"/>
        <v>90</v>
      </c>
      <c r="G118" s="338">
        <f t="shared" si="38"/>
        <v>0</v>
      </c>
      <c r="H118" s="348">
        <f t="shared" si="43"/>
        <v>0</v>
      </c>
      <c r="I118" s="350">
        <f t="shared" si="44"/>
        <v>0</v>
      </c>
      <c r="K118" s="244">
        <f t="shared" si="40"/>
        <v>1.1E-4</v>
      </c>
      <c r="L118" s="244">
        <f t="shared" si="41"/>
        <v>2.0000000000000002E-5</v>
      </c>
      <c r="M118" s="244">
        <f t="shared" si="2"/>
        <v>2.0000000000000002E-5</v>
      </c>
    </row>
    <row r="119" spans="1:13" s="31" customFormat="1" ht="26.4" customHeight="1">
      <c r="A119" s="337">
        <v>516</v>
      </c>
      <c r="B119" s="338">
        <f t="shared" si="39"/>
        <v>0</v>
      </c>
      <c r="C119" s="297" t="s">
        <v>507</v>
      </c>
      <c r="D119" s="348">
        <f t="shared" si="52"/>
        <v>90</v>
      </c>
      <c r="E119" s="349">
        <f t="shared" si="42"/>
        <v>0</v>
      </c>
      <c r="F119" s="348">
        <f t="shared" si="52"/>
        <v>90</v>
      </c>
      <c r="G119" s="338">
        <f t="shared" si="38"/>
        <v>0</v>
      </c>
      <c r="H119" s="348">
        <f t="shared" si="43"/>
        <v>0</v>
      </c>
      <c r="I119" s="350">
        <f t="shared" si="44"/>
        <v>0</v>
      </c>
      <c r="K119" s="244">
        <f t="shared" si="40"/>
        <v>1.1E-4</v>
      </c>
      <c r="L119" s="244">
        <f t="shared" si="41"/>
        <v>2.0000000000000002E-5</v>
      </c>
      <c r="M119" s="244">
        <f t="shared" si="2"/>
        <v>2.0000000000000002E-5</v>
      </c>
    </row>
    <row r="120" spans="1:13" s="10" customFormat="1" ht="26.4" customHeight="1">
      <c r="A120" s="339">
        <v>516</v>
      </c>
      <c r="B120" s="340">
        <f t="shared" si="39"/>
        <v>0</v>
      </c>
      <c r="C120" s="298" t="s">
        <v>508</v>
      </c>
      <c r="D120" s="351">
        <f>SUM(D121:D123)</f>
        <v>90</v>
      </c>
      <c r="E120" s="352">
        <f t="shared" si="42"/>
        <v>0</v>
      </c>
      <c r="F120" s="351">
        <f>SUM(F121:F123)</f>
        <v>90</v>
      </c>
      <c r="G120" s="340">
        <f t="shared" si="38"/>
        <v>0</v>
      </c>
      <c r="H120" s="351">
        <f t="shared" si="43"/>
        <v>0</v>
      </c>
      <c r="I120" s="353">
        <f t="shared" si="44"/>
        <v>0</v>
      </c>
      <c r="K120" s="245">
        <f t="shared" si="40"/>
        <v>1.1E-4</v>
      </c>
      <c r="L120" s="245">
        <f t="shared" si="41"/>
        <v>2.0000000000000002E-5</v>
      </c>
      <c r="M120" s="245">
        <f t="shared" si="2"/>
        <v>2.0000000000000002E-5</v>
      </c>
    </row>
    <row r="121" spans="1:13" s="10" customFormat="1" ht="26.4" customHeight="1">
      <c r="A121" s="339">
        <v>500</v>
      </c>
      <c r="B121" s="340">
        <f t="shared" si="39"/>
        <v>0</v>
      </c>
      <c r="C121" s="298" t="s">
        <v>488</v>
      </c>
      <c r="D121" s="351">
        <v>40</v>
      </c>
      <c r="E121" s="352">
        <f t="shared" si="42"/>
        <v>0</v>
      </c>
      <c r="F121" s="351">
        <v>40</v>
      </c>
      <c r="G121" s="340">
        <f t="shared" si="38"/>
        <v>0</v>
      </c>
      <c r="H121" s="351">
        <f t="shared" si="43"/>
        <v>0</v>
      </c>
      <c r="I121" s="353">
        <f t="shared" si="44"/>
        <v>0</v>
      </c>
      <c r="K121" s="245">
        <f t="shared" si="40"/>
        <v>1.1E-4</v>
      </c>
      <c r="L121" s="245">
        <f t="shared" si="41"/>
        <v>1.0000000000000001E-5</v>
      </c>
      <c r="M121" s="245">
        <f t="shared" si="2"/>
        <v>1.0000000000000001E-5</v>
      </c>
    </row>
    <row r="122" spans="1:13" s="10" customFormat="1" ht="26.4" customHeight="1">
      <c r="A122" s="339">
        <v>5</v>
      </c>
      <c r="B122" s="340">
        <f t="shared" si="39"/>
        <v>0</v>
      </c>
      <c r="C122" s="298" t="s">
        <v>489</v>
      </c>
      <c r="D122" s="351">
        <v>20</v>
      </c>
      <c r="E122" s="352">
        <f t="shared" si="42"/>
        <v>0</v>
      </c>
      <c r="F122" s="351">
        <v>20</v>
      </c>
      <c r="G122" s="340">
        <f t="shared" si="38"/>
        <v>0</v>
      </c>
      <c r="H122" s="351">
        <f t="shared" si="43"/>
        <v>0</v>
      </c>
      <c r="I122" s="353">
        <f t="shared" si="44"/>
        <v>0</v>
      </c>
      <c r="K122" s="245">
        <f t="shared" si="40"/>
        <v>0</v>
      </c>
      <c r="L122" s="245">
        <f t="shared" si="41"/>
        <v>0</v>
      </c>
      <c r="M122" s="245">
        <f t="shared" si="2"/>
        <v>1.0000000000000001E-5</v>
      </c>
    </row>
    <row r="123" spans="1:13" s="10" customFormat="1" ht="26.4" customHeight="1">
      <c r="A123" s="339">
        <v>11</v>
      </c>
      <c r="B123" s="340">
        <f t="shared" si="39"/>
        <v>0</v>
      </c>
      <c r="C123" s="298" t="s">
        <v>490</v>
      </c>
      <c r="D123" s="351">
        <v>30</v>
      </c>
      <c r="E123" s="352">
        <f t="shared" si="42"/>
        <v>0</v>
      </c>
      <c r="F123" s="351">
        <v>30</v>
      </c>
      <c r="G123" s="340">
        <f t="shared" si="38"/>
        <v>0</v>
      </c>
      <c r="H123" s="351">
        <f t="shared" si="43"/>
        <v>0</v>
      </c>
      <c r="I123" s="353">
        <f t="shared" si="44"/>
        <v>0</v>
      </c>
      <c r="K123" s="245">
        <f t="shared" si="40"/>
        <v>0</v>
      </c>
      <c r="L123" s="245">
        <f t="shared" si="41"/>
        <v>1.0000000000000001E-5</v>
      </c>
      <c r="M123" s="245">
        <f t="shared" si="2"/>
        <v>1.0000000000000001E-5</v>
      </c>
    </row>
    <row r="124" spans="1:13" s="31" customFormat="1" ht="26.4" customHeight="1">
      <c r="A124" s="346">
        <v>125394</v>
      </c>
      <c r="B124" s="338">
        <f t="shared" si="39"/>
        <v>0.03</v>
      </c>
      <c r="C124" s="297" t="s">
        <v>509</v>
      </c>
      <c r="D124" s="363">
        <f>+D96-D118</f>
        <v>103705</v>
      </c>
      <c r="E124" s="349">
        <f t="shared" si="42"/>
        <v>0.02</v>
      </c>
      <c r="F124" s="363">
        <f>+F96-F118</f>
        <v>96871</v>
      </c>
      <c r="G124" s="338">
        <f t="shared" si="38"/>
        <v>0.03</v>
      </c>
      <c r="H124" s="348">
        <f t="shared" si="43"/>
        <v>6834</v>
      </c>
      <c r="I124" s="350">
        <f t="shared" si="44"/>
        <v>7.05</v>
      </c>
      <c r="K124" s="244">
        <f t="shared" si="40"/>
        <v>2.7300000000000001E-2</v>
      </c>
      <c r="L124" s="244">
        <f t="shared" si="41"/>
        <v>2.478E-2</v>
      </c>
      <c r="M124" s="244">
        <f t="shared" si="2"/>
        <v>2.5229999999999999E-2</v>
      </c>
    </row>
    <row r="125" spans="1:13" s="31" customFormat="1" ht="26.4" customHeight="1">
      <c r="A125" s="346">
        <f>+A95+A124</f>
        <v>0</v>
      </c>
      <c r="B125" s="338">
        <f t="shared" si="39"/>
        <v>0</v>
      </c>
      <c r="C125" s="297" t="s">
        <v>20</v>
      </c>
      <c r="D125" s="363">
        <f>+D95+D124</f>
        <v>0</v>
      </c>
      <c r="E125" s="349">
        <f t="shared" si="42"/>
        <v>0</v>
      </c>
      <c r="F125" s="363">
        <f>+F95+F124</f>
        <v>0</v>
      </c>
      <c r="G125" s="338">
        <f t="shared" si="38"/>
        <v>0</v>
      </c>
      <c r="H125" s="348">
        <f>D125-F125</f>
        <v>0</v>
      </c>
      <c r="I125" s="388">
        <f>ROUND(H125/$D$8*100,2)</f>
        <v>0</v>
      </c>
      <c r="K125" s="244">
        <f t="shared" si="40"/>
        <v>0</v>
      </c>
      <c r="L125" s="244">
        <f t="shared" si="41"/>
        <v>0</v>
      </c>
      <c r="M125" s="244">
        <f>ROUND(F125/$F$8*100,5)</f>
        <v>0</v>
      </c>
    </row>
    <row r="126" spans="1:13" s="31" customFormat="1" ht="26.4" customHeight="1">
      <c r="A126" s="346"/>
      <c r="B126" s="338"/>
      <c r="C126" s="297"/>
      <c r="D126" s="363"/>
      <c r="E126" s="349"/>
      <c r="F126" s="363"/>
      <c r="G126" s="349"/>
      <c r="H126" s="348"/>
      <c r="I126" s="388"/>
      <c r="K126" s="244"/>
      <c r="L126" s="244"/>
      <c r="M126" s="244"/>
    </row>
    <row r="127" spans="1:13" s="31" customFormat="1" ht="26.4" customHeight="1">
      <c r="A127" s="346"/>
      <c r="B127" s="338"/>
      <c r="C127" s="297"/>
      <c r="D127" s="363"/>
      <c r="E127" s="349"/>
      <c r="F127" s="363"/>
      <c r="G127" s="349"/>
      <c r="H127" s="348"/>
      <c r="I127" s="388"/>
      <c r="K127" s="244"/>
      <c r="L127" s="244"/>
      <c r="M127" s="244"/>
    </row>
    <row r="128" spans="1:13" s="31" customFormat="1" ht="26.4" customHeight="1">
      <c r="A128" s="346"/>
      <c r="B128" s="338"/>
      <c r="C128" s="297"/>
      <c r="D128" s="363"/>
      <c r="E128" s="349"/>
      <c r="F128" s="363"/>
      <c r="G128" s="349"/>
      <c r="H128" s="348"/>
      <c r="I128" s="388"/>
      <c r="K128" s="244"/>
      <c r="L128" s="244"/>
      <c r="M128" s="244"/>
    </row>
    <row r="129" spans="1:13" s="31" customFormat="1" ht="26.4" customHeight="1">
      <c r="A129" s="346"/>
      <c r="B129" s="338"/>
      <c r="C129" s="297"/>
      <c r="D129" s="363"/>
      <c r="E129" s="349"/>
      <c r="F129" s="363"/>
      <c r="G129" s="349"/>
      <c r="H129" s="348"/>
      <c r="I129" s="388"/>
      <c r="K129" s="244"/>
      <c r="L129" s="244"/>
      <c r="M129" s="244"/>
    </row>
    <row r="130" spans="1:13" s="31" customFormat="1" ht="26.4" customHeight="1">
      <c r="A130" s="346"/>
      <c r="B130" s="338"/>
      <c r="C130" s="297"/>
      <c r="D130" s="363"/>
      <c r="E130" s="349"/>
      <c r="F130" s="363"/>
      <c r="G130" s="349"/>
      <c r="H130" s="348"/>
      <c r="I130" s="388"/>
      <c r="K130" s="244"/>
      <c r="L130" s="244"/>
      <c r="M130" s="244"/>
    </row>
    <row r="131" spans="1:13" s="31" customFormat="1" ht="27" customHeight="1">
      <c r="A131" s="346"/>
      <c r="B131" s="338"/>
      <c r="C131" s="297"/>
      <c r="D131" s="363"/>
      <c r="E131" s="349"/>
      <c r="F131" s="363"/>
      <c r="G131" s="349"/>
      <c r="H131" s="348"/>
      <c r="I131" s="388"/>
      <c r="K131" s="244"/>
      <c r="L131" s="244"/>
      <c r="M131" s="244"/>
    </row>
    <row r="132" spans="1:13" s="31" customFormat="1" ht="69" customHeight="1" thickBot="1">
      <c r="A132" s="347"/>
      <c r="B132" s="343"/>
      <c r="C132" s="304"/>
      <c r="D132" s="364"/>
      <c r="E132" s="362"/>
      <c r="F132" s="364"/>
      <c r="G132" s="362"/>
      <c r="H132" s="361"/>
      <c r="I132" s="365"/>
      <c r="K132" s="244">
        <f t="shared" ref="K132" si="53">ROUND(A132/$A$8*100,5)</f>
        <v>0</v>
      </c>
      <c r="L132" s="244">
        <f t="shared" ref="L132" si="54">ROUND(D132/$D$8*100,5)</f>
        <v>0</v>
      </c>
      <c r="M132" s="244">
        <f>ROUND(F132/$F$8*100,5)</f>
        <v>0</v>
      </c>
    </row>
    <row r="133" spans="1:13" ht="34.200000000000003" customHeight="1">
      <c r="A133" s="808" t="s">
        <v>1141</v>
      </c>
      <c r="B133" s="809"/>
      <c r="C133" s="809"/>
      <c r="D133" s="809"/>
      <c r="E133" s="809"/>
      <c r="F133" s="809"/>
      <c r="G133" s="809"/>
      <c r="H133" s="809"/>
      <c r="I133" s="809"/>
    </row>
    <row r="134" spans="1:13">
      <c r="C134" s="168"/>
    </row>
    <row r="135" spans="1:13" hidden="1">
      <c r="B135" s="811" t="s">
        <v>48</v>
      </c>
      <c r="C135" s="812"/>
      <c r="D135" s="810" t="s">
        <v>49</v>
      </c>
      <c r="E135" s="810"/>
      <c r="F135" s="807" t="s">
        <v>50</v>
      </c>
      <c r="G135" s="807"/>
      <c r="H135" s="807" t="s">
        <v>51</v>
      </c>
      <c r="I135" s="807"/>
    </row>
    <row r="136" spans="1:13" ht="17.25" hidden="1" customHeight="1">
      <c r="B136" s="794" t="s">
        <v>52</v>
      </c>
      <c r="C136" s="321" t="s">
        <v>53</v>
      </c>
      <c r="D136" s="322">
        <f>A11+A13+A15+A18+A20+A22+A31+A36+A41+A51+A105+A107+A112+A99</f>
        <v>417270963</v>
      </c>
      <c r="E136" s="323">
        <f>B11+B13+B15+B18+B20+B22+B31+B36+B41+B51+B105+B107+B112+B99</f>
        <v>90.839999999999989</v>
      </c>
      <c r="F136" s="322">
        <f>A73+A79+A84+A121+A59+A61+A64+A66+A68+A57</f>
        <v>417271614</v>
      </c>
      <c r="G136" s="323">
        <f>B73+B79+B84+B121+B59+B61+B64+B66+B68</f>
        <v>90.820000000000022</v>
      </c>
      <c r="H136" s="330">
        <f>D136-F136</f>
        <v>-651</v>
      </c>
      <c r="I136" s="330">
        <f t="shared" ref="H136:I143" si="55">E136-G136</f>
        <v>1.9999999999967599E-2</v>
      </c>
    </row>
    <row r="137" spans="1:13" ht="17.25" hidden="1" customHeight="1">
      <c r="B137" s="795"/>
      <c r="C137" s="321" t="s">
        <v>54</v>
      </c>
      <c r="D137" s="322">
        <f>A23+A32+A37+A42+A100+A108+A113</f>
        <v>7519550</v>
      </c>
      <c r="E137" s="323">
        <f>B23+B32+B37+B42+B100+B108+B113</f>
        <v>1.6400000000000001</v>
      </c>
      <c r="F137" s="322">
        <f>A69+A74+A80+A85+A122</f>
        <v>7519550</v>
      </c>
      <c r="G137" s="323">
        <f>B69+B74+B80+B85+B122</f>
        <v>1.6400000000000001</v>
      </c>
      <c r="H137" s="330">
        <f t="shared" si="55"/>
        <v>0</v>
      </c>
      <c r="I137" s="330">
        <f t="shared" si="55"/>
        <v>0</v>
      </c>
    </row>
    <row r="138" spans="1:13" ht="17.25" hidden="1" customHeight="1">
      <c r="B138" s="795"/>
      <c r="C138" s="321" t="s">
        <v>55</v>
      </c>
      <c r="D138" s="322">
        <f>A24+A33+A38+A43+A101+A109+A114</f>
        <v>26035735</v>
      </c>
      <c r="E138" s="323">
        <f>B24+B33+B38+B43+B101+B109+B114</f>
        <v>5.66</v>
      </c>
      <c r="F138" s="322">
        <f>A70+A75+A81+A86+A92+A123</f>
        <v>26176564</v>
      </c>
      <c r="G138" s="323">
        <f>B70+B75+B81+B86+B92+B123</f>
        <v>5.6999999999999993</v>
      </c>
      <c r="H138" s="330">
        <f t="shared" si="55"/>
        <v>-140829</v>
      </c>
      <c r="I138" s="330">
        <f t="shared" si="55"/>
        <v>-3.9999999999999147E-2</v>
      </c>
    </row>
    <row r="139" spans="1:13" ht="17.25" hidden="1" customHeight="1">
      <c r="B139" s="795"/>
      <c r="C139" s="321" t="s">
        <v>56</v>
      </c>
      <c r="D139" s="322">
        <f>A39+A48+A110+A115+A102</f>
        <v>7725014</v>
      </c>
      <c r="E139" s="323">
        <f>B39+B48+B110+B115+B102</f>
        <v>1.6800000000000002</v>
      </c>
      <c r="F139" s="322">
        <f>A76+A87+A93</f>
        <v>7725575</v>
      </c>
      <c r="G139" s="323">
        <f>B76+B87+B93</f>
        <v>1.68</v>
      </c>
      <c r="H139" s="330">
        <f t="shared" si="55"/>
        <v>-561</v>
      </c>
      <c r="I139" s="330">
        <f t="shared" si="55"/>
        <v>0</v>
      </c>
    </row>
    <row r="140" spans="1:13" ht="17.25" hidden="1" customHeight="1">
      <c r="B140" s="795"/>
      <c r="C140" s="321" t="s">
        <v>57</v>
      </c>
      <c r="D140" s="322">
        <f>A26+A44+A52</f>
        <v>496161</v>
      </c>
      <c r="E140" s="323">
        <f>B26+B44+B52</f>
        <v>0.1</v>
      </c>
      <c r="F140" s="322">
        <f>A88+A77</f>
        <v>496957</v>
      </c>
      <c r="G140" s="323">
        <f>B88+B77</f>
        <v>0.11</v>
      </c>
      <c r="H140" s="330">
        <f t="shared" si="55"/>
        <v>-796</v>
      </c>
      <c r="I140" s="330">
        <f t="shared" si="55"/>
        <v>-9.999999999999995E-3</v>
      </c>
    </row>
    <row r="141" spans="1:13" ht="17.25" hidden="1" customHeight="1">
      <c r="B141" s="795"/>
      <c r="C141" s="321" t="s">
        <v>58</v>
      </c>
      <c r="D141" s="322">
        <f>A27+A45+A49+A53</f>
        <v>74491</v>
      </c>
      <c r="E141" s="324">
        <f>B27+B45+B49+B53</f>
        <v>0.02</v>
      </c>
      <c r="F141" s="322">
        <f>A82+A89+A94</f>
        <v>75092</v>
      </c>
      <c r="G141" s="323">
        <f>B82+B89+B94</f>
        <v>0.02</v>
      </c>
      <c r="H141" s="330">
        <f t="shared" si="55"/>
        <v>-601</v>
      </c>
      <c r="I141" s="330">
        <f t="shared" si="55"/>
        <v>0</v>
      </c>
    </row>
    <row r="142" spans="1:13" ht="17.25" hidden="1" customHeight="1">
      <c r="B142" s="796"/>
      <c r="C142" s="321" t="s">
        <v>59</v>
      </c>
      <c r="D142" s="322">
        <f>SUM(D136:D141)</f>
        <v>459121914</v>
      </c>
      <c r="E142" s="323">
        <f>SUM(E136:E141)</f>
        <v>99.939999999999984</v>
      </c>
      <c r="F142" s="322">
        <f>SUM(F136:F141)</f>
        <v>459265352</v>
      </c>
      <c r="G142" s="323">
        <f>SUM(G136:G141)</f>
        <v>99.970000000000027</v>
      </c>
      <c r="H142" s="330">
        <f t="shared" si="55"/>
        <v>-143438</v>
      </c>
      <c r="I142" s="330">
        <f t="shared" si="55"/>
        <v>-3.0000000000043769E-2</v>
      </c>
    </row>
    <row r="143" spans="1:13" ht="15.75" hidden="1" customHeight="1">
      <c r="B143" s="794" t="s">
        <v>60</v>
      </c>
      <c r="C143" s="321" t="s">
        <v>53</v>
      </c>
      <c r="D143" s="322">
        <f>D11+D13+D15+D18+D20+D22+D31+D36+D41+D51+D105+D107+D112+D99</f>
        <v>375064677</v>
      </c>
      <c r="E143" s="324">
        <f>E11+E13+E15+E18+E20+E22+E31+E36+E41+E51+E105+E107+E112+E99</f>
        <v>89.63</v>
      </c>
      <c r="F143" s="325">
        <f>D73+D79+D84+D121+D59+D61+D64+D66+D68</f>
        <v>375064677</v>
      </c>
      <c r="G143" s="326">
        <f>E73+E79+E84+E121+E59+E61+E64+E66+E68</f>
        <v>89.63</v>
      </c>
      <c r="H143" s="330">
        <f t="shared" si="55"/>
        <v>0</v>
      </c>
      <c r="I143" s="330">
        <f t="shared" si="55"/>
        <v>0</v>
      </c>
    </row>
    <row r="144" spans="1:13" hidden="1">
      <c r="B144" s="795"/>
      <c r="C144" s="321" t="s">
        <v>54</v>
      </c>
      <c r="D144" s="322">
        <f>D23+D32+D37+D42+D100+D108+D113</f>
        <v>8246610</v>
      </c>
      <c r="E144" s="324">
        <f>E23+E32+E37+E42+E100+E108+E113</f>
        <v>1.98</v>
      </c>
      <c r="F144" s="325">
        <f>D69+D74+D80+D85+D122</f>
        <v>8246610</v>
      </c>
      <c r="G144" s="326">
        <f>E69+E74+E80+E85+E122</f>
        <v>1.9700000000000002</v>
      </c>
      <c r="H144" s="330">
        <f t="shared" ref="H144:H149" si="56">D144-F144</f>
        <v>0</v>
      </c>
      <c r="I144" s="330">
        <f t="shared" ref="I144:I149" si="57">E144-G144</f>
        <v>9.9999999999997868E-3</v>
      </c>
      <c r="J144" s="301"/>
    </row>
    <row r="145" spans="2:10" hidden="1">
      <c r="B145" s="795"/>
      <c r="C145" s="321" t="s">
        <v>55</v>
      </c>
      <c r="D145" s="322">
        <f>D24+D33+D38+D43+D101+D109+D114</f>
        <v>26810048</v>
      </c>
      <c r="E145" s="324">
        <f>E24+E33+E38+E43+E101+E109+E114</f>
        <v>6.4099999999999993</v>
      </c>
      <c r="F145" s="325">
        <f>D70+D75+D81+D86+D92+D123</f>
        <v>26810048</v>
      </c>
      <c r="G145" s="326">
        <f>E70+E75+E81+E86+E92+E123</f>
        <v>6.41</v>
      </c>
      <c r="H145" s="330">
        <f t="shared" si="56"/>
        <v>0</v>
      </c>
      <c r="I145" s="330">
        <f t="shared" si="57"/>
        <v>0</v>
      </c>
      <c r="J145" s="301"/>
    </row>
    <row r="146" spans="2:10" hidden="1">
      <c r="B146" s="795"/>
      <c r="C146" s="321" t="s">
        <v>56</v>
      </c>
      <c r="D146" s="322">
        <f>D39+D48+D110+D115+D102</f>
        <v>7806863</v>
      </c>
      <c r="E146" s="324">
        <f>E39+E48+E110+E115+E102</f>
        <v>1.8599999999999999</v>
      </c>
      <c r="F146" s="325">
        <f>D76+D87+D93</f>
        <v>7807343</v>
      </c>
      <c r="G146" s="326">
        <f>E76+E87+E93</f>
        <v>1.86</v>
      </c>
      <c r="H146" s="330">
        <f t="shared" si="56"/>
        <v>-480</v>
      </c>
      <c r="I146" s="330">
        <f t="shared" si="57"/>
        <v>0</v>
      </c>
      <c r="J146" s="301"/>
    </row>
    <row r="147" spans="2:10" hidden="1">
      <c r="B147" s="795"/>
      <c r="C147" s="321" t="s">
        <v>57</v>
      </c>
      <c r="D147" s="322">
        <f>D26+D44+D52</f>
        <v>558069</v>
      </c>
      <c r="E147" s="324">
        <f>E26+E44+E52</f>
        <v>0.13999999999999999</v>
      </c>
      <c r="F147" s="325">
        <f>D88+D77</f>
        <v>558069</v>
      </c>
      <c r="G147" s="326">
        <f>E88+E77</f>
        <v>0.13</v>
      </c>
      <c r="H147" s="330">
        <f t="shared" si="56"/>
        <v>0</v>
      </c>
      <c r="I147" s="330">
        <f t="shared" si="57"/>
        <v>9.9999999999999811E-3</v>
      </c>
      <c r="J147" s="301"/>
    </row>
    <row r="148" spans="2:10" hidden="1">
      <c r="B148" s="795"/>
      <c r="C148" s="321" t="s">
        <v>58</v>
      </c>
      <c r="D148" s="322">
        <f>D27+D45+D49+D53</f>
        <v>47780</v>
      </c>
      <c r="E148" s="324">
        <f>E27+E45+E49+E53</f>
        <v>0.01</v>
      </c>
      <c r="F148" s="325">
        <f>D82+D89+D94</f>
        <v>47780</v>
      </c>
      <c r="G148" s="326">
        <f>E82+E89+E94</f>
        <v>0.01</v>
      </c>
      <c r="H148" s="330">
        <f t="shared" si="56"/>
        <v>0</v>
      </c>
      <c r="I148" s="330">
        <f t="shared" si="57"/>
        <v>0</v>
      </c>
      <c r="J148" s="301"/>
    </row>
    <row r="149" spans="2:10" hidden="1">
      <c r="B149" s="796"/>
      <c r="C149" s="321" t="s">
        <v>59</v>
      </c>
      <c r="D149" s="322">
        <f>SUM(D143:D148)</f>
        <v>418534047</v>
      </c>
      <c r="E149" s="323">
        <f>SUM(E143:E148)</f>
        <v>100.03</v>
      </c>
      <c r="F149" s="322">
        <f>SUM(F143:F148)</f>
        <v>418534527</v>
      </c>
      <c r="G149" s="323">
        <f>SUM(G143:G148)</f>
        <v>100.00999999999999</v>
      </c>
      <c r="H149" s="330">
        <f t="shared" si="56"/>
        <v>-480</v>
      </c>
      <c r="I149" s="330">
        <f t="shared" si="57"/>
        <v>2.0000000000010232E-2</v>
      </c>
      <c r="J149" s="301"/>
    </row>
    <row r="150" spans="2:10" ht="16.5" hidden="1" customHeight="1">
      <c r="B150" s="806" t="s">
        <v>61</v>
      </c>
      <c r="C150" s="321" t="s">
        <v>53</v>
      </c>
      <c r="D150" s="322">
        <f>F11+F13+F15+F18+F20+F22+F31+F36+F41+F51+F105+F107+F112+F99</f>
        <v>341720267</v>
      </c>
      <c r="E150" s="324">
        <f>G11+G13+G15+G18+G20+G22+G31+G36+G41+G51+G105+G107+G112+G99</f>
        <v>88.98</v>
      </c>
      <c r="F150" s="325">
        <f>F73+F79+F84+F121+F59+F61+F64+F66+F68</f>
        <v>341720267</v>
      </c>
      <c r="G150" s="326">
        <f>G73+G79+G84+G121+G59+G61+G64+G66+G68</f>
        <v>88.97999999999999</v>
      </c>
      <c r="H150" s="330">
        <f>D150-F150</f>
        <v>0</v>
      </c>
      <c r="I150" s="330">
        <f>E150-G150</f>
        <v>0</v>
      </c>
      <c r="J150" s="302"/>
    </row>
    <row r="151" spans="2:10" hidden="1">
      <c r="B151" s="806"/>
      <c r="C151" s="321" t="s">
        <v>54</v>
      </c>
      <c r="D151" s="322">
        <f>F23+F32+F37+F42+F100+F108+F113</f>
        <v>7921912</v>
      </c>
      <c r="E151" s="324">
        <f>G23+G32+G37+G42+G100+G108+G113</f>
        <v>2.06</v>
      </c>
      <c r="F151" s="325">
        <f>F69+F74+F80+F85+F122</f>
        <v>7921912</v>
      </c>
      <c r="G151" s="326">
        <f>G69+G74+G80+G85+G122</f>
        <v>2.06</v>
      </c>
      <c r="H151" s="330">
        <f t="shared" ref="H151:H156" si="58">D151-F151</f>
        <v>0</v>
      </c>
      <c r="I151" s="330">
        <f t="shared" ref="I151:I156" si="59">E151-G151</f>
        <v>0</v>
      </c>
      <c r="J151" s="302"/>
    </row>
    <row r="152" spans="2:10" hidden="1">
      <c r="B152" s="806"/>
      <c r="C152" s="321" t="s">
        <v>55</v>
      </c>
      <c r="D152" s="322">
        <f>F24+F33+F38+F43+F101+F109+F114</f>
        <v>25619164</v>
      </c>
      <c r="E152" s="324">
        <f>G24+G33+G38+G43+G101+G109+G114</f>
        <v>6.67</v>
      </c>
      <c r="F152" s="325">
        <f>F70+F75+F81+F86+F92+F123</f>
        <v>25619164</v>
      </c>
      <c r="G152" s="326">
        <f>G70+G75+G81+G86+G92+G123</f>
        <v>6.669999999999999</v>
      </c>
      <c r="H152" s="330">
        <f t="shared" si="58"/>
        <v>0</v>
      </c>
      <c r="I152" s="330">
        <f t="shared" si="59"/>
        <v>0</v>
      </c>
      <c r="J152" s="302"/>
    </row>
    <row r="153" spans="2:10" hidden="1">
      <c r="B153" s="806"/>
      <c r="C153" s="321" t="s">
        <v>56</v>
      </c>
      <c r="D153" s="322">
        <f>F39+F48+F110+F115+F102</f>
        <v>8185559</v>
      </c>
      <c r="E153" s="324">
        <f>G39+G48+G110+G115+G102</f>
        <v>2.13</v>
      </c>
      <c r="F153" s="325">
        <f>F76+F87+F93</f>
        <v>8185559</v>
      </c>
      <c r="G153" s="326">
        <f>G76+G87+G93</f>
        <v>2.13</v>
      </c>
      <c r="H153" s="330">
        <f t="shared" si="58"/>
        <v>0</v>
      </c>
      <c r="I153" s="330">
        <f t="shared" si="59"/>
        <v>0</v>
      </c>
      <c r="J153" s="302"/>
    </row>
    <row r="154" spans="2:10" hidden="1">
      <c r="B154" s="806"/>
      <c r="C154" s="321" t="s">
        <v>57</v>
      </c>
      <c r="D154" s="322">
        <f>F26+F44+F52</f>
        <v>621627</v>
      </c>
      <c r="E154" s="324">
        <f>G26+G44+G52</f>
        <v>0.16</v>
      </c>
      <c r="F154" s="325">
        <f>F88+F77</f>
        <v>621627</v>
      </c>
      <c r="G154" s="326">
        <f>G88+G77</f>
        <v>0.16</v>
      </c>
      <c r="H154" s="330">
        <f t="shared" si="58"/>
        <v>0</v>
      </c>
      <c r="I154" s="330">
        <f t="shared" si="59"/>
        <v>0</v>
      </c>
      <c r="J154" s="302"/>
    </row>
    <row r="155" spans="2:10" hidden="1">
      <c r="B155" s="806"/>
      <c r="C155" s="321" t="s">
        <v>58</v>
      </c>
      <c r="D155" s="322">
        <f>F27+F45+F49+F53</f>
        <v>54777</v>
      </c>
      <c r="E155" s="324">
        <f>G27+G45+G49+G53</f>
        <v>0.01</v>
      </c>
      <c r="F155" s="325">
        <f>F82+F89+F94</f>
        <v>54777</v>
      </c>
      <c r="G155" s="326">
        <f>G82+G89+G94</f>
        <v>0.01</v>
      </c>
      <c r="H155" s="330">
        <f t="shared" si="58"/>
        <v>0</v>
      </c>
      <c r="I155" s="330">
        <f t="shared" si="59"/>
        <v>0</v>
      </c>
      <c r="J155" s="302"/>
    </row>
    <row r="156" spans="2:10" hidden="1">
      <c r="B156" s="806"/>
      <c r="C156" s="327" t="s">
        <v>59</v>
      </c>
      <c r="D156" s="322">
        <f>SUM(D150:D155)</f>
        <v>384123306</v>
      </c>
      <c r="E156" s="323">
        <f>SUM(E150:E155)</f>
        <v>100.01</v>
      </c>
      <c r="F156" s="322">
        <f>SUM(F150:F155)</f>
        <v>384123306</v>
      </c>
      <c r="G156" s="323">
        <f>SUM(G150:G155)</f>
        <v>100.00999999999999</v>
      </c>
      <c r="H156" s="330">
        <f t="shared" si="58"/>
        <v>0</v>
      </c>
      <c r="I156" s="330">
        <f t="shared" si="59"/>
        <v>0</v>
      </c>
    </row>
  </sheetData>
  <mergeCells count="17">
    <mergeCell ref="B150:B156"/>
    <mergeCell ref="F135:G135"/>
    <mergeCell ref="H135:I135"/>
    <mergeCell ref="A133:I133"/>
    <mergeCell ref="D135:E135"/>
    <mergeCell ref="B135:C135"/>
    <mergeCell ref="B136:B142"/>
    <mergeCell ref="F5:G5"/>
    <mergeCell ref="B143:B149"/>
    <mergeCell ref="A1:I1"/>
    <mergeCell ref="A2:I2"/>
    <mergeCell ref="A3:I3"/>
    <mergeCell ref="A4:I4"/>
    <mergeCell ref="H5:I5"/>
    <mergeCell ref="A5:B5"/>
    <mergeCell ref="C5:C6"/>
    <mergeCell ref="D5:E5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11" orientation="portrait" useFirstPageNumber="1" r:id="rId1"/>
  <headerFooter alignWithMargins="0">
    <oddFooter>&amp;C&amp;"Times New Roman,標準"&amp;P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4"/>
  <sheetViews>
    <sheetView zoomScaleSheetLayoutView="100" workbookViewId="0">
      <selection activeCell="C11" sqref="C11"/>
    </sheetView>
  </sheetViews>
  <sheetFormatPr defaultColWidth="9" defaultRowHeight="15.6"/>
  <cols>
    <col min="1" max="1" width="4.33203125" style="2" customWidth="1"/>
    <col min="2" max="2" width="6.33203125" style="2" customWidth="1"/>
    <col min="3" max="3" width="79.44140625" style="2" customWidth="1"/>
    <col min="4" max="16384" width="9" style="2"/>
  </cols>
  <sheetData>
    <row r="1" spans="1:9" ht="21" customHeight="1">
      <c r="A1" s="798" t="s">
        <v>109</v>
      </c>
      <c r="B1" s="798"/>
      <c r="C1" s="798"/>
      <c r="D1" s="155"/>
      <c r="E1" s="155"/>
      <c r="F1" s="155"/>
      <c r="G1" s="155"/>
      <c r="H1" s="155"/>
      <c r="I1" s="155"/>
    </row>
    <row r="2" spans="1:9" ht="21" customHeight="1">
      <c r="A2" s="798" t="s">
        <v>110</v>
      </c>
      <c r="B2" s="798"/>
      <c r="C2" s="798"/>
      <c r="D2" s="155"/>
      <c r="E2" s="155"/>
      <c r="F2" s="155"/>
      <c r="G2" s="155"/>
      <c r="H2" s="155"/>
      <c r="I2" s="155"/>
    </row>
    <row r="3" spans="1:9" ht="24.9" customHeight="1">
      <c r="A3" s="800" t="s">
        <v>148</v>
      </c>
      <c r="B3" s="800"/>
      <c r="C3" s="800"/>
      <c r="D3" s="156"/>
      <c r="E3" s="156"/>
      <c r="F3" s="156"/>
      <c r="G3" s="156"/>
      <c r="H3" s="156"/>
      <c r="I3" s="156"/>
    </row>
    <row r="4" spans="1:9" ht="24.9" customHeight="1" thickBot="1">
      <c r="A4" s="815" t="s">
        <v>149</v>
      </c>
      <c r="B4" s="815"/>
      <c r="C4" s="815"/>
      <c r="D4" s="4"/>
      <c r="E4" s="4"/>
      <c r="F4" s="4"/>
      <c r="G4" s="4"/>
      <c r="H4" s="4"/>
      <c r="I4" s="4"/>
    </row>
    <row r="5" spans="1:9" s="395" customFormat="1" ht="8.25" customHeight="1">
      <c r="A5" s="391"/>
      <c r="B5" s="392"/>
      <c r="C5" s="393"/>
      <c r="D5" s="394"/>
      <c r="E5" s="394"/>
      <c r="F5" s="394"/>
      <c r="G5" s="394"/>
      <c r="H5" s="394"/>
      <c r="I5" s="394"/>
    </row>
    <row r="6" spans="1:9" s="396" customFormat="1" ht="30" customHeight="1">
      <c r="A6" s="397" t="s">
        <v>150</v>
      </c>
      <c r="B6" s="813" t="s">
        <v>1126</v>
      </c>
      <c r="C6" s="814"/>
    </row>
    <row r="7" spans="1:9" s="396" customFormat="1" ht="30" customHeight="1">
      <c r="A7" s="397"/>
      <c r="B7" s="417" t="s">
        <v>151</v>
      </c>
      <c r="C7" s="532" t="s">
        <v>152</v>
      </c>
    </row>
    <row r="8" spans="1:9" s="396" customFormat="1" ht="30" customHeight="1">
      <c r="A8" s="397"/>
      <c r="B8" s="417" t="s">
        <v>144</v>
      </c>
      <c r="C8" s="532" t="s">
        <v>1127</v>
      </c>
    </row>
    <row r="9" spans="1:9" s="396" customFormat="1" ht="30" customHeight="1">
      <c r="A9" s="397"/>
      <c r="B9" s="417" t="s">
        <v>145</v>
      </c>
      <c r="C9" s="532" t="s">
        <v>153</v>
      </c>
    </row>
    <row r="10" spans="1:9" s="396" customFormat="1" ht="30" customHeight="1">
      <c r="A10" s="397" t="s">
        <v>146</v>
      </c>
      <c r="B10" s="813" t="s">
        <v>1128</v>
      </c>
      <c r="C10" s="814"/>
    </row>
    <row r="11" spans="1:9" s="396" customFormat="1" ht="30" customHeight="1">
      <c r="A11" s="397"/>
      <c r="B11" s="458" t="s">
        <v>151</v>
      </c>
      <c r="C11" s="532" t="s">
        <v>1129</v>
      </c>
    </row>
    <row r="12" spans="1:9" s="398" customFormat="1" ht="30" customHeight="1">
      <c r="A12" s="397"/>
      <c r="B12" s="458" t="s">
        <v>144</v>
      </c>
      <c r="C12" s="532" t="s">
        <v>1130</v>
      </c>
    </row>
    <row r="13" spans="1:9" s="398" customFormat="1" ht="30" customHeight="1">
      <c r="A13" s="397"/>
      <c r="B13" s="458" t="s">
        <v>145</v>
      </c>
      <c r="C13" s="532" t="s">
        <v>154</v>
      </c>
    </row>
    <row r="14" spans="1:9" s="396" customFormat="1" ht="30" customHeight="1">
      <c r="A14" s="397" t="s">
        <v>147</v>
      </c>
      <c r="B14" s="813" t="s">
        <v>155</v>
      </c>
      <c r="C14" s="814"/>
    </row>
    <row r="15" spans="1:9" s="396" customFormat="1" ht="30" customHeight="1">
      <c r="A15" s="397"/>
      <c r="B15" s="458" t="s">
        <v>151</v>
      </c>
      <c r="C15" s="532" t="s">
        <v>156</v>
      </c>
    </row>
    <row r="16" spans="1:9" s="396" customFormat="1" ht="30" customHeight="1">
      <c r="A16" s="397"/>
      <c r="B16" s="458" t="s">
        <v>144</v>
      </c>
      <c r="C16" s="532" t="s">
        <v>157</v>
      </c>
    </row>
    <row r="17" spans="1:3" s="396" customFormat="1" ht="50.25" customHeight="1">
      <c r="A17" s="397" t="s">
        <v>158</v>
      </c>
      <c r="B17" s="813" t="s">
        <v>159</v>
      </c>
      <c r="C17" s="814"/>
    </row>
    <row r="18" spans="1:3" s="396" customFormat="1" ht="30" customHeight="1">
      <c r="A18" s="397" t="s">
        <v>160</v>
      </c>
      <c r="B18" s="813" t="s">
        <v>161</v>
      </c>
      <c r="C18" s="814"/>
    </row>
    <row r="19" spans="1:3" s="395" customFormat="1" ht="24.6" customHeight="1">
      <c r="A19" s="399"/>
      <c r="B19" s="400"/>
      <c r="C19" s="401"/>
    </row>
    <row r="20" spans="1:3" s="395" customFormat="1" ht="24" customHeight="1">
      <c r="A20" s="399"/>
      <c r="B20" s="400"/>
      <c r="C20" s="401"/>
    </row>
    <row r="21" spans="1:3" s="395" customFormat="1" ht="1.2" customHeight="1">
      <c r="A21" s="399"/>
      <c r="B21" s="400"/>
      <c r="C21" s="401"/>
    </row>
    <row r="22" spans="1:3" s="395" customFormat="1" ht="21.6" customHeight="1">
      <c r="A22" s="399"/>
      <c r="B22" s="400"/>
      <c r="C22" s="401"/>
    </row>
    <row r="23" spans="1:3" s="395" customFormat="1" ht="50.4" customHeight="1">
      <c r="A23" s="399"/>
      <c r="B23" s="400"/>
      <c r="C23" s="401"/>
    </row>
    <row r="24" spans="1:3" ht="139.5" customHeight="1" thickBot="1">
      <c r="A24" s="402"/>
      <c r="B24" s="403"/>
      <c r="C24" s="404"/>
    </row>
  </sheetData>
  <mergeCells count="9">
    <mergeCell ref="B18:C18"/>
    <mergeCell ref="A1:C1"/>
    <mergeCell ref="A2:C2"/>
    <mergeCell ref="A3:C3"/>
    <mergeCell ref="A4:C4"/>
    <mergeCell ref="B14:C14"/>
    <mergeCell ref="B17:C17"/>
    <mergeCell ref="B6:C6"/>
    <mergeCell ref="B10:C10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16" orientation="portrait" useFirstPageNumber="1" r:id="rId1"/>
  <headerFooter alignWithMargins="0">
    <oddFooter>&amp;C&amp;"Times New Roman,標準"&amp;P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22" workbookViewId="0">
      <selection activeCell="D9" sqref="D9"/>
    </sheetView>
  </sheetViews>
  <sheetFormatPr defaultColWidth="9" defaultRowHeight="15.6"/>
  <cols>
    <col min="1" max="1" width="15.6640625" style="13" customWidth="1"/>
    <col min="2" max="2" width="7.109375" style="13" customWidth="1"/>
    <col min="3" max="3" width="19.33203125" style="13" customWidth="1"/>
    <col min="4" max="4" width="15.6640625" style="13" customWidth="1"/>
    <col min="5" max="5" width="7.109375" style="119" customWidth="1"/>
    <col min="6" max="6" width="25.21875" style="13" customWidth="1"/>
    <col min="7" max="16384" width="9" style="13"/>
  </cols>
  <sheetData>
    <row r="1" spans="1:9" ht="22.2">
      <c r="A1" s="816" t="s">
        <v>109</v>
      </c>
      <c r="B1" s="816"/>
      <c r="C1" s="816"/>
      <c r="D1" s="816"/>
      <c r="E1" s="816"/>
      <c r="F1" s="816"/>
      <c r="G1" s="12"/>
      <c r="H1" s="12"/>
      <c r="I1" s="12"/>
    </row>
    <row r="2" spans="1:9" ht="22.2">
      <c r="A2" s="816" t="s">
        <v>110</v>
      </c>
      <c r="B2" s="816"/>
      <c r="C2" s="816"/>
      <c r="D2" s="816"/>
      <c r="E2" s="816"/>
      <c r="F2" s="816"/>
      <c r="G2" s="12"/>
      <c r="H2" s="12"/>
      <c r="I2" s="12"/>
    </row>
    <row r="3" spans="1:9" ht="24.9" customHeight="1">
      <c r="A3" s="817" t="s">
        <v>162</v>
      </c>
      <c r="B3" s="817"/>
      <c r="C3" s="817"/>
      <c r="D3" s="817"/>
      <c r="E3" s="817"/>
      <c r="F3" s="817"/>
    </row>
    <row r="4" spans="1:9" ht="24.9" customHeight="1" thickBot="1">
      <c r="A4" s="818" t="s">
        <v>163</v>
      </c>
      <c r="B4" s="818"/>
      <c r="C4" s="818"/>
      <c r="D4" s="818"/>
      <c r="E4" s="818"/>
      <c r="F4" s="818"/>
    </row>
    <row r="5" spans="1:9" ht="21" customHeight="1">
      <c r="A5" s="819" t="s">
        <v>164</v>
      </c>
      <c r="B5" s="820"/>
      <c r="C5" s="820" t="s">
        <v>112</v>
      </c>
      <c r="D5" s="820" t="s">
        <v>165</v>
      </c>
      <c r="E5" s="820"/>
      <c r="F5" s="822" t="s">
        <v>166</v>
      </c>
    </row>
    <row r="6" spans="1:9" ht="21" customHeight="1">
      <c r="A6" s="459" t="s">
        <v>167</v>
      </c>
      <c r="B6" s="533" t="s">
        <v>168</v>
      </c>
      <c r="C6" s="821"/>
      <c r="D6" s="533" t="s">
        <v>167</v>
      </c>
      <c r="E6" s="533" t="s">
        <v>168</v>
      </c>
      <c r="F6" s="823"/>
    </row>
    <row r="7" spans="1:9" ht="8.25" customHeight="1">
      <c r="A7" s="460"/>
      <c r="B7" s="173"/>
      <c r="C7" s="173"/>
      <c r="D7" s="173"/>
      <c r="E7" s="173"/>
      <c r="F7" s="174"/>
    </row>
    <row r="8" spans="1:9" s="22" customFormat="1" ht="30" customHeight="1">
      <c r="A8" s="179" t="s">
        <v>11</v>
      </c>
      <c r="B8" s="180" t="s">
        <v>11</v>
      </c>
      <c r="C8" s="112" t="s">
        <v>169</v>
      </c>
      <c r="D8" s="180" t="s">
        <v>11</v>
      </c>
      <c r="E8" s="180" t="s">
        <v>11</v>
      </c>
      <c r="F8" s="159"/>
    </row>
    <row r="9" spans="1:9" s="22" customFormat="1" ht="30" customHeight="1">
      <c r="A9" s="179" t="s">
        <v>11</v>
      </c>
      <c r="B9" s="180" t="s">
        <v>11</v>
      </c>
      <c r="C9" s="461" t="s">
        <v>510</v>
      </c>
      <c r="D9" s="180" t="s">
        <v>11</v>
      </c>
      <c r="E9" s="180" t="s">
        <v>11</v>
      </c>
      <c r="F9" s="159"/>
    </row>
    <row r="10" spans="1:9" s="22" customFormat="1" ht="30" customHeight="1">
      <c r="A10" s="179" t="s">
        <v>11</v>
      </c>
      <c r="B10" s="180" t="s">
        <v>11</v>
      </c>
      <c r="C10" s="112" t="s">
        <v>170</v>
      </c>
      <c r="D10" s="180" t="s">
        <v>11</v>
      </c>
      <c r="E10" s="180" t="s">
        <v>11</v>
      </c>
      <c r="F10" s="159"/>
    </row>
    <row r="11" spans="1:9" ht="22.2" customHeight="1">
      <c r="A11" s="111"/>
      <c r="B11" s="112"/>
      <c r="C11" s="113" t="s">
        <v>12</v>
      </c>
      <c r="D11" s="113"/>
      <c r="E11" s="113"/>
      <c r="F11" s="110"/>
    </row>
    <row r="12" spans="1:9" ht="24.9" customHeight="1">
      <c r="A12" s="111"/>
      <c r="B12" s="112"/>
      <c r="C12" s="113" t="s">
        <v>12</v>
      </c>
      <c r="D12" s="113"/>
      <c r="E12" s="113"/>
      <c r="F12" s="110"/>
    </row>
    <row r="13" spans="1:9" ht="24.9" customHeight="1">
      <c r="A13" s="111"/>
      <c r="B13" s="112"/>
      <c r="C13" s="113" t="s">
        <v>12</v>
      </c>
      <c r="D13" s="113"/>
      <c r="E13" s="113"/>
      <c r="F13" s="110"/>
    </row>
    <row r="14" spans="1:9" ht="24.9" customHeight="1">
      <c r="A14" s="111"/>
      <c r="B14" s="112"/>
      <c r="C14" s="113" t="s">
        <v>12</v>
      </c>
      <c r="D14" s="113"/>
      <c r="E14" s="113"/>
      <c r="F14" s="110"/>
    </row>
    <row r="15" spans="1:9" ht="24.9" customHeight="1">
      <c r="A15" s="111"/>
      <c r="B15" s="112"/>
      <c r="C15" s="113" t="s">
        <v>12</v>
      </c>
      <c r="D15" s="113"/>
      <c r="E15" s="113"/>
      <c r="F15" s="110"/>
    </row>
    <row r="16" spans="1:9" ht="24.9" customHeight="1">
      <c r="A16" s="111"/>
      <c r="B16" s="112"/>
      <c r="C16" s="113" t="s">
        <v>12</v>
      </c>
      <c r="D16" s="113"/>
      <c r="E16" s="113"/>
      <c r="F16" s="110"/>
    </row>
    <row r="17" spans="1:6" ht="24.9" customHeight="1">
      <c r="A17" s="111"/>
      <c r="B17" s="112" t="s">
        <v>12</v>
      </c>
      <c r="C17" s="113" t="s">
        <v>171</v>
      </c>
      <c r="D17" s="113"/>
      <c r="E17" s="113"/>
      <c r="F17" s="110"/>
    </row>
    <row r="18" spans="1:6" ht="24.9" customHeight="1">
      <c r="A18" s="111"/>
      <c r="B18" s="112"/>
      <c r="C18" s="113" t="s">
        <v>12</v>
      </c>
      <c r="D18" s="113"/>
      <c r="E18" s="113"/>
      <c r="F18" s="110"/>
    </row>
    <row r="19" spans="1:6" ht="24.9" customHeight="1">
      <c r="A19" s="111"/>
      <c r="B19" s="112"/>
      <c r="C19" s="114" t="s">
        <v>12</v>
      </c>
      <c r="D19" s="113"/>
      <c r="E19" s="113"/>
      <c r="F19" s="110"/>
    </row>
    <row r="20" spans="1:6" ht="24.9" customHeight="1">
      <c r="A20" s="111"/>
      <c r="B20" s="112"/>
      <c r="C20" s="114" t="s">
        <v>12</v>
      </c>
      <c r="D20" s="113"/>
      <c r="E20" s="113"/>
      <c r="F20" s="110"/>
    </row>
    <row r="21" spans="1:6" ht="24.9" customHeight="1">
      <c r="A21" s="111"/>
      <c r="B21" s="112"/>
      <c r="C21" s="114" t="s">
        <v>12</v>
      </c>
      <c r="D21" s="113"/>
      <c r="E21" s="113"/>
      <c r="F21" s="110"/>
    </row>
    <row r="22" spans="1:6" ht="24.9" customHeight="1">
      <c r="A22" s="111"/>
      <c r="B22" s="112"/>
      <c r="C22" s="114" t="s">
        <v>12</v>
      </c>
      <c r="D22" s="113"/>
      <c r="E22" s="113"/>
      <c r="F22" s="110"/>
    </row>
    <row r="23" spans="1:6" ht="24.9" customHeight="1">
      <c r="A23" s="111"/>
      <c r="B23" s="112"/>
      <c r="C23" s="114"/>
      <c r="D23" s="113"/>
      <c r="E23" s="113"/>
      <c r="F23" s="110"/>
    </row>
    <row r="24" spans="1:6" ht="24.9" customHeight="1">
      <c r="A24" s="111"/>
      <c r="B24" s="112"/>
      <c r="C24" s="114"/>
      <c r="D24" s="113"/>
      <c r="E24" s="113"/>
      <c r="F24" s="110"/>
    </row>
    <row r="25" spans="1:6" ht="24.9" customHeight="1">
      <c r="A25" s="111"/>
      <c r="B25" s="112"/>
      <c r="C25" s="114"/>
      <c r="D25" s="113"/>
      <c r="E25" s="113"/>
      <c r="F25" s="110"/>
    </row>
    <row r="26" spans="1:6" ht="24.9" customHeight="1">
      <c r="A26" s="111"/>
      <c r="B26" s="112"/>
      <c r="C26" s="114"/>
      <c r="D26" s="113"/>
      <c r="E26" s="113"/>
      <c r="F26" s="110"/>
    </row>
    <row r="27" spans="1:6" ht="24.9" customHeight="1">
      <c r="A27" s="111"/>
      <c r="B27" s="112"/>
      <c r="C27" s="114"/>
      <c r="D27" s="113"/>
      <c r="E27" s="113"/>
      <c r="F27" s="110"/>
    </row>
    <row r="28" spans="1:6" ht="24.9" customHeight="1">
      <c r="A28" s="111"/>
      <c r="B28" s="112"/>
      <c r="C28" s="114" t="s">
        <v>12</v>
      </c>
      <c r="D28" s="113"/>
      <c r="E28" s="113"/>
      <c r="F28" s="110"/>
    </row>
    <row r="29" spans="1:6" ht="9" customHeight="1">
      <c r="A29" s="111"/>
      <c r="B29" s="112"/>
      <c r="C29" s="114" t="s">
        <v>12</v>
      </c>
      <c r="D29" s="113"/>
      <c r="E29" s="113"/>
      <c r="F29" s="110"/>
    </row>
    <row r="30" spans="1:6" ht="24.9" customHeight="1">
      <c r="A30" s="111"/>
      <c r="B30" s="112"/>
      <c r="C30" s="114" t="s">
        <v>12</v>
      </c>
      <c r="D30" s="113"/>
      <c r="E30" s="113"/>
      <c r="F30" s="110"/>
    </row>
    <row r="31" spans="1:6" ht="22.95" customHeight="1">
      <c r="A31" s="111"/>
      <c r="B31" s="112"/>
      <c r="C31" s="114" t="s">
        <v>12</v>
      </c>
      <c r="D31" s="113"/>
      <c r="E31" s="113"/>
      <c r="F31" s="110"/>
    </row>
    <row r="32" spans="1:6" ht="35.25" customHeight="1" thickBot="1">
      <c r="A32" s="115"/>
      <c r="B32" s="116"/>
      <c r="C32" s="117" t="s">
        <v>12</v>
      </c>
      <c r="D32" s="102"/>
      <c r="E32" s="102"/>
      <c r="F32" s="118"/>
    </row>
  </sheetData>
  <mergeCells count="8">
    <mergeCell ref="A1:F1"/>
    <mergeCell ref="A2:F2"/>
    <mergeCell ref="A3:F3"/>
    <mergeCell ref="A4:F4"/>
    <mergeCell ref="A5:B5"/>
    <mergeCell ref="C5:C6"/>
    <mergeCell ref="D5:E5"/>
    <mergeCell ref="F5:F6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17" orientation="portrait" useFirstPageNumber="1" r:id="rId1"/>
  <headerFooter alignWithMargins="0">
    <oddFooter>&amp;C&amp;"Times New Roman,標準"&amp;P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9"/>
  <sheetViews>
    <sheetView topLeftCell="A31" workbookViewId="0">
      <selection activeCell="B16" sqref="B16"/>
    </sheetView>
  </sheetViews>
  <sheetFormatPr defaultColWidth="9" defaultRowHeight="15.6"/>
  <cols>
    <col min="1" max="1" width="41.88671875" style="6" customWidth="1"/>
    <col min="2" max="2" width="14.109375" style="6" customWidth="1"/>
    <col min="3" max="3" width="15.6640625" style="6" customWidth="1"/>
    <col min="4" max="4" width="12.6640625" style="6" customWidth="1"/>
    <col min="5" max="5" width="5.6640625" style="6" customWidth="1"/>
    <col min="6" max="6" width="39" style="6" customWidth="1"/>
    <col min="7" max="7" width="9" style="6"/>
    <col min="8" max="8" width="26.33203125" style="6" customWidth="1"/>
    <col min="9" max="9" width="19.88671875" style="6" customWidth="1"/>
    <col min="10" max="16384" width="9" style="6"/>
  </cols>
  <sheetData>
    <row r="1" spans="1:8" s="2" customFormat="1" ht="22.2">
      <c r="A1" s="798" t="s">
        <v>109</v>
      </c>
      <c r="B1" s="798"/>
      <c r="C1" s="798"/>
      <c r="D1" s="798"/>
      <c r="E1" s="798"/>
      <c r="F1" s="1"/>
      <c r="G1" s="1"/>
      <c r="H1" s="1"/>
    </row>
    <row r="2" spans="1:8" s="2" customFormat="1" ht="22.2">
      <c r="A2" s="798" t="s">
        <v>110</v>
      </c>
      <c r="B2" s="798"/>
      <c r="C2" s="798"/>
      <c r="D2" s="798"/>
      <c r="E2" s="798"/>
      <c r="F2" s="1"/>
      <c r="G2" s="1"/>
      <c r="H2" s="1"/>
    </row>
    <row r="3" spans="1:8" s="2" customFormat="1" ht="24.75" customHeight="1">
      <c r="A3" s="799" t="s">
        <v>511</v>
      </c>
      <c r="B3" s="800"/>
      <c r="C3" s="800"/>
      <c r="D3" s="800"/>
      <c r="E3" s="800"/>
      <c r="F3" s="3"/>
      <c r="G3" s="3"/>
      <c r="H3" s="3"/>
    </row>
    <row r="4" spans="1:8" s="2" customFormat="1" ht="24.9" customHeight="1" thickBot="1">
      <c r="A4" s="815" t="s">
        <v>111</v>
      </c>
      <c r="B4" s="815"/>
      <c r="C4" s="815"/>
      <c r="D4" s="815"/>
      <c r="E4" s="815"/>
      <c r="F4" s="4"/>
      <c r="G4" s="4"/>
      <c r="H4" s="4"/>
    </row>
    <row r="5" spans="1:8">
      <c r="A5" s="830" t="s">
        <v>112</v>
      </c>
      <c r="B5" s="833" t="s">
        <v>113</v>
      </c>
      <c r="C5" s="836" t="s">
        <v>114</v>
      </c>
      <c r="D5" s="837"/>
      <c r="E5" s="838"/>
      <c r="F5" s="4"/>
      <c r="G5" s="4"/>
      <c r="H5" s="4"/>
    </row>
    <row r="6" spans="1:8">
      <c r="A6" s="831"/>
      <c r="B6" s="834"/>
      <c r="C6" s="839"/>
      <c r="D6" s="840"/>
      <c r="E6" s="841"/>
      <c r="F6" s="4"/>
      <c r="G6" s="4"/>
      <c r="H6" s="4"/>
    </row>
    <row r="7" spans="1:8">
      <c r="A7" s="832"/>
      <c r="B7" s="835"/>
      <c r="C7" s="842"/>
      <c r="D7" s="843"/>
      <c r="E7" s="844"/>
    </row>
    <row r="8" spans="1:8" ht="8.25" customHeight="1">
      <c r="A8" s="535"/>
      <c r="B8" s="536"/>
      <c r="C8" s="86"/>
      <c r="D8" s="143"/>
      <c r="E8" s="89"/>
    </row>
    <row r="9" spans="1:8" s="10" customFormat="1" ht="27.75" customHeight="1">
      <c r="A9" s="420" t="s">
        <v>115</v>
      </c>
      <c r="B9" s="145"/>
      <c r="C9" s="146"/>
      <c r="D9" s="147"/>
      <c r="E9" s="148"/>
    </row>
    <row r="10" spans="1:8" s="31" customFormat="1" ht="23.25" customHeight="1">
      <c r="A10" s="149" t="s">
        <v>514</v>
      </c>
      <c r="B10" s="68" t="s">
        <v>11</v>
      </c>
      <c r="C10" s="150"/>
      <c r="D10" s="151"/>
      <c r="E10" s="148"/>
    </row>
    <row r="11" spans="1:8" s="31" customFormat="1" ht="50.25" customHeight="1">
      <c r="A11" s="69" t="s">
        <v>116</v>
      </c>
      <c r="B11" s="152">
        <f>D11+D13+D14+D15+D12</f>
        <v>48912183</v>
      </c>
      <c r="C11" s="421" t="s">
        <v>143</v>
      </c>
      <c r="D11" s="534">
        <v>419658</v>
      </c>
      <c r="E11" s="537" t="s">
        <v>117</v>
      </c>
      <c r="F11" s="36"/>
    </row>
    <row r="12" spans="1:8" s="10" customFormat="1" ht="24.6" customHeight="1">
      <c r="A12" s="69"/>
      <c r="B12" s="152"/>
      <c r="C12" s="421" t="s">
        <v>118</v>
      </c>
      <c r="D12" s="534">
        <v>1140</v>
      </c>
      <c r="E12" s="537" t="s">
        <v>117</v>
      </c>
    </row>
    <row r="13" spans="1:8" s="10" customFormat="1" ht="33" customHeight="1">
      <c r="A13" s="69"/>
      <c r="B13" s="152"/>
      <c r="C13" s="421" t="s">
        <v>119</v>
      </c>
      <c r="D13" s="534">
        <v>48938794</v>
      </c>
      <c r="E13" s="537" t="s">
        <v>117</v>
      </c>
    </row>
    <row r="14" spans="1:8" s="31" customFormat="1" ht="28.5" customHeight="1">
      <c r="A14" s="69" t="s">
        <v>120</v>
      </c>
      <c r="B14" s="32"/>
      <c r="C14" s="421" t="s">
        <v>121</v>
      </c>
      <c r="D14" s="534">
        <v>-498247</v>
      </c>
      <c r="E14" s="537" t="s">
        <v>117</v>
      </c>
      <c r="F14" s="37"/>
      <c r="H14" s="11"/>
    </row>
    <row r="15" spans="1:8" s="10" customFormat="1" ht="27" customHeight="1">
      <c r="A15" s="69" t="s">
        <v>120</v>
      </c>
      <c r="B15" s="32"/>
      <c r="C15" s="421" t="s">
        <v>122</v>
      </c>
      <c r="D15" s="534">
        <v>50838</v>
      </c>
      <c r="E15" s="537" t="s">
        <v>117</v>
      </c>
    </row>
    <row r="16" spans="1:8" s="10" customFormat="1" ht="31.5" customHeight="1">
      <c r="A16" s="420" t="s">
        <v>123</v>
      </c>
      <c r="B16" s="28">
        <f>B11</f>
        <v>48912183</v>
      </c>
      <c r="C16" s="422"/>
      <c r="D16" s="423"/>
      <c r="E16" s="537"/>
    </row>
    <row r="17" spans="1:5" s="10" customFormat="1" ht="28.8" customHeight="1">
      <c r="A17" s="420" t="s">
        <v>124</v>
      </c>
      <c r="B17" s="28"/>
      <c r="C17" s="424"/>
      <c r="D17" s="425"/>
      <c r="E17" s="426"/>
    </row>
    <row r="18" spans="1:5" s="10" customFormat="1" ht="30" hidden="1" customHeight="1">
      <c r="A18" s="69" t="s">
        <v>125</v>
      </c>
      <c r="B18" s="32">
        <v>0</v>
      </c>
      <c r="C18" s="827"/>
      <c r="D18" s="828"/>
      <c r="E18" s="829"/>
    </row>
    <row r="19" spans="1:5" s="10" customFormat="1" ht="50.25" customHeight="1">
      <c r="A19" s="69" t="s">
        <v>126</v>
      </c>
      <c r="B19" s="32">
        <v>-41626618</v>
      </c>
      <c r="C19" s="827" t="s">
        <v>127</v>
      </c>
      <c r="D19" s="828"/>
      <c r="E19" s="829"/>
    </row>
    <row r="20" spans="1:5" s="10" customFormat="1" ht="45" customHeight="1">
      <c r="A20" s="69" t="s">
        <v>128</v>
      </c>
      <c r="B20" s="32">
        <v>-15587392</v>
      </c>
      <c r="C20" s="824" t="s">
        <v>141</v>
      </c>
      <c r="D20" s="825"/>
      <c r="E20" s="826"/>
    </row>
    <row r="21" spans="1:5" s="10" customFormat="1" ht="30" hidden="1" customHeight="1">
      <c r="A21" s="69" t="s">
        <v>129</v>
      </c>
      <c r="B21" s="32">
        <v>0</v>
      </c>
      <c r="C21" s="827" t="s">
        <v>130</v>
      </c>
      <c r="D21" s="828"/>
      <c r="E21" s="829"/>
    </row>
    <row r="22" spans="1:5" s="10" customFormat="1" ht="26.25" customHeight="1">
      <c r="A22" s="420" t="s">
        <v>131</v>
      </c>
      <c r="B22" s="28">
        <f>SUM(B18:B21)</f>
        <v>-57214010</v>
      </c>
      <c r="C22" s="422"/>
      <c r="D22" s="423"/>
      <c r="E22" s="426"/>
    </row>
    <row r="23" spans="1:5" s="10" customFormat="1" ht="26.4" customHeight="1">
      <c r="A23" s="420" t="s">
        <v>132</v>
      </c>
      <c r="B23" s="153"/>
      <c r="C23" s="427"/>
      <c r="D23" s="428"/>
      <c r="E23" s="426"/>
    </row>
    <row r="24" spans="1:5" s="440" customFormat="1" ht="53.4" customHeight="1">
      <c r="A24" s="69" t="s">
        <v>137</v>
      </c>
      <c r="B24" s="32">
        <v>1318726</v>
      </c>
      <c r="C24" s="824" t="s">
        <v>140</v>
      </c>
      <c r="D24" s="825"/>
      <c r="E24" s="826"/>
    </row>
    <row r="25" spans="1:5" s="440" customFormat="1" ht="39.75" customHeight="1">
      <c r="A25" s="69" t="s">
        <v>138</v>
      </c>
      <c r="B25" s="32">
        <v>-17</v>
      </c>
      <c r="C25" s="824" t="s">
        <v>139</v>
      </c>
      <c r="D25" s="825"/>
      <c r="E25" s="826"/>
    </row>
    <row r="26" spans="1:5" s="10" customFormat="1" ht="24" customHeight="1">
      <c r="A26" s="420" t="s">
        <v>133</v>
      </c>
      <c r="B26" s="78">
        <f>SUM(B24:B25)</f>
        <v>1318709</v>
      </c>
      <c r="C26" s="429"/>
      <c r="D26" s="430"/>
      <c r="E26" s="431"/>
    </row>
    <row r="27" spans="1:5" s="10" customFormat="1" ht="26.25" customHeight="1">
      <c r="A27" s="420" t="s">
        <v>134</v>
      </c>
      <c r="B27" s="78">
        <f>B16+B22+B26</f>
        <v>-6983118</v>
      </c>
      <c r="C27" s="432"/>
      <c r="D27" s="433"/>
      <c r="E27" s="434"/>
    </row>
    <row r="28" spans="1:5" s="10" customFormat="1" ht="27.6" customHeight="1">
      <c r="A28" s="420" t="s">
        <v>135</v>
      </c>
      <c r="B28" s="78">
        <v>143560026</v>
      </c>
      <c r="C28" s="432"/>
      <c r="D28" s="433"/>
      <c r="E28" s="434"/>
    </row>
    <row r="29" spans="1:5" s="10" customFormat="1" ht="29.25" customHeight="1" thickBot="1">
      <c r="A29" s="435" t="s">
        <v>136</v>
      </c>
      <c r="B29" s="154">
        <f>B27+B28</f>
        <v>136576908</v>
      </c>
      <c r="C29" s="436"/>
      <c r="D29" s="437"/>
      <c r="E29" s="438"/>
    </row>
  </sheetData>
  <mergeCells count="13">
    <mergeCell ref="C25:E25"/>
    <mergeCell ref="C19:E19"/>
    <mergeCell ref="C20:E20"/>
    <mergeCell ref="C24:E24"/>
    <mergeCell ref="A1:E1"/>
    <mergeCell ref="A5:A7"/>
    <mergeCell ref="B5:B7"/>
    <mergeCell ref="A4:E4"/>
    <mergeCell ref="A3:E3"/>
    <mergeCell ref="A2:E2"/>
    <mergeCell ref="C5:E7"/>
    <mergeCell ref="C18:E18"/>
    <mergeCell ref="C21:E21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18" orientation="portrait" useFirstPageNumber="1" r:id="rId1"/>
  <headerFooter alignWithMargins="0">
    <oddFooter>&amp;C&amp;"Times New Roman,標準"&amp;P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opLeftCell="A43" workbookViewId="0">
      <selection activeCell="A41" sqref="A41"/>
    </sheetView>
  </sheetViews>
  <sheetFormatPr defaultColWidth="9" defaultRowHeight="15.6"/>
  <cols>
    <col min="1" max="1" width="26" style="6" customWidth="1"/>
    <col min="2" max="2" width="5.44140625" style="6" bestFit="1" customWidth="1"/>
    <col min="3" max="3" width="14.21875" style="6" bestFit="1" customWidth="1"/>
    <col min="4" max="4" width="8.88671875" style="20" bestFit="1" customWidth="1"/>
    <col min="5" max="5" width="11.77734375" style="6" customWidth="1"/>
    <col min="6" max="6" width="23.88671875" style="6" customWidth="1"/>
    <col min="7" max="16384" width="9" style="6"/>
  </cols>
  <sheetData>
    <row r="1" spans="1:9" ht="22.2">
      <c r="A1" s="798" t="s">
        <v>109</v>
      </c>
      <c r="B1" s="798"/>
      <c r="C1" s="798"/>
      <c r="D1" s="798"/>
      <c r="E1" s="798"/>
      <c r="F1" s="798"/>
    </row>
    <row r="2" spans="1:9" ht="22.2">
      <c r="A2" s="798" t="s">
        <v>110</v>
      </c>
      <c r="B2" s="798"/>
      <c r="C2" s="798"/>
      <c r="D2" s="798"/>
      <c r="E2" s="798"/>
      <c r="F2" s="798"/>
    </row>
    <row r="3" spans="1:9" ht="24.75" customHeight="1">
      <c r="A3" s="800" t="s">
        <v>173</v>
      </c>
      <c r="B3" s="800"/>
      <c r="C3" s="800"/>
      <c r="D3" s="800"/>
      <c r="E3" s="800"/>
      <c r="F3" s="800"/>
    </row>
    <row r="4" spans="1:9" ht="24.75" customHeight="1" thickBot="1">
      <c r="A4" s="815" t="s">
        <v>539</v>
      </c>
      <c r="B4" s="815"/>
      <c r="C4" s="815"/>
      <c r="D4" s="815"/>
      <c r="E4" s="815"/>
      <c r="F4" s="815"/>
      <c r="G4" s="4"/>
      <c r="H4" s="4"/>
      <c r="I4" s="4"/>
    </row>
    <row r="5" spans="1:9">
      <c r="A5" s="846" t="s">
        <v>515</v>
      </c>
      <c r="B5" s="849" t="s">
        <v>516</v>
      </c>
      <c r="C5" s="852" t="s">
        <v>174</v>
      </c>
      <c r="D5" s="853"/>
      <c r="E5" s="854"/>
      <c r="F5" s="855" t="s">
        <v>114</v>
      </c>
    </row>
    <row r="6" spans="1:9">
      <c r="A6" s="847"/>
      <c r="B6" s="850"/>
      <c r="C6" s="858" t="s">
        <v>175</v>
      </c>
      <c r="D6" s="860" t="s">
        <v>176</v>
      </c>
      <c r="E6" s="858" t="s">
        <v>177</v>
      </c>
      <c r="F6" s="856"/>
    </row>
    <row r="7" spans="1:9">
      <c r="A7" s="848"/>
      <c r="B7" s="851"/>
      <c r="C7" s="859"/>
      <c r="D7" s="861"/>
      <c r="E7" s="859"/>
      <c r="F7" s="857"/>
    </row>
    <row r="8" spans="1:9" ht="11.25" customHeight="1">
      <c r="A8" s="538"/>
      <c r="B8" s="75"/>
      <c r="C8" s="447"/>
      <c r="D8" s="448"/>
      <c r="E8" s="447"/>
      <c r="F8" s="26"/>
    </row>
    <row r="9" spans="1:9" s="31" customFormat="1" ht="75.75" customHeight="1">
      <c r="A9" s="27" t="s">
        <v>517</v>
      </c>
      <c r="B9" s="539" t="s">
        <v>518</v>
      </c>
      <c r="C9" s="28">
        <f>C10+C34+C45+C42</f>
        <v>823890000</v>
      </c>
      <c r="D9" s="29"/>
      <c r="E9" s="28">
        <f>E10+E34+E45+E42</f>
        <v>31473282</v>
      </c>
      <c r="F9" s="35" t="s">
        <v>540</v>
      </c>
    </row>
    <row r="10" spans="1:9" s="31" customFormat="1" ht="30" customHeight="1">
      <c r="A10" s="27" t="s">
        <v>519</v>
      </c>
      <c r="B10" s="539"/>
      <c r="C10" s="28">
        <f>C11+C13+C15+C19+C24</f>
        <v>702094000</v>
      </c>
      <c r="D10" s="29"/>
      <c r="E10" s="28">
        <f>E11+E13+E15+E19+E24</f>
        <v>29777702</v>
      </c>
      <c r="F10" s="30"/>
    </row>
    <row r="11" spans="1:9" s="31" customFormat="1" ht="40.5" customHeight="1">
      <c r="A11" s="27" t="s">
        <v>520</v>
      </c>
      <c r="B11" s="539" t="s">
        <v>518</v>
      </c>
      <c r="C11" s="28">
        <f>C12</f>
        <v>37676731</v>
      </c>
      <c r="D11" s="252">
        <f>D12</f>
        <v>1.5193329803480031E-2</v>
      </c>
      <c r="E11" s="28">
        <f>E12</f>
        <v>572435</v>
      </c>
      <c r="F11" s="845" t="s">
        <v>178</v>
      </c>
    </row>
    <row r="12" spans="1:9" s="31" customFormat="1" ht="80.25" customHeight="1">
      <c r="A12" s="540" t="s">
        <v>523</v>
      </c>
      <c r="B12" s="541" t="s">
        <v>518</v>
      </c>
      <c r="C12" s="32">
        <f>34800000+2876731</f>
        <v>37676731</v>
      </c>
      <c r="D12" s="226">
        <f>+E12/C12</f>
        <v>1.5193329803480031E-2</v>
      </c>
      <c r="E12" s="32">
        <f>497640+74795</f>
        <v>572435</v>
      </c>
      <c r="F12" s="845"/>
    </row>
    <row r="13" spans="1:9" s="31" customFormat="1" ht="34.200000000000003" customHeight="1">
      <c r="A13" s="27" t="s">
        <v>524</v>
      </c>
      <c r="B13" s="539" t="s">
        <v>518</v>
      </c>
      <c r="C13" s="28">
        <f>C14</f>
        <v>1755476</v>
      </c>
      <c r="D13" s="96"/>
      <c r="E13" s="28">
        <f>E14</f>
        <v>214545</v>
      </c>
      <c r="F13" s="845" t="s">
        <v>179</v>
      </c>
    </row>
    <row r="14" spans="1:9" s="31" customFormat="1" ht="36.75" customHeight="1">
      <c r="A14" s="540" t="s">
        <v>523</v>
      </c>
      <c r="B14" s="541" t="s">
        <v>518</v>
      </c>
      <c r="C14" s="32">
        <v>1755476</v>
      </c>
      <c r="D14" s="252"/>
      <c r="E14" s="32">
        <v>214545</v>
      </c>
      <c r="F14" s="845"/>
    </row>
    <row r="15" spans="1:9" s="31" customFormat="1" ht="36.75" customHeight="1">
      <c r="A15" s="27" t="s">
        <v>525</v>
      </c>
      <c r="B15" s="539" t="s">
        <v>518</v>
      </c>
      <c r="C15" s="28">
        <f>+C16</f>
        <v>400193000</v>
      </c>
      <c r="D15" s="252"/>
      <c r="E15" s="28">
        <f>+E16</f>
        <v>23771458</v>
      </c>
      <c r="F15" s="389" t="s">
        <v>180</v>
      </c>
    </row>
    <row r="16" spans="1:9" s="31" customFormat="1" ht="28.2" customHeight="1">
      <c r="A16" s="540" t="s">
        <v>542</v>
      </c>
      <c r="B16" s="541" t="s">
        <v>518</v>
      </c>
      <c r="C16" s="32">
        <f>+C17+C18</f>
        <v>400193000</v>
      </c>
      <c r="D16" s="296"/>
      <c r="E16" s="32">
        <f>+E17+E18</f>
        <v>23771458</v>
      </c>
      <c r="F16" s="389"/>
    </row>
    <row r="17" spans="1:7" s="31" customFormat="1" ht="27" customHeight="1">
      <c r="A17" s="540" t="s">
        <v>543</v>
      </c>
      <c r="B17" s="541" t="s">
        <v>518</v>
      </c>
      <c r="C17" s="32">
        <v>168504000</v>
      </c>
      <c r="D17" s="226">
        <v>5.7200000000000001E-2</v>
      </c>
      <c r="E17" s="32">
        <v>9638429</v>
      </c>
      <c r="F17" s="389"/>
    </row>
    <row r="18" spans="1:7" s="31" customFormat="1" ht="27" customHeight="1">
      <c r="A18" s="540" t="s">
        <v>527</v>
      </c>
      <c r="B18" s="541" t="s">
        <v>518</v>
      </c>
      <c r="C18" s="32">
        <v>231689000</v>
      </c>
      <c r="D18" s="296">
        <v>6.0999999999999999E-2</v>
      </c>
      <c r="E18" s="32">
        <v>14133029</v>
      </c>
      <c r="F18" s="35"/>
    </row>
    <row r="19" spans="1:7" s="31" customFormat="1" ht="22.2" customHeight="1">
      <c r="A19" s="27" t="s">
        <v>528</v>
      </c>
      <c r="B19" s="539" t="s">
        <v>518</v>
      </c>
      <c r="C19" s="28">
        <f>C20+C23</f>
        <v>84839793</v>
      </c>
      <c r="D19" s="252"/>
      <c r="E19" s="28">
        <f>E20+E23</f>
        <v>992256</v>
      </c>
      <c r="F19" s="389"/>
    </row>
    <row r="20" spans="1:7" s="31" customFormat="1" ht="24.6" customHeight="1">
      <c r="A20" s="540" t="s">
        <v>523</v>
      </c>
      <c r="B20" s="541" t="s">
        <v>518</v>
      </c>
      <c r="C20" s="32">
        <f>SUM(C21:C22)</f>
        <v>68424793</v>
      </c>
      <c r="D20" s="226"/>
      <c r="E20" s="32">
        <f>SUM(E21:E22)</f>
        <v>887200</v>
      </c>
      <c r="F20" s="389" t="s">
        <v>181</v>
      </c>
    </row>
    <row r="21" spans="1:7" s="31" customFormat="1" ht="26.25" customHeight="1">
      <c r="A21" s="540" t="s">
        <v>529</v>
      </c>
      <c r="B21" s="541" t="s">
        <v>518</v>
      </c>
      <c r="C21" s="32">
        <v>49467793</v>
      </c>
      <c r="D21" s="226">
        <v>6.4000000000000003E-3</v>
      </c>
      <c r="E21" s="32">
        <v>316594</v>
      </c>
      <c r="F21" s="389"/>
    </row>
    <row r="22" spans="1:7" s="31" customFormat="1" ht="22.8" customHeight="1">
      <c r="A22" s="540" t="s">
        <v>530</v>
      </c>
      <c r="B22" s="541" t="s">
        <v>518</v>
      </c>
      <c r="C22" s="32">
        <v>18957000</v>
      </c>
      <c r="D22" s="226">
        <v>3.0099999999999998E-2</v>
      </c>
      <c r="E22" s="32">
        <v>570606</v>
      </c>
      <c r="F22" s="389"/>
    </row>
    <row r="23" spans="1:7" s="31" customFormat="1" ht="25.2" customHeight="1">
      <c r="A23" s="540" t="s">
        <v>531</v>
      </c>
      <c r="B23" s="541" t="s">
        <v>518</v>
      </c>
      <c r="C23" s="32">
        <v>16415000</v>
      </c>
      <c r="D23" s="226">
        <v>6.4000000000000003E-3</v>
      </c>
      <c r="E23" s="32">
        <v>105056</v>
      </c>
      <c r="F23" s="588" t="s">
        <v>182</v>
      </c>
    </row>
    <row r="24" spans="1:7" s="31" customFormat="1" ht="27.6" customHeight="1">
      <c r="A24" s="27" t="s">
        <v>532</v>
      </c>
      <c r="B24" s="539" t="s">
        <v>518</v>
      </c>
      <c r="C24" s="253">
        <f>C25+C28+C31</f>
        <v>177629000</v>
      </c>
      <c r="D24" s="254"/>
      <c r="E24" s="253">
        <f>E25+E28+E31</f>
        <v>4227008</v>
      </c>
      <c r="F24" s="30"/>
      <c r="G24" s="33"/>
    </row>
    <row r="25" spans="1:7" s="31" customFormat="1" ht="24" customHeight="1">
      <c r="A25" s="540" t="s">
        <v>544</v>
      </c>
      <c r="B25" s="541" t="s">
        <v>518</v>
      </c>
      <c r="C25" s="32">
        <f>SUM(C26:C27)</f>
        <v>16850000</v>
      </c>
      <c r="D25" s="226">
        <f>D26</f>
        <v>5.0000000000000001E-3</v>
      </c>
      <c r="E25" s="32">
        <f>SUM(E26:E27)</f>
        <v>84250</v>
      </c>
      <c r="F25" s="389" t="s">
        <v>183</v>
      </c>
    </row>
    <row r="26" spans="1:7" s="31" customFormat="1" ht="28.5" customHeight="1" thickBot="1">
      <c r="A26" s="542" t="s">
        <v>526</v>
      </c>
      <c r="B26" s="543" t="s">
        <v>518</v>
      </c>
      <c r="C26" s="108">
        <v>16850000</v>
      </c>
      <c r="D26" s="367">
        <v>5.0000000000000001E-3</v>
      </c>
      <c r="E26" s="108">
        <v>84250</v>
      </c>
      <c r="F26" s="407"/>
    </row>
    <row r="27" spans="1:7" s="31" customFormat="1" ht="0.75" hidden="1" customHeight="1">
      <c r="A27" s="540" t="s">
        <v>533</v>
      </c>
      <c r="B27" s="541" t="s">
        <v>518</v>
      </c>
      <c r="C27" s="32">
        <v>0</v>
      </c>
      <c r="D27" s="226"/>
      <c r="E27" s="32">
        <v>0</v>
      </c>
      <c r="F27" s="389"/>
    </row>
    <row r="28" spans="1:7" s="31" customFormat="1" ht="39.75" customHeight="1">
      <c r="A28" s="540" t="s">
        <v>545</v>
      </c>
      <c r="B28" s="541" t="s">
        <v>518</v>
      </c>
      <c r="C28" s="32">
        <f>SUM(C29:C30)</f>
        <v>67401000</v>
      </c>
      <c r="D28" s="226"/>
      <c r="E28" s="32">
        <f>SUM(E29:E30)</f>
        <v>1332080</v>
      </c>
      <c r="F28" s="35" t="s">
        <v>184</v>
      </c>
    </row>
    <row r="29" spans="1:7" s="31" customFormat="1" ht="33.75" customHeight="1">
      <c r="A29" s="540" t="s">
        <v>526</v>
      </c>
      <c r="B29" s="541" t="s">
        <v>518</v>
      </c>
      <c r="C29" s="32">
        <v>65401000</v>
      </c>
      <c r="D29" s="226">
        <v>1.9900000000000001E-2</v>
      </c>
      <c r="E29" s="32">
        <v>1301480</v>
      </c>
      <c r="F29" s="389"/>
    </row>
    <row r="30" spans="1:7" s="31" customFormat="1" ht="32.25" customHeight="1">
      <c r="A30" s="540" t="s">
        <v>533</v>
      </c>
      <c r="B30" s="541" t="s">
        <v>518</v>
      </c>
      <c r="C30" s="32">
        <v>2000000</v>
      </c>
      <c r="D30" s="226">
        <v>1.5299999999999999E-2</v>
      </c>
      <c r="E30" s="32">
        <v>30600</v>
      </c>
      <c r="F30" s="389"/>
    </row>
    <row r="31" spans="1:7" s="31" customFormat="1" ht="34.5" customHeight="1">
      <c r="A31" s="540" t="s">
        <v>546</v>
      </c>
      <c r="B31" s="541" t="s">
        <v>518</v>
      </c>
      <c r="C31" s="32">
        <f>C32</f>
        <v>93378000</v>
      </c>
      <c r="D31" s="296">
        <f>D32</f>
        <v>3.0099999999999998E-2</v>
      </c>
      <c r="E31" s="32">
        <f>E32</f>
        <v>2810678</v>
      </c>
      <c r="F31" s="35" t="s">
        <v>185</v>
      </c>
    </row>
    <row r="32" spans="1:7" s="31" customFormat="1" ht="26.25" customHeight="1">
      <c r="A32" s="540" t="s">
        <v>526</v>
      </c>
      <c r="B32" s="541" t="s">
        <v>518</v>
      </c>
      <c r="C32" s="32">
        <v>93378000</v>
      </c>
      <c r="D32" s="226">
        <v>3.0099999999999998E-2</v>
      </c>
      <c r="E32" s="32">
        <v>2810678</v>
      </c>
      <c r="F32" s="389"/>
    </row>
    <row r="33" spans="1:7" s="31" customFormat="1" ht="6.75" customHeight="1">
      <c r="A33" s="27"/>
      <c r="B33" s="539"/>
      <c r="C33" s="32"/>
      <c r="D33" s="97"/>
      <c r="E33" s="32"/>
      <c r="F33" s="35"/>
    </row>
    <row r="34" spans="1:7" s="10" customFormat="1" ht="28.5" customHeight="1">
      <c r="A34" s="27" t="s">
        <v>534</v>
      </c>
      <c r="B34" s="539"/>
      <c r="C34" s="28">
        <f>C35+C38</f>
        <v>111242000</v>
      </c>
      <c r="D34" s="96"/>
      <c r="E34" s="28">
        <f>E35+E38</f>
        <v>1629603</v>
      </c>
      <c r="F34" s="35"/>
    </row>
    <row r="35" spans="1:7" s="31" customFormat="1" ht="30" customHeight="1">
      <c r="A35" s="27" t="s">
        <v>535</v>
      </c>
      <c r="B35" s="539" t="s">
        <v>518</v>
      </c>
      <c r="C35" s="28">
        <f>SUM(C36:C37)</f>
        <v>40058000</v>
      </c>
      <c r="D35" s="252"/>
      <c r="E35" s="28">
        <f>SUM(E36:E37)</f>
        <v>256632</v>
      </c>
      <c r="F35" s="389" t="s">
        <v>181</v>
      </c>
    </row>
    <row r="36" spans="1:7" s="31" customFormat="1" ht="30" customHeight="1">
      <c r="A36" s="540" t="s">
        <v>548</v>
      </c>
      <c r="B36" s="541" t="s">
        <v>518</v>
      </c>
      <c r="C36" s="32">
        <v>40047000</v>
      </c>
      <c r="D36" s="226">
        <v>6.4000000000000003E-3</v>
      </c>
      <c r="E36" s="32">
        <v>256301</v>
      </c>
      <c r="F36" s="389"/>
    </row>
    <row r="37" spans="1:7" s="31" customFormat="1" ht="31.5" customHeight="1">
      <c r="A37" s="540" t="s">
        <v>549</v>
      </c>
      <c r="B37" s="541" t="s">
        <v>518</v>
      </c>
      <c r="C37" s="32">
        <v>11000</v>
      </c>
      <c r="D37" s="226">
        <v>3.0099999999999998E-2</v>
      </c>
      <c r="E37" s="32">
        <v>331</v>
      </c>
      <c r="F37" s="35"/>
    </row>
    <row r="38" spans="1:7" s="31" customFormat="1" ht="31.5" customHeight="1">
      <c r="A38" s="27" t="s">
        <v>536</v>
      </c>
      <c r="B38" s="539" t="s">
        <v>518</v>
      </c>
      <c r="C38" s="253">
        <f>SUM(C39:C41)</f>
        <v>71184000</v>
      </c>
      <c r="D38" s="255"/>
      <c r="E38" s="253">
        <f>SUM(E39:E41)</f>
        <v>1372971</v>
      </c>
      <c r="F38" s="30"/>
      <c r="G38" s="33"/>
    </row>
    <row r="39" spans="1:7" s="31" customFormat="1" ht="32.25" customHeight="1">
      <c r="A39" s="540" t="s">
        <v>544</v>
      </c>
      <c r="B39" s="541" t="s">
        <v>518</v>
      </c>
      <c r="C39" s="32">
        <v>5451000</v>
      </c>
      <c r="D39" s="226">
        <v>5.0000000000000001E-3</v>
      </c>
      <c r="E39" s="32">
        <v>27255</v>
      </c>
      <c r="F39" s="389" t="s">
        <v>183</v>
      </c>
    </row>
    <row r="40" spans="1:7" s="31" customFormat="1" ht="40.799999999999997" customHeight="1">
      <c r="A40" s="540" t="s">
        <v>545</v>
      </c>
      <c r="B40" s="541" t="s">
        <v>518</v>
      </c>
      <c r="C40" s="32">
        <v>49058000</v>
      </c>
      <c r="D40" s="226">
        <v>1.72E-2</v>
      </c>
      <c r="E40" s="32">
        <v>843798</v>
      </c>
      <c r="F40" s="35" t="s">
        <v>184</v>
      </c>
    </row>
    <row r="41" spans="1:7" s="31" customFormat="1" ht="35.4" customHeight="1">
      <c r="A41" s="540" t="s">
        <v>546</v>
      </c>
      <c r="B41" s="541" t="s">
        <v>518</v>
      </c>
      <c r="C41" s="32">
        <v>16675000</v>
      </c>
      <c r="D41" s="226">
        <v>3.0099999999999998E-2</v>
      </c>
      <c r="E41" s="32">
        <v>501918</v>
      </c>
      <c r="F41" s="35" t="s">
        <v>185</v>
      </c>
    </row>
    <row r="42" spans="1:7" s="10" customFormat="1" ht="40.5" customHeight="1">
      <c r="A42" s="27" t="s">
        <v>537</v>
      </c>
      <c r="B42" s="539"/>
      <c r="C42" s="28">
        <f>+C43</f>
        <v>320000</v>
      </c>
      <c r="D42" s="96"/>
      <c r="E42" s="28">
        <f>+E43</f>
        <v>480</v>
      </c>
      <c r="F42" s="845" t="s">
        <v>186</v>
      </c>
    </row>
    <row r="43" spans="1:7" s="31" customFormat="1" ht="29.25" customHeight="1">
      <c r="A43" s="27" t="s">
        <v>535</v>
      </c>
      <c r="B43" s="539" t="s">
        <v>518</v>
      </c>
      <c r="C43" s="28">
        <v>320000</v>
      </c>
      <c r="D43" s="252">
        <v>1.5E-3</v>
      </c>
      <c r="E43" s="28">
        <v>480</v>
      </c>
      <c r="F43" s="845"/>
    </row>
    <row r="44" spans="1:7" s="31" customFormat="1" ht="3" customHeight="1">
      <c r="A44" s="27"/>
      <c r="B44" s="541"/>
      <c r="C44" s="32"/>
      <c r="D44" s="97"/>
      <c r="E44" s="32"/>
      <c r="F44" s="35"/>
    </row>
    <row r="45" spans="1:7" s="10" customFormat="1" ht="26.4" customHeight="1">
      <c r="A45" s="27" t="s">
        <v>538</v>
      </c>
      <c r="B45" s="539"/>
      <c r="C45" s="28">
        <f>C46</f>
        <v>10234000</v>
      </c>
      <c r="D45" s="96"/>
      <c r="E45" s="28">
        <f>E46</f>
        <v>65497</v>
      </c>
      <c r="F45" s="35"/>
    </row>
    <row r="46" spans="1:7" s="31" customFormat="1" ht="29.4" customHeight="1">
      <c r="A46" s="27" t="s">
        <v>535</v>
      </c>
      <c r="B46" s="539" t="s">
        <v>518</v>
      </c>
      <c r="C46" s="28">
        <f>SUM(C47:C48)</f>
        <v>10234000</v>
      </c>
      <c r="D46" s="252">
        <f>D47</f>
        <v>6.4000000000000003E-3</v>
      </c>
      <c r="E46" s="28">
        <f>SUM(E47:E48)</f>
        <v>65497</v>
      </c>
      <c r="F46" s="389" t="s">
        <v>182</v>
      </c>
    </row>
    <row r="47" spans="1:7" s="31" customFormat="1" ht="29.25" customHeight="1">
      <c r="A47" s="540" t="s">
        <v>547</v>
      </c>
      <c r="B47" s="541" t="s">
        <v>518</v>
      </c>
      <c r="C47" s="32">
        <v>10078000</v>
      </c>
      <c r="D47" s="226">
        <v>6.4000000000000003E-3</v>
      </c>
      <c r="E47" s="32">
        <v>64499</v>
      </c>
      <c r="F47" s="389"/>
    </row>
    <row r="48" spans="1:7" s="31" customFormat="1" ht="28.5" customHeight="1" thickBot="1">
      <c r="A48" s="542" t="s">
        <v>541</v>
      </c>
      <c r="B48" s="543" t="s">
        <v>518</v>
      </c>
      <c r="C48" s="108">
        <v>156000</v>
      </c>
      <c r="D48" s="367">
        <v>6.4000000000000003E-3</v>
      </c>
      <c r="E48" s="108">
        <v>998</v>
      </c>
      <c r="F48" s="407"/>
    </row>
    <row r="49" spans="3:5">
      <c r="C49" s="98"/>
      <c r="D49" s="98"/>
      <c r="E49" s="98"/>
    </row>
  </sheetData>
  <mergeCells count="14">
    <mergeCell ref="F42:F43"/>
    <mergeCell ref="A1:F1"/>
    <mergeCell ref="A5:A7"/>
    <mergeCell ref="B5:B7"/>
    <mergeCell ref="C5:E5"/>
    <mergeCell ref="F5:F7"/>
    <mergeCell ref="C6:C7"/>
    <mergeCell ref="E6:E7"/>
    <mergeCell ref="D6:D7"/>
    <mergeCell ref="F11:F12"/>
    <mergeCell ref="F13:F14"/>
    <mergeCell ref="A4:F4"/>
    <mergeCell ref="A3:F3"/>
    <mergeCell ref="A2:F2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19" orientation="portrait" useFirstPageNumber="1" r:id="rId1"/>
  <headerFooter alignWithMargins="0">
    <oddFooter>&amp;C&amp;"Times New Roman,標準"&amp;P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33"/>
  <sheetViews>
    <sheetView view="pageBreakPreview" topLeftCell="A22" workbookViewId="0">
      <selection activeCell="C31" sqref="C31"/>
    </sheetView>
  </sheetViews>
  <sheetFormatPr defaultColWidth="9" defaultRowHeight="15.6"/>
  <cols>
    <col min="1" max="1" width="27.44140625" style="6" customWidth="1"/>
    <col min="2" max="2" width="13.6640625" style="6" customWidth="1"/>
    <col min="3" max="3" width="49" style="6" customWidth="1"/>
    <col min="4" max="4" width="39" style="6" customWidth="1"/>
    <col min="5" max="5" width="9" style="6"/>
    <col min="6" max="6" width="26.33203125" style="6" customWidth="1"/>
    <col min="7" max="7" width="19.88671875" style="6" customWidth="1"/>
    <col min="8" max="16384" width="9" style="6"/>
  </cols>
  <sheetData>
    <row r="1" spans="1:6" s="2" customFormat="1" ht="22.2">
      <c r="A1" s="798" t="s">
        <v>109</v>
      </c>
      <c r="B1" s="798"/>
      <c r="C1" s="798"/>
      <c r="D1" s="1"/>
      <c r="E1" s="1"/>
      <c r="F1" s="1"/>
    </row>
    <row r="2" spans="1:6" s="2" customFormat="1" ht="22.2">
      <c r="A2" s="798" t="s">
        <v>110</v>
      </c>
      <c r="B2" s="798"/>
      <c r="C2" s="798"/>
      <c r="D2" s="1"/>
      <c r="E2" s="1"/>
      <c r="F2" s="1"/>
    </row>
    <row r="3" spans="1:6" s="2" customFormat="1" ht="24.75" customHeight="1">
      <c r="A3" s="800" t="s">
        <v>187</v>
      </c>
      <c r="B3" s="800"/>
      <c r="C3" s="800"/>
      <c r="D3" s="3"/>
      <c r="E3" s="3"/>
      <c r="F3" s="3"/>
    </row>
    <row r="4" spans="1:6" s="2" customFormat="1" ht="24.75" customHeight="1" thickBot="1">
      <c r="A4" s="815" t="s">
        <v>188</v>
      </c>
      <c r="B4" s="815"/>
      <c r="C4" s="815"/>
      <c r="D4" s="4"/>
      <c r="E4" s="4"/>
      <c r="F4" s="4"/>
    </row>
    <row r="5" spans="1:6" ht="15.75" customHeight="1">
      <c r="A5" s="862" t="s">
        <v>515</v>
      </c>
      <c r="B5" s="865" t="s">
        <v>512</v>
      </c>
      <c r="C5" s="868" t="s">
        <v>513</v>
      </c>
      <c r="D5" s="4"/>
      <c r="E5" s="4"/>
      <c r="F5" s="4"/>
    </row>
    <row r="6" spans="1:6" ht="15.75" customHeight="1">
      <c r="A6" s="863"/>
      <c r="B6" s="866"/>
      <c r="C6" s="869"/>
      <c r="D6" s="4"/>
      <c r="E6" s="4"/>
      <c r="F6" s="4"/>
    </row>
    <row r="7" spans="1:6" ht="15.75" customHeight="1">
      <c r="A7" s="864"/>
      <c r="B7" s="867"/>
      <c r="C7" s="870"/>
    </row>
    <row r="8" spans="1:6" ht="8.25" customHeight="1">
      <c r="A8" s="74"/>
      <c r="B8" s="446"/>
      <c r="C8" s="89"/>
    </row>
    <row r="9" spans="1:6" s="10" customFormat="1" ht="41.25" customHeight="1">
      <c r="A9" s="544" t="s">
        <v>550</v>
      </c>
      <c r="B9" s="21">
        <f>B10+B20+B25+B30</f>
        <v>382942398</v>
      </c>
      <c r="C9" s="35" t="s">
        <v>1136</v>
      </c>
    </row>
    <row r="10" spans="1:6" s="10" customFormat="1" ht="19.2" customHeight="1">
      <c r="A10" s="545" t="s">
        <v>551</v>
      </c>
      <c r="B10" s="21">
        <f>B11+B19</f>
        <v>353442724</v>
      </c>
      <c r="C10" s="405"/>
    </row>
    <row r="11" spans="1:6" s="31" customFormat="1" ht="22.95" customHeight="1">
      <c r="A11" s="546" t="s">
        <v>552</v>
      </c>
      <c r="B11" s="21">
        <f>B12+B15</f>
        <v>353442724</v>
      </c>
      <c r="C11" s="405" t="s">
        <v>189</v>
      </c>
      <c r="D11" s="36"/>
    </row>
    <row r="12" spans="1:6" s="31" customFormat="1" ht="57.75" customHeight="1">
      <c r="A12" s="547" t="s">
        <v>553</v>
      </c>
      <c r="B12" s="9">
        <f>B13+B14</f>
        <v>353189196</v>
      </c>
      <c r="C12" s="405" t="s">
        <v>190</v>
      </c>
      <c r="D12" s="36"/>
    </row>
    <row r="13" spans="1:6" s="31" customFormat="1" ht="20.399999999999999" customHeight="1">
      <c r="A13" s="547" t="s">
        <v>521</v>
      </c>
      <c r="B13" s="9">
        <v>345084992</v>
      </c>
      <c r="C13" s="405"/>
      <c r="D13" s="36"/>
    </row>
    <row r="14" spans="1:6" s="31" customFormat="1" ht="20.399999999999999" customHeight="1">
      <c r="A14" s="547" t="s">
        <v>522</v>
      </c>
      <c r="B14" s="9">
        <v>8104204</v>
      </c>
      <c r="C14" s="405"/>
      <c r="D14" s="36"/>
    </row>
    <row r="15" spans="1:6" s="31" customFormat="1" ht="20.399999999999999" customHeight="1">
      <c r="A15" s="547" t="s">
        <v>554</v>
      </c>
      <c r="B15" s="9">
        <f>SUM(B16:B17)</f>
        <v>253528</v>
      </c>
      <c r="C15" s="405"/>
      <c r="D15" s="36"/>
    </row>
    <row r="16" spans="1:6" s="31" customFormat="1" ht="20.399999999999999" customHeight="1">
      <c r="A16" s="547" t="s">
        <v>521</v>
      </c>
      <c r="B16" s="9">
        <v>247094</v>
      </c>
      <c r="C16" s="405"/>
      <c r="D16" s="36"/>
    </row>
    <row r="17" spans="1:4" s="31" customFormat="1" ht="20.399999999999999" customHeight="1">
      <c r="A17" s="547" t="s">
        <v>522</v>
      </c>
      <c r="B17" s="9">
        <v>6434</v>
      </c>
      <c r="C17" s="405"/>
      <c r="D17" s="36"/>
    </row>
    <row r="18" spans="1:4" s="31" customFormat="1" ht="4.5" customHeight="1">
      <c r="A18" s="547"/>
      <c r="B18" s="9"/>
      <c r="C18" s="405"/>
      <c r="D18" s="36"/>
    </row>
    <row r="19" spans="1:4" s="31" customFormat="1" ht="6.75" customHeight="1">
      <c r="A19" s="546"/>
      <c r="B19" s="21"/>
      <c r="C19" s="405"/>
      <c r="D19" s="36"/>
    </row>
    <row r="20" spans="1:4" s="31" customFormat="1" ht="24.75" customHeight="1">
      <c r="A20" s="545" t="s">
        <v>555</v>
      </c>
      <c r="B20" s="21">
        <f>B21</f>
        <v>25174600</v>
      </c>
      <c r="C20" s="405"/>
      <c r="D20" s="36"/>
    </row>
    <row r="21" spans="1:4" s="31" customFormat="1" ht="24.75" customHeight="1">
      <c r="A21" s="546" t="s">
        <v>552</v>
      </c>
      <c r="B21" s="21">
        <f>SUM(B22:B23)</f>
        <v>25174600</v>
      </c>
      <c r="C21" s="405" t="s">
        <v>191</v>
      </c>
      <c r="D21" s="36"/>
    </row>
    <row r="22" spans="1:4" s="31" customFormat="1" ht="40.200000000000003" customHeight="1">
      <c r="A22" s="547" t="s">
        <v>553</v>
      </c>
      <c r="B22" s="9">
        <v>25155171</v>
      </c>
      <c r="C22" s="405" t="s">
        <v>192</v>
      </c>
      <c r="D22" s="36"/>
    </row>
    <row r="23" spans="1:4" s="31" customFormat="1" ht="19.8" customHeight="1">
      <c r="A23" s="547" t="s">
        <v>554</v>
      </c>
      <c r="B23" s="9">
        <v>19429</v>
      </c>
      <c r="C23" s="405"/>
      <c r="D23" s="36"/>
    </row>
    <row r="24" spans="1:4" s="10" customFormat="1" ht="7.8" customHeight="1">
      <c r="A24" s="548"/>
      <c r="B24" s="41"/>
      <c r="C24" s="405"/>
    </row>
    <row r="25" spans="1:4" s="31" customFormat="1" ht="20.399999999999999" customHeight="1">
      <c r="A25" s="545" t="s">
        <v>556</v>
      </c>
      <c r="B25" s="21">
        <f>B26</f>
        <v>3817522</v>
      </c>
      <c r="C25" s="405"/>
      <c r="D25" s="36"/>
    </row>
    <row r="26" spans="1:4" s="31" customFormat="1" ht="28.5" customHeight="1">
      <c r="A26" s="546" t="s">
        <v>552</v>
      </c>
      <c r="B26" s="21">
        <f>SUM(B27:B28)</f>
        <v>3817522</v>
      </c>
      <c r="C26" s="405" t="s">
        <v>193</v>
      </c>
      <c r="D26" s="36"/>
    </row>
    <row r="27" spans="1:4" s="31" customFormat="1" ht="41.25" customHeight="1">
      <c r="A27" s="547" t="s">
        <v>553</v>
      </c>
      <c r="B27" s="9">
        <v>3801622</v>
      </c>
      <c r="C27" s="405" t="s">
        <v>194</v>
      </c>
      <c r="D27" s="36"/>
    </row>
    <row r="28" spans="1:4" s="31" customFormat="1" ht="18.600000000000001" customHeight="1">
      <c r="A28" s="547" t="s">
        <v>554</v>
      </c>
      <c r="B28" s="9">
        <v>15900</v>
      </c>
      <c r="C28" s="405"/>
      <c r="D28" s="36"/>
    </row>
    <row r="29" spans="1:4" s="10" customFormat="1" ht="4.8" customHeight="1">
      <c r="A29" s="548"/>
      <c r="B29" s="41"/>
      <c r="C29" s="405"/>
    </row>
    <row r="30" spans="1:4" s="10" customFormat="1" ht="20.399999999999999" customHeight="1">
      <c r="A30" s="545" t="s">
        <v>557</v>
      </c>
      <c r="B30" s="21">
        <f>B31</f>
        <v>507552</v>
      </c>
      <c r="C30" s="405"/>
    </row>
    <row r="31" spans="1:4" s="10" customFormat="1" ht="75" customHeight="1">
      <c r="A31" s="546" t="s">
        <v>558</v>
      </c>
      <c r="B31" s="21">
        <f>SUM(B32:B33)</f>
        <v>507552</v>
      </c>
      <c r="C31" s="405" t="s">
        <v>1131</v>
      </c>
    </row>
    <row r="32" spans="1:4" ht="18.75" customHeight="1">
      <c r="A32" s="547" t="s">
        <v>559</v>
      </c>
      <c r="B32" s="9">
        <v>493570</v>
      </c>
      <c r="C32" s="415"/>
    </row>
    <row r="33" spans="1:3" ht="22.5" customHeight="1" thickBot="1">
      <c r="A33" s="549" t="s">
        <v>560</v>
      </c>
      <c r="B33" s="38">
        <v>13982</v>
      </c>
      <c r="C33" s="416"/>
    </row>
  </sheetData>
  <mergeCells count="7">
    <mergeCell ref="A1:C1"/>
    <mergeCell ref="A5:A7"/>
    <mergeCell ref="B5:B7"/>
    <mergeCell ref="A4:C4"/>
    <mergeCell ref="A3:C3"/>
    <mergeCell ref="A2:C2"/>
    <mergeCell ref="C5:C7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21" orientation="portrait" useFirstPageNumber="1" r:id="rId1"/>
  <headerFooter alignWithMargins="0">
    <oddFooter>&amp;C&amp;"Times New Roman,標準"&amp;P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opLeftCell="A22" workbookViewId="0">
      <selection activeCell="A9" sqref="A9"/>
    </sheetView>
  </sheetViews>
  <sheetFormatPr defaultColWidth="9" defaultRowHeight="15.6"/>
  <cols>
    <col min="1" max="1" width="27.6640625" style="6" customWidth="1"/>
    <col min="2" max="2" width="13.33203125" style="6" customWidth="1"/>
    <col min="3" max="3" width="49" style="6" customWidth="1"/>
    <col min="4" max="4" width="39" style="6" customWidth="1"/>
    <col min="5" max="5" width="9" style="6"/>
    <col min="6" max="6" width="26.33203125" style="6" customWidth="1"/>
    <col min="7" max="7" width="19.88671875" style="6" customWidth="1"/>
    <col min="8" max="16384" width="9" style="6"/>
  </cols>
  <sheetData>
    <row r="1" spans="1:6" s="2" customFormat="1" ht="22.2">
      <c r="A1" s="798" t="s">
        <v>109</v>
      </c>
      <c r="B1" s="798"/>
      <c r="C1" s="798"/>
      <c r="D1" s="1"/>
      <c r="E1" s="1"/>
      <c r="F1" s="1"/>
    </row>
    <row r="2" spans="1:6" s="2" customFormat="1" ht="22.2">
      <c r="A2" s="798" t="s">
        <v>110</v>
      </c>
      <c r="B2" s="798"/>
      <c r="C2" s="798"/>
      <c r="D2" s="1"/>
      <c r="E2" s="1"/>
      <c r="F2" s="1"/>
    </row>
    <row r="3" spans="1:6" s="2" customFormat="1" ht="24.75" customHeight="1">
      <c r="A3" s="800" t="s">
        <v>195</v>
      </c>
      <c r="B3" s="800"/>
      <c r="C3" s="800"/>
      <c r="D3" s="3"/>
      <c r="E3" s="3"/>
      <c r="F3" s="3"/>
    </row>
    <row r="4" spans="1:6" s="2" customFormat="1" ht="24.75" customHeight="1" thickBot="1">
      <c r="A4" s="815" t="s">
        <v>188</v>
      </c>
      <c r="B4" s="815"/>
      <c r="C4" s="815"/>
      <c r="D4" s="4"/>
      <c r="E4" s="4"/>
      <c r="F4" s="4"/>
    </row>
    <row r="5" spans="1:6">
      <c r="A5" s="862" t="s">
        <v>515</v>
      </c>
      <c r="B5" s="865" t="s">
        <v>512</v>
      </c>
      <c r="C5" s="868" t="s">
        <v>513</v>
      </c>
      <c r="D5" s="5"/>
      <c r="E5" s="4"/>
      <c r="F5" s="4"/>
    </row>
    <row r="6" spans="1:6">
      <c r="A6" s="863"/>
      <c r="B6" s="866"/>
      <c r="C6" s="869"/>
      <c r="D6" s="5"/>
      <c r="E6" s="4"/>
      <c r="F6" s="4"/>
    </row>
    <row r="7" spans="1:6">
      <c r="A7" s="864"/>
      <c r="B7" s="867"/>
      <c r="C7" s="870"/>
    </row>
    <row r="8" spans="1:6" ht="8.25" customHeight="1">
      <c r="A8" s="74"/>
      <c r="B8" s="446"/>
      <c r="C8" s="449"/>
    </row>
    <row r="9" spans="1:6" s="10" customFormat="1" ht="32.4">
      <c r="A9" s="544" t="s">
        <v>561</v>
      </c>
      <c r="B9" s="21">
        <f>B10+B13</f>
        <v>4015052</v>
      </c>
      <c r="C9" s="35" t="s">
        <v>196</v>
      </c>
      <c r="D9" s="440"/>
    </row>
    <row r="10" spans="1:6" s="10" customFormat="1" ht="30" customHeight="1">
      <c r="A10" s="546" t="s">
        <v>43</v>
      </c>
      <c r="B10" s="21">
        <f>B11</f>
        <v>3982252</v>
      </c>
      <c r="C10" s="35"/>
    </row>
    <row r="11" spans="1:6" s="31" customFormat="1" ht="32.4">
      <c r="A11" s="547" t="s">
        <v>562</v>
      </c>
      <c r="B11" s="9">
        <v>3982252</v>
      </c>
      <c r="C11" s="35" t="s">
        <v>832</v>
      </c>
      <c r="D11" s="248"/>
    </row>
    <row r="12" spans="1:6" s="31" customFormat="1" ht="30" customHeight="1">
      <c r="A12" s="547"/>
      <c r="B12" s="9"/>
      <c r="C12" s="35"/>
      <c r="D12" s="248"/>
    </row>
    <row r="13" spans="1:6" s="31" customFormat="1" ht="30" customHeight="1">
      <c r="A13" s="546" t="s">
        <v>25</v>
      </c>
      <c r="B13" s="21">
        <f>B14+B15</f>
        <v>32800</v>
      </c>
      <c r="C13" s="35" t="s">
        <v>197</v>
      </c>
      <c r="D13" s="248"/>
    </row>
    <row r="14" spans="1:6" s="31" customFormat="1" ht="42" customHeight="1">
      <c r="A14" s="547" t="s">
        <v>562</v>
      </c>
      <c r="B14" s="9">
        <v>30000</v>
      </c>
      <c r="C14" s="35" t="s">
        <v>198</v>
      </c>
      <c r="D14" s="248"/>
    </row>
    <row r="15" spans="1:6" s="31" customFormat="1" ht="16.2">
      <c r="A15" s="547" t="s">
        <v>563</v>
      </c>
      <c r="B15" s="9">
        <v>2800</v>
      </c>
      <c r="C15" s="35" t="s">
        <v>199</v>
      </c>
      <c r="D15" s="37"/>
      <c r="F15" s="11"/>
    </row>
    <row r="16" spans="1:6" s="10" customFormat="1" ht="26.25" customHeight="1">
      <c r="A16" s="547"/>
      <c r="B16" s="41"/>
      <c r="C16" s="35"/>
    </row>
    <row r="17" spans="1:3" s="10" customFormat="1" ht="26.25" customHeight="1">
      <c r="A17" s="547"/>
      <c r="B17" s="41"/>
      <c r="C17" s="35"/>
    </row>
    <row r="18" spans="1:3" s="10" customFormat="1" ht="26.25" customHeight="1">
      <c r="A18" s="547"/>
      <c r="B18" s="41"/>
      <c r="C18" s="35"/>
    </row>
    <row r="19" spans="1:3" s="10" customFormat="1" ht="26.25" customHeight="1">
      <c r="A19" s="547"/>
      <c r="B19" s="41"/>
      <c r="C19" s="35"/>
    </row>
    <row r="20" spans="1:3" s="10" customFormat="1" ht="26.25" customHeight="1">
      <c r="A20" s="547"/>
      <c r="B20" s="41"/>
      <c r="C20" s="35"/>
    </row>
    <row r="21" spans="1:3" s="10" customFormat="1" ht="26.25" customHeight="1">
      <c r="A21" s="547"/>
      <c r="B21" s="41"/>
      <c r="C21" s="35"/>
    </row>
    <row r="22" spans="1:3" s="10" customFormat="1" ht="26.25" customHeight="1">
      <c r="A22" s="547"/>
      <c r="B22" s="41"/>
      <c r="C22" s="35"/>
    </row>
    <row r="23" spans="1:3" s="10" customFormat="1" ht="23.25" customHeight="1">
      <c r="A23" s="547"/>
      <c r="B23" s="41"/>
      <c r="C23" s="35"/>
    </row>
    <row r="24" spans="1:3" s="10" customFormat="1" ht="23.25" customHeight="1">
      <c r="A24" s="548"/>
      <c r="B24" s="41"/>
      <c r="C24" s="35"/>
    </row>
    <row r="25" spans="1:3" s="10" customFormat="1" ht="24.75" customHeight="1">
      <c r="A25" s="548"/>
      <c r="B25" s="41"/>
      <c r="C25" s="35"/>
    </row>
    <row r="26" spans="1:3" s="10" customFormat="1" ht="79.95" customHeight="1">
      <c r="A26" s="548"/>
      <c r="B26" s="41"/>
      <c r="C26" s="35"/>
    </row>
    <row r="27" spans="1:3" s="10" customFormat="1" ht="30" customHeight="1">
      <c r="A27" s="548"/>
      <c r="B27" s="41"/>
      <c r="C27" s="35"/>
    </row>
    <row r="28" spans="1:3" s="10" customFormat="1" ht="59.25" customHeight="1" thickBot="1">
      <c r="A28" s="550"/>
      <c r="B28" s="42"/>
      <c r="C28" s="39"/>
    </row>
  </sheetData>
  <mergeCells count="7">
    <mergeCell ref="A1:C1"/>
    <mergeCell ref="A5:A7"/>
    <mergeCell ref="B5:B7"/>
    <mergeCell ref="C5:C7"/>
    <mergeCell ref="A4:C4"/>
    <mergeCell ref="A3:C3"/>
    <mergeCell ref="A2:C2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22" orientation="portrait" useFirstPageNumber="1" r:id="rId1"/>
  <headerFooter alignWithMargins="0">
    <oddFooter>&amp;C&amp;"Times New Roman,標準"&amp;P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opLeftCell="A40" workbookViewId="0">
      <selection activeCell="B33" sqref="B33"/>
    </sheetView>
  </sheetViews>
  <sheetFormatPr defaultColWidth="9" defaultRowHeight="16.2"/>
  <cols>
    <col min="1" max="1" width="25.44140625" style="568" bestFit="1" customWidth="1"/>
    <col min="2" max="2" width="24.6640625" style="6" customWidth="1"/>
    <col min="3" max="3" width="40.109375" style="6" customWidth="1"/>
    <col min="4" max="4" width="39" style="6" customWidth="1"/>
    <col min="5" max="5" width="9" style="6"/>
    <col min="6" max="6" width="26.33203125" style="6" customWidth="1"/>
    <col min="7" max="7" width="19.88671875" style="6" customWidth="1"/>
    <col min="8" max="16384" width="9" style="6"/>
  </cols>
  <sheetData>
    <row r="1" spans="1:6" s="2" customFormat="1" ht="22.2">
      <c r="A1" s="798" t="s">
        <v>109</v>
      </c>
      <c r="B1" s="798"/>
      <c r="C1" s="798"/>
      <c r="D1" s="1"/>
      <c r="E1" s="1"/>
      <c r="F1" s="1"/>
    </row>
    <row r="2" spans="1:6" s="2" customFormat="1" ht="22.2">
      <c r="A2" s="798" t="s">
        <v>110</v>
      </c>
      <c r="B2" s="798"/>
      <c r="C2" s="798"/>
      <c r="D2" s="1"/>
      <c r="E2" s="1"/>
      <c r="F2" s="1"/>
    </row>
    <row r="3" spans="1:6" s="2" customFormat="1" ht="24.75" customHeight="1">
      <c r="A3" s="800" t="s">
        <v>200</v>
      </c>
      <c r="B3" s="800"/>
      <c r="C3" s="800"/>
      <c r="D3" s="3"/>
      <c r="E3" s="3"/>
      <c r="F3" s="3"/>
    </row>
    <row r="4" spans="1:6" s="2" customFormat="1" ht="24.75" customHeight="1" thickBot="1">
      <c r="A4" s="815" t="s">
        <v>111</v>
      </c>
      <c r="B4" s="815"/>
      <c r="C4" s="815"/>
      <c r="D4" s="4"/>
      <c r="E4" s="4"/>
      <c r="F4" s="4"/>
    </row>
    <row r="5" spans="1:6" ht="15.6">
      <c r="A5" s="862" t="s">
        <v>515</v>
      </c>
      <c r="B5" s="833" t="s">
        <v>113</v>
      </c>
      <c r="C5" s="871" t="s">
        <v>114</v>
      </c>
      <c r="D5" s="5"/>
      <c r="E5" s="4"/>
      <c r="F5" s="4"/>
    </row>
    <row r="6" spans="1:6" ht="15.6">
      <c r="A6" s="863"/>
      <c r="B6" s="834"/>
      <c r="C6" s="872"/>
      <c r="D6" s="5"/>
      <c r="E6" s="4"/>
      <c r="F6" s="4"/>
    </row>
    <row r="7" spans="1:6" ht="15.6">
      <c r="A7" s="864"/>
      <c r="B7" s="835"/>
      <c r="C7" s="873"/>
    </row>
    <row r="8" spans="1:6" ht="8.25" customHeight="1">
      <c r="A8" s="74"/>
      <c r="B8" s="446"/>
      <c r="C8" s="449"/>
    </row>
    <row r="9" spans="1:6" s="31" customFormat="1" ht="30" customHeight="1">
      <c r="A9" s="566" t="s">
        <v>499</v>
      </c>
      <c r="B9" s="21">
        <f>B10+B25+B31</f>
        <v>103795</v>
      </c>
      <c r="C9" s="35" t="s">
        <v>201</v>
      </c>
    </row>
    <row r="10" spans="1:6" s="31" customFormat="1" ht="27.6" customHeight="1">
      <c r="A10" s="546" t="s">
        <v>519</v>
      </c>
      <c r="B10" s="21">
        <f>B11+B15</f>
        <v>90861</v>
      </c>
      <c r="C10" s="30"/>
    </row>
    <row r="11" spans="1:6" s="31" customFormat="1" ht="27.6" customHeight="1">
      <c r="A11" s="544" t="s">
        <v>597</v>
      </c>
      <c r="B11" s="21">
        <f>B12</f>
        <v>354</v>
      </c>
      <c r="C11" s="247"/>
      <c r="D11" s="248"/>
    </row>
    <row r="12" spans="1:6" s="10" customFormat="1" ht="81.599999999999994" customHeight="1">
      <c r="A12" s="548" t="s">
        <v>598</v>
      </c>
      <c r="B12" s="9">
        <f>SUM(B13:B14)</f>
        <v>354</v>
      </c>
      <c r="C12" s="389" t="s">
        <v>91</v>
      </c>
    </row>
    <row r="13" spans="1:6" s="31" customFormat="1" ht="30" customHeight="1">
      <c r="A13" s="547" t="s">
        <v>521</v>
      </c>
      <c r="B13" s="9">
        <v>324</v>
      </c>
      <c r="C13" s="405"/>
      <c r="D13" s="36"/>
    </row>
    <row r="14" spans="1:6" s="31" customFormat="1" ht="30" customHeight="1">
      <c r="A14" s="547" t="s">
        <v>522</v>
      </c>
      <c r="B14" s="9">
        <v>30</v>
      </c>
      <c r="C14" s="405"/>
      <c r="D14" s="36"/>
    </row>
    <row r="15" spans="1:6" s="31" customFormat="1" ht="30" customHeight="1">
      <c r="A15" s="544" t="s">
        <v>599</v>
      </c>
      <c r="B15" s="21">
        <f>B18+B21+B16</f>
        <v>90507</v>
      </c>
      <c r="C15" s="30"/>
      <c r="D15" s="37"/>
      <c r="F15" s="11"/>
    </row>
    <row r="16" spans="1:6" s="10" customFormat="1" ht="30" customHeight="1">
      <c r="A16" s="567" t="s">
        <v>600</v>
      </c>
      <c r="B16" s="9">
        <f>SUM(B17:B17)</f>
        <v>700</v>
      </c>
      <c r="C16" s="35" t="s">
        <v>202</v>
      </c>
    </row>
    <row r="17" spans="1:6" s="31" customFormat="1" ht="24.6" customHeight="1">
      <c r="A17" s="547" t="s">
        <v>521</v>
      </c>
      <c r="B17" s="9">
        <v>700</v>
      </c>
      <c r="C17" s="405"/>
      <c r="D17" s="36"/>
    </row>
    <row r="18" spans="1:6" s="10" customFormat="1" ht="24.6" customHeight="1">
      <c r="A18" s="567" t="s">
        <v>605</v>
      </c>
      <c r="B18" s="9">
        <f>SUM(B19:B20)</f>
        <v>85767</v>
      </c>
      <c r="C18" s="35" t="s">
        <v>203</v>
      </c>
    </row>
    <row r="19" spans="1:6" s="31" customFormat="1" ht="24.6" customHeight="1">
      <c r="A19" s="547" t="s">
        <v>521</v>
      </c>
      <c r="B19" s="9">
        <v>85505</v>
      </c>
      <c r="C19" s="405"/>
      <c r="D19" s="36"/>
    </row>
    <row r="20" spans="1:6" s="31" customFormat="1" ht="24.6" customHeight="1">
      <c r="A20" s="547" t="s">
        <v>522</v>
      </c>
      <c r="B20" s="9">
        <v>262</v>
      </c>
      <c r="C20" s="405"/>
      <c r="D20" s="36"/>
    </row>
    <row r="21" spans="1:6" s="10" customFormat="1" ht="24.6" customHeight="1">
      <c r="A21" s="567" t="s">
        <v>601</v>
      </c>
      <c r="B21" s="9">
        <f>SUM(B22:B23)</f>
        <v>4040</v>
      </c>
      <c r="C21" s="35" t="s">
        <v>204</v>
      </c>
    </row>
    <row r="22" spans="1:6" s="31" customFormat="1" ht="22.8" customHeight="1">
      <c r="A22" s="547" t="s">
        <v>521</v>
      </c>
      <c r="B22" s="9">
        <v>4016</v>
      </c>
      <c r="C22" s="405"/>
      <c r="D22" s="36"/>
    </row>
    <row r="23" spans="1:6" s="31" customFormat="1" ht="24.6" customHeight="1">
      <c r="A23" s="547" t="s">
        <v>522</v>
      </c>
      <c r="B23" s="9">
        <v>24</v>
      </c>
      <c r="C23" s="405"/>
      <c r="D23" s="36"/>
    </row>
    <row r="24" spans="1:6" s="10" customFormat="1" ht="9.6" customHeight="1">
      <c r="A24" s="548"/>
      <c r="B24" s="41"/>
      <c r="C24" s="35"/>
    </row>
    <row r="25" spans="1:6" s="31" customFormat="1" ht="27.6" customHeight="1">
      <c r="A25" s="546" t="s">
        <v>534</v>
      </c>
      <c r="B25" s="21">
        <f>B26+B28</f>
        <v>5845</v>
      </c>
      <c r="C25" s="30"/>
    </row>
    <row r="26" spans="1:6" s="31" customFormat="1" ht="26.4" customHeight="1">
      <c r="A26" s="544" t="s">
        <v>597</v>
      </c>
      <c r="B26" s="21">
        <f>B27</f>
        <v>31</v>
      </c>
      <c r="C26" s="247"/>
      <c r="D26" s="248"/>
    </row>
    <row r="27" spans="1:6" s="10" customFormat="1" ht="100.5" customHeight="1" thickBot="1">
      <c r="A27" s="550" t="s">
        <v>598</v>
      </c>
      <c r="B27" s="38">
        <v>31</v>
      </c>
      <c r="C27" s="407" t="s">
        <v>91</v>
      </c>
    </row>
    <row r="28" spans="1:6" s="31" customFormat="1" ht="30" customHeight="1">
      <c r="A28" s="544" t="s">
        <v>599</v>
      </c>
      <c r="B28" s="21">
        <f>SUM(B29:B30)</f>
        <v>5814</v>
      </c>
      <c r="C28" s="30"/>
      <c r="D28" s="37"/>
      <c r="F28" s="11"/>
    </row>
    <row r="29" spans="1:6" s="10" customFormat="1" ht="30" customHeight="1">
      <c r="A29" s="567" t="s">
        <v>604</v>
      </c>
      <c r="B29" s="9">
        <v>5727</v>
      </c>
      <c r="C29" s="35" t="s">
        <v>203</v>
      </c>
    </row>
    <row r="30" spans="1:6" s="10" customFormat="1" ht="29.25" customHeight="1">
      <c r="A30" s="567" t="s">
        <v>603</v>
      </c>
      <c r="B30" s="41">
        <v>87</v>
      </c>
      <c r="C30" s="35" t="s">
        <v>204</v>
      </c>
    </row>
    <row r="31" spans="1:6" s="31" customFormat="1" ht="30" customHeight="1">
      <c r="A31" s="546" t="s">
        <v>537</v>
      </c>
      <c r="B31" s="21">
        <f>B32+B34</f>
        <v>7089</v>
      </c>
      <c r="C31" s="30"/>
    </row>
    <row r="32" spans="1:6" s="31" customFormat="1" ht="30" customHeight="1">
      <c r="A32" s="544" t="s">
        <v>597</v>
      </c>
      <c r="B32" s="21">
        <f>B33</f>
        <v>14</v>
      </c>
      <c r="C32" s="247"/>
      <c r="D32" s="248"/>
    </row>
    <row r="33" spans="1:6" s="10" customFormat="1" ht="90" customHeight="1">
      <c r="A33" s="548" t="s">
        <v>602</v>
      </c>
      <c r="B33" s="9">
        <v>14</v>
      </c>
      <c r="C33" s="389" t="s">
        <v>91</v>
      </c>
    </row>
    <row r="34" spans="1:6" s="31" customFormat="1" ht="30" customHeight="1">
      <c r="A34" s="544" t="s">
        <v>599</v>
      </c>
      <c r="B34" s="21">
        <f>SUM(B35:B36)</f>
        <v>7075</v>
      </c>
      <c r="C34" s="30"/>
      <c r="D34" s="37"/>
      <c r="F34" s="11"/>
    </row>
    <row r="35" spans="1:6" s="10" customFormat="1" ht="30" customHeight="1">
      <c r="A35" s="567" t="s">
        <v>604</v>
      </c>
      <c r="B35" s="9">
        <v>7075</v>
      </c>
      <c r="C35" s="35" t="s">
        <v>203</v>
      </c>
    </row>
    <row r="36" spans="1:6" s="10" customFormat="1" ht="30" customHeight="1">
      <c r="A36" s="567"/>
      <c r="B36" s="41"/>
      <c r="C36" s="35"/>
    </row>
    <row r="37" spans="1:6" s="10" customFormat="1" ht="29.25" customHeight="1">
      <c r="A37" s="567"/>
      <c r="B37" s="41"/>
      <c r="C37" s="35"/>
    </row>
    <row r="38" spans="1:6" s="10" customFormat="1" ht="29.25" customHeight="1">
      <c r="A38" s="567"/>
      <c r="B38" s="41"/>
      <c r="C38" s="35"/>
    </row>
    <row r="39" spans="1:6" s="10" customFormat="1" ht="29.25" customHeight="1">
      <c r="A39" s="567"/>
      <c r="B39" s="41"/>
      <c r="C39" s="35"/>
    </row>
    <row r="40" spans="1:6" s="10" customFormat="1" ht="29.25" customHeight="1">
      <c r="A40" s="567"/>
      <c r="B40" s="41"/>
      <c r="C40" s="35"/>
    </row>
    <row r="41" spans="1:6" s="10" customFormat="1" ht="29.25" customHeight="1">
      <c r="A41" s="567"/>
      <c r="B41" s="41"/>
      <c r="C41" s="35"/>
    </row>
    <row r="42" spans="1:6" s="10" customFormat="1" ht="29.25" customHeight="1">
      <c r="A42" s="567"/>
      <c r="B42" s="41"/>
      <c r="C42" s="35"/>
    </row>
    <row r="43" spans="1:6" s="10" customFormat="1" ht="30" customHeight="1">
      <c r="A43" s="567"/>
      <c r="B43" s="41"/>
      <c r="C43" s="35"/>
    </row>
    <row r="44" spans="1:6" s="10" customFormat="1" ht="29.25" customHeight="1">
      <c r="A44" s="567"/>
      <c r="B44" s="41"/>
      <c r="C44" s="35"/>
    </row>
    <row r="45" spans="1:6" s="10" customFormat="1" ht="12.6" customHeight="1">
      <c r="A45" s="567"/>
      <c r="B45" s="41"/>
      <c r="C45" s="35"/>
    </row>
    <row r="46" spans="1:6" s="10" customFormat="1" ht="20.399999999999999" customHeight="1">
      <c r="A46" s="567"/>
      <c r="B46" s="41"/>
      <c r="C46" s="35"/>
    </row>
    <row r="47" spans="1:6" s="10" customFormat="1" ht="25.5" customHeight="1" thickBot="1">
      <c r="A47" s="550"/>
      <c r="B47" s="42"/>
      <c r="C47" s="39"/>
    </row>
    <row r="52" spans="3:3" hidden="1">
      <c r="C52" s="462" t="s">
        <v>205</v>
      </c>
    </row>
  </sheetData>
  <mergeCells count="7">
    <mergeCell ref="A1:C1"/>
    <mergeCell ref="A5:A7"/>
    <mergeCell ref="B5:B7"/>
    <mergeCell ref="C5:C7"/>
    <mergeCell ref="A4:C4"/>
    <mergeCell ref="A3:C3"/>
    <mergeCell ref="A2:C2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23" orientation="portrait" useFirstPageNumber="1" r:id="rId1"/>
  <headerFooter alignWithMargins="0">
    <oddFooter>&amp;C&amp;"Times New Roman,標準"&amp;P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D62"/>
  <sheetViews>
    <sheetView topLeftCell="A69" zoomScaleSheetLayoutView="100" workbookViewId="0">
      <selection activeCell="D15" sqref="D15"/>
    </sheetView>
  </sheetViews>
  <sheetFormatPr defaultColWidth="9" defaultRowHeight="15.6"/>
  <cols>
    <col min="1" max="2" width="19.33203125" style="13" customWidth="1"/>
    <col min="3" max="3" width="31.77734375" style="13" customWidth="1"/>
    <col min="4" max="4" width="19.77734375" style="13" customWidth="1"/>
    <col min="5" max="16384" width="9" style="13"/>
  </cols>
  <sheetData>
    <row r="1" spans="1:4" s="99" customFormat="1" ht="22.2">
      <c r="A1" s="816" t="s">
        <v>109</v>
      </c>
      <c r="B1" s="816"/>
      <c r="C1" s="816"/>
      <c r="D1" s="816"/>
    </row>
    <row r="2" spans="1:4" s="99" customFormat="1" ht="22.2">
      <c r="A2" s="816" t="s">
        <v>110</v>
      </c>
      <c r="B2" s="816"/>
      <c r="C2" s="816"/>
      <c r="D2" s="816"/>
    </row>
    <row r="3" spans="1:4" s="99" customFormat="1" ht="24.9" customHeight="1">
      <c r="A3" s="817" t="s">
        <v>206</v>
      </c>
      <c r="B3" s="817"/>
      <c r="C3" s="817"/>
      <c r="D3" s="817"/>
    </row>
    <row r="4" spans="1:4" s="99" customFormat="1" ht="24.9" customHeight="1" thickBot="1">
      <c r="A4" s="874" t="s">
        <v>207</v>
      </c>
      <c r="B4" s="874"/>
      <c r="C4" s="874"/>
      <c r="D4" s="874"/>
    </row>
    <row r="5" spans="1:4" s="100" customFormat="1" ht="30" customHeight="1">
      <c r="A5" s="463" t="s">
        <v>208</v>
      </c>
      <c r="B5" s="464" t="s">
        <v>164</v>
      </c>
      <c r="C5" s="551" t="s">
        <v>8</v>
      </c>
      <c r="D5" s="465" t="s">
        <v>165</v>
      </c>
    </row>
    <row r="6" spans="1:4" s="100" customFormat="1" ht="8.25" customHeight="1">
      <c r="A6" s="466"/>
      <c r="B6" s="467"/>
      <c r="C6" s="552"/>
      <c r="D6" s="468"/>
    </row>
    <row r="7" spans="1:4" s="22" customFormat="1" ht="30.75" customHeight="1">
      <c r="A7" s="181">
        <v>101339096</v>
      </c>
      <c r="B7" s="182">
        <f>B8+B53</f>
        <v>957166</v>
      </c>
      <c r="C7" s="553" t="s">
        <v>564</v>
      </c>
      <c r="D7" s="183">
        <f>D8+D53</f>
        <v>1100732</v>
      </c>
    </row>
    <row r="8" spans="1:4" s="22" customFormat="1" ht="27" customHeight="1">
      <c r="A8" s="181">
        <v>101102494</v>
      </c>
      <c r="B8" s="182">
        <f>B12+B18+B37</f>
        <v>954782</v>
      </c>
      <c r="C8" s="553" t="s">
        <v>519</v>
      </c>
      <c r="D8" s="183">
        <f>D9+D12+D15+D18+D34+D37</f>
        <v>1099375</v>
      </c>
    </row>
    <row r="9" spans="1:4" s="22" customFormat="1" ht="25.95" hidden="1" customHeight="1">
      <c r="A9" s="181">
        <v>0</v>
      </c>
      <c r="B9" s="182">
        <f>B10</f>
        <v>0</v>
      </c>
      <c r="C9" s="554" t="s">
        <v>565</v>
      </c>
      <c r="D9" s="183">
        <f>D10</f>
        <v>0</v>
      </c>
    </row>
    <row r="10" spans="1:4" s="22" customFormat="1" ht="25.95" hidden="1" customHeight="1">
      <c r="A10" s="184">
        <v>0</v>
      </c>
      <c r="B10" s="185">
        <f>B11</f>
        <v>0</v>
      </c>
      <c r="C10" s="555" t="s">
        <v>566</v>
      </c>
      <c r="D10" s="186">
        <f>D11</f>
        <v>0</v>
      </c>
    </row>
    <row r="11" spans="1:4" s="22" customFormat="1" ht="25.95" hidden="1" customHeight="1">
      <c r="A11" s="184">
        <v>0</v>
      </c>
      <c r="B11" s="185">
        <v>0</v>
      </c>
      <c r="C11" s="555" t="s">
        <v>567</v>
      </c>
      <c r="D11" s="186">
        <v>0</v>
      </c>
    </row>
    <row r="12" spans="1:4" s="22" customFormat="1" ht="27" customHeight="1">
      <c r="A12" s="181">
        <v>57326</v>
      </c>
      <c r="B12" s="182">
        <f>B13</f>
        <v>72000</v>
      </c>
      <c r="C12" s="554" t="s">
        <v>568</v>
      </c>
      <c r="D12" s="183">
        <f>D13</f>
        <v>68000</v>
      </c>
    </row>
    <row r="13" spans="1:4" s="22" customFormat="1" ht="27" customHeight="1">
      <c r="A13" s="184">
        <v>57326</v>
      </c>
      <c r="B13" s="185">
        <f>B14</f>
        <v>72000</v>
      </c>
      <c r="C13" s="555" t="s">
        <v>606</v>
      </c>
      <c r="D13" s="186">
        <f>D14</f>
        <v>68000</v>
      </c>
    </row>
    <row r="14" spans="1:4" s="22" customFormat="1" ht="27" customHeight="1">
      <c r="A14" s="184">
        <v>57326</v>
      </c>
      <c r="B14" s="295">
        <f>80000-8000</f>
        <v>72000</v>
      </c>
      <c r="C14" s="555" t="s">
        <v>781</v>
      </c>
      <c r="D14" s="186">
        <v>68000</v>
      </c>
    </row>
    <row r="15" spans="1:4" s="22" customFormat="1" ht="27" customHeight="1">
      <c r="A15" s="181">
        <v>26095445</v>
      </c>
      <c r="B15" s="182">
        <f>B16</f>
        <v>0</v>
      </c>
      <c r="C15" s="554" t="s">
        <v>569</v>
      </c>
      <c r="D15" s="187">
        <f>D16</f>
        <v>0</v>
      </c>
    </row>
    <row r="16" spans="1:4" s="22" customFormat="1" ht="28.5" customHeight="1">
      <c r="A16" s="184">
        <v>26095445</v>
      </c>
      <c r="B16" s="185">
        <f>B17</f>
        <v>0</v>
      </c>
      <c r="C16" s="555" t="s">
        <v>607</v>
      </c>
      <c r="D16" s="186">
        <f>D17</f>
        <v>0</v>
      </c>
    </row>
    <row r="17" spans="1:4" s="22" customFormat="1" ht="27" customHeight="1">
      <c r="A17" s="184">
        <v>26095445</v>
      </c>
      <c r="B17" s="185">
        <v>0</v>
      </c>
      <c r="C17" s="555" t="s">
        <v>782</v>
      </c>
      <c r="D17" s="186">
        <v>0</v>
      </c>
    </row>
    <row r="18" spans="1:4" s="22" customFormat="1" ht="27" customHeight="1">
      <c r="A18" s="181">
        <v>19625</v>
      </c>
      <c r="B18" s="182">
        <f>B19+B26+B30+B32</f>
        <v>20587</v>
      </c>
      <c r="C18" s="554" t="s">
        <v>570</v>
      </c>
      <c r="D18" s="187">
        <f>D19+D26+D30+D32</f>
        <v>20670</v>
      </c>
    </row>
    <row r="19" spans="1:4" s="22" customFormat="1" ht="27" customHeight="1">
      <c r="A19" s="184">
        <v>1669</v>
      </c>
      <c r="B19" s="185">
        <f>SUM(B20:B25)</f>
        <v>2389</v>
      </c>
      <c r="C19" s="555" t="s">
        <v>606</v>
      </c>
      <c r="D19" s="186">
        <f>SUM(D20:D25)</f>
        <v>2389</v>
      </c>
    </row>
    <row r="20" spans="1:4" s="22" customFormat="1" ht="24" customHeight="1">
      <c r="A20" s="184">
        <v>4</v>
      </c>
      <c r="B20" s="295">
        <v>7</v>
      </c>
      <c r="C20" s="555" t="s">
        <v>608</v>
      </c>
      <c r="D20" s="186">
        <v>7</v>
      </c>
    </row>
    <row r="21" spans="1:4" s="22" customFormat="1" ht="27" customHeight="1">
      <c r="A21" s="184">
        <v>0</v>
      </c>
      <c r="B21" s="295">
        <v>5</v>
      </c>
      <c r="C21" s="555" t="s">
        <v>609</v>
      </c>
      <c r="D21" s="186">
        <v>5</v>
      </c>
    </row>
    <row r="22" spans="1:4" s="22" customFormat="1" ht="27" customHeight="1">
      <c r="A22" s="184">
        <v>1660</v>
      </c>
      <c r="B22" s="295">
        <v>2000</v>
      </c>
      <c r="C22" s="555" t="s">
        <v>610</v>
      </c>
      <c r="D22" s="186">
        <v>2000</v>
      </c>
    </row>
    <row r="23" spans="1:4" s="10" customFormat="1" ht="24.6" customHeight="1">
      <c r="A23" s="199">
        <v>0</v>
      </c>
      <c r="B23" s="442">
        <v>121</v>
      </c>
      <c r="C23" s="294" t="s">
        <v>611</v>
      </c>
      <c r="D23" s="443">
        <v>121</v>
      </c>
    </row>
    <row r="24" spans="1:4" s="22" customFormat="1" ht="25.2" customHeight="1">
      <c r="A24" s="184">
        <v>6</v>
      </c>
      <c r="B24" s="295">
        <v>8</v>
      </c>
      <c r="C24" s="555" t="s">
        <v>612</v>
      </c>
      <c r="D24" s="186">
        <v>8</v>
      </c>
    </row>
    <row r="25" spans="1:4" s="10" customFormat="1" ht="27" customHeight="1">
      <c r="A25" s="199">
        <v>0</v>
      </c>
      <c r="B25" s="442">
        <v>248</v>
      </c>
      <c r="C25" s="294" t="s">
        <v>613</v>
      </c>
      <c r="D25" s="443">
        <v>248</v>
      </c>
    </row>
    <row r="26" spans="1:4" s="22" customFormat="1" ht="27" customHeight="1">
      <c r="A26" s="184">
        <v>524</v>
      </c>
      <c r="B26" s="185">
        <f>SUM(B27:B29)</f>
        <v>486</v>
      </c>
      <c r="C26" s="555" t="s">
        <v>614</v>
      </c>
      <c r="D26" s="186">
        <f>SUM(D27:D29)</f>
        <v>651</v>
      </c>
    </row>
    <row r="27" spans="1:4" s="22" customFormat="1" ht="24" customHeight="1">
      <c r="A27" s="184">
        <v>487</v>
      </c>
      <c r="B27" s="295">
        <v>473</v>
      </c>
      <c r="C27" s="555" t="s">
        <v>615</v>
      </c>
      <c r="D27" s="186">
        <v>639</v>
      </c>
    </row>
    <row r="28" spans="1:4" s="22" customFormat="1" ht="25.2" customHeight="1">
      <c r="A28" s="184">
        <v>2</v>
      </c>
      <c r="B28" s="295">
        <v>5</v>
      </c>
      <c r="C28" s="555" t="s">
        <v>617</v>
      </c>
      <c r="D28" s="186">
        <v>4</v>
      </c>
    </row>
    <row r="29" spans="1:4" s="22" customFormat="1" ht="23.4" customHeight="1">
      <c r="A29" s="184">
        <v>36</v>
      </c>
      <c r="B29" s="295">
        <v>8</v>
      </c>
      <c r="C29" s="555" t="s">
        <v>616</v>
      </c>
      <c r="D29" s="186">
        <v>8</v>
      </c>
    </row>
    <row r="30" spans="1:4" s="22" customFormat="1" ht="28.5" customHeight="1">
      <c r="A30" s="184">
        <v>17348</v>
      </c>
      <c r="B30" s="185">
        <f>B31</f>
        <v>17447</v>
      </c>
      <c r="C30" s="555" t="s">
        <v>607</v>
      </c>
      <c r="D30" s="186">
        <f>D31</f>
        <v>17365</v>
      </c>
    </row>
    <row r="31" spans="1:4" s="22" customFormat="1" ht="26.25" customHeight="1">
      <c r="A31" s="184">
        <v>17348</v>
      </c>
      <c r="B31" s="295">
        <v>17447</v>
      </c>
      <c r="C31" s="555" t="s">
        <v>618</v>
      </c>
      <c r="D31" s="186">
        <v>17365</v>
      </c>
    </row>
    <row r="32" spans="1:4" s="22" customFormat="1" ht="23.25" customHeight="1">
      <c r="A32" s="184">
        <v>83</v>
      </c>
      <c r="B32" s="185">
        <f>B33</f>
        <v>265</v>
      </c>
      <c r="C32" s="555" t="s">
        <v>619</v>
      </c>
      <c r="D32" s="186">
        <f>D33</f>
        <v>265</v>
      </c>
    </row>
    <row r="33" spans="1:4" s="22" customFormat="1" ht="30" customHeight="1" thickBot="1">
      <c r="A33" s="188">
        <v>83</v>
      </c>
      <c r="B33" s="371">
        <v>265</v>
      </c>
      <c r="C33" s="556" t="s">
        <v>620</v>
      </c>
      <c r="D33" s="189">
        <v>265</v>
      </c>
    </row>
    <row r="34" spans="1:4" s="22" customFormat="1" ht="27" customHeight="1">
      <c r="A34" s="181">
        <v>10742268</v>
      </c>
      <c r="B34" s="182">
        <f>B35</f>
        <v>0</v>
      </c>
      <c r="C34" s="554" t="s">
        <v>571</v>
      </c>
      <c r="D34" s="187">
        <f>D35</f>
        <v>0</v>
      </c>
    </row>
    <row r="35" spans="1:4" s="22" customFormat="1" ht="27" customHeight="1">
      <c r="A35" s="184">
        <v>10742268</v>
      </c>
      <c r="B35" s="185">
        <f>B36</f>
        <v>0</v>
      </c>
      <c r="C35" s="555" t="s">
        <v>607</v>
      </c>
      <c r="D35" s="186">
        <f>D36</f>
        <v>0</v>
      </c>
    </row>
    <row r="36" spans="1:4" s="22" customFormat="1" ht="23.25" customHeight="1">
      <c r="A36" s="184">
        <v>10742268</v>
      </c>
      <c r="B36" s="185">
        <v>0</v>
      </c>
      <c r="C36" s="555" t="s">
        <v>782</v>
      </c>
      <c r="D36" s="186">
        <v>0</v>
      </c>
    </row>
    <row r="37" spans="1:4" s="22" customFormat="1" ht="27" customHeight="1">
      <c r="A37" s="419">
        <v>64187829</v>
      </c>
      <c r="B37" s="182">
        <f>B38+B46+B49</f>
        <v>862195</v>
      </c>
      <c r="C37" s="554" t="s">
        <v>572</v>
      </c>
      <c r="D37" s="187">
        <f>D38+D49+D46</f>
        <v>1010705</v>
      </c>
    </row>
    <row r="38" spans="1:4" s="22" customFormat="1" ht="27" customHeight="1">
      <c r="A38" s="418">
        <v>549304</v>
      </c>
      <c r="B38" s="295">
        <f>B41+B44+B39</f>
        <v>862195</v>
      </c>
      <c r="C38" s="555" t="s">
        <v>606</v>
      </c>
      <c r="D38" s="186">
        <f>D41+D44+D39</f>
        <v>1010705</v>
      </c>
    </row>
    <row r="39" spans="1:4" s="22" customFormat="1" ht="27" hidden="1" customHeight="1">
      <c r="A39" s="418">
        <v>0</v>
      </c>
      <c r="B39" s="185">
        <v>0</v>
      </c>
      <c r="C39" s="555" t="s">
        <v>573</v>
      </c>
      <c r="D39" s="186">
        <v>0</v>
      </c>
    </row>
    <row r="40" spans="1:4" s="22" customFormat="1" ht="27" hidden="1" customHeight="1">
      <c r="A40" s="418">
        <v>0</v>
      </c>
      <c r="B40" s="185">
        <v>0</v>
      </c>
      <c r="C40" s="555" t="s">
        <v>574</v>
      </c>
      <c r="D40" s="186">
        <v>0</v>
      </c>
    </row>
    <row r="41" spans="1:4" s="22" customFormat="1" ht="27" customHeight="1">
      <c r="A41" s="418">
        <v>541950</v>
      </c>
      <c r="B41" s="295">
        <f>SUM(B42:B43)</f>
        <v>825324</v>
      </c>
      <c r="C41" s="555" t="s">
        <v>623</v>
      </c>
      <c r="D41" s="186">
        <f>SUM(D42:D43)</f>
        <v>973475</v>
      </c>
    </row>
    <row r="42" spans="1:4" s="22" customFormat="1" ht="27" customHeight="1">
      <c r="A42" s="418">
        <v>541926</v>
      </c>
      <c r="B42" s="185">
        <v>825244</v>
      </c>
      <c r="C42" s="555" t="s">
        <v>621</v>
      </c>
      <c r="D42" s="186">
        <v>973475</v>
      </c>
    </row>
    <row r="43" spans="1:4" s="22" customFormat="1" ht="27" customHeight="1">
      <c r="A43" s="418">
        <v>24</v>
      </c>
      <c r="B43" s="295">
        <v>80</v>
      </c>
      <c r="C43" s="555" t="s">
        <v>622</v>
      </c>
      <c r="D43" s="186">
        <v>0</v>
      </c>
    </row>
    <row r="44" spans="1:4" s="22" customFormat="1" ht="27" customHeight="1">
      <c r="A44" s="418">
        <v>7354</v>
      </c>
      <c r="B44" s="295">
        <f>B45</f>
        <v>36871</v>
      </c>
      <c r="C44" s="555" t="s">
        <v>613</v>
      </c>
      <c r="D44" s="186">
        <f>D45</f>
        <v>37230</v>
      </c>
    </row>
    <row r="45" spans="1:4" s="22" customFormat="1" ht="27" customHeight="1">
      <c r="A45" s="418">
        <v>7354</v>
      </c>
      <c r="B45" s="185">
        <v>36871</v>
      </c>
      <c r="C45" s="555" t="s">
        <v>621</v>
      </c>
      <c r="D45" s="186">
        <v>37230</v>
      </c>
    </row>
    <row r="46" spans="1:4" s="22" customFormat="1" ht="27" customHeight="1">
      <c r="A46" s="418">
        <v>22732</v>
      </c>
      <c r="B46" s="295">
        <f>B47</f>
        <v>0</v>
      </c>
      <c r="C46" s="555" t="s">
        <v>624</v>
      </c>
      <c r="D46" s="186">
        <f>D47</f>
        <v>0</v>
      </c>
    </row>
    <row r="47" spans="1:4" s="22" customFormat="1" ht="24" customHeight="1">
      <c r="A47" s="199">
        <v>22732</v>
      </c>
      <c r="B47" s="185">
        <f>B48</f>
        <v>0</v>
      </c>
      <c r="C47" s="555" t="s">
        <v>625</v>
      </c>
      <c r="D47" s="186">
        <v>0</v>
      </c>
    </row>
    <row r="48" spans="1:4" s="22" customFormat="1" ht="24" customHeight="1">
      <c r="A48" s="199">
        <v>22732</v>
      </c>
      <c r="B48" s="185">
        <v>0</v>
      </c>
      <c r="C48" s="555" t="s">
        <v>626</v>
      </c>
      <c r="D48" s="186">
        <v>0</v>
      </c>
    </row>
    <row r="49" spans="1:4" s="22" customFormat="1" ht="24.75" customHeight="1">
      <c r="A49" s="199">
        <v>63615794</v>
      </c>
      <c r="B49" s="185">
        <v>0</v>
      </c>
      <c r="C49" s="555" t="s">
        <v>607</v>
      </c>
      <c r="D49" s="186">
        <f>D50</f>
        <v>0</v>
      </c>
    </row>
    <row r="50" spans="1:4" s="22" customFormat="1" ht="24.6" customHeight="1">
      <c r="A50" s="199">
        <v>63615794</v>
      </c>
      <c r="B50" s="185">
        <f>B51</f>
        <v>0</v>
      </c>
      <c r="C50" s="555" t="s">
        <v>627</v>
      </c>
      <c r="D50" s="186">
        <v>0</v>
      </c>
    </row>
    <row r="51" spans="1:4" s="22" customFormat="1" ht="21" customHeight="1">
      <c r="A51" s="199">
        <v>63615794</v>
      </c>
      <c r="B51" s="185">
        <v>0</v>
      </c>
      <c r="C51" s="555" t="s">
        <v>626</v>
      </c>
      <c r="D51" s="186">
        <v>0</v>
      </c>
    </row>
    <row r="52" spans="1:4" s="22" customFormat="1" ht="30" hidden="1" customHeight="1">
      <c r="A52" s="199"/>
      <c r="B52" s="185"/>
      <c r="C52" s="555"/>
      <c r="D52" s="186"/>
    </row>
    <row r="53" spans="1:4" s="22" customFormat="1" ht="21.75" customHeight="1">
      <c r="A53" s="181">
        <v>236602</v>
      </c>
      <c r="B53" s="182">
        <f>B57+B54</f>
        <v>2384</v>
      </c>
      <c r="C53" s="553" t="s">
        <v>534</v>
      </c>
      <c r="D53" s="183">
        <f>D57+D54</f>
        <v>1357</v>
      </c>
    </row>
    <row r="54" spans="1:4" s="22" customFormat="1" ht="25.2" customHeight="1">
      <c r="A54" s="181">
        <v>236283</v>
      </c>
      <c r="B54" s="182">
        <f>B55</f>
        <v>0</v>
      </c>
      <c r="C54" s="554" t="s">
        <v>575</v>
      </c>
      <c r="D54" s="187">
        <f>D55</f>
        <v>0</v>
      </c>
    </row>
    <row r="55" spans="1:4" s="22" customFormat="1" ht="24.6" customHeight="1">
      <c r="A55" s="184">
        <v>236283</v>
      </c>
      <c r="B55" s="185">
        <f>B56</f>
        <v>0</v>
      </c>
      <c r="C55" s="555" t="s">
        <v>607</v>
      </c>
      <c r="D55" s="186">
        <f>D56</f>
        <v>0</v>
      </c>
    </row>
    <row r="56" spans="1:4" s="22" customFormat="1" ht="22.5" customHeight="1">
      <c r="A56" s="184">
        <v>236283</v>
      </c>
      <c r="B56" s="185">
        <v>0</v>
      </c>
      <c r="C56" s="555" t="s">
        <v>628</v>
      </c>
      <c r="D56" s="186">
        <v>0</v>
      </c>
    </row>
    <row r="57" spans="1:4" s="22" customFormat="1" ht="23.25" customHeight="1">
      <c r="A57" s="181">
        <v>319</v>
      </c>
      <c r="B57" s="182">
        <f>B58+B60</f>
        <v>2384</v>
      </c>
      <c r="C57" s="554" t="s">
        <v>572</v>
      </c>
      <c r="D57" s="187">
        <f>D58+D60</f>
        <v>1357</v>
      </c>
    </row>
    <row r="58" spans="1:4" s="22" customFormat="1" ht="27" customHeight="1">
      <c r="A58" s="184">
        <v>319</v>
      </c>
      <c r="B58" s="185">
        <f>SUM(B59)</f>
        <v>2289</v>
      </c>
      <c r="C58" s="555" t="s">
        <v>606</v>
      </c>
      <c r="D58" s="186">
        <f>SUM(D59)</f>
        <v>217</v>
      </c>
    </row>
    <row r="59" spans="1:4" s="22" customFormat="1" ht="24.6" customHeight="1">
      <c r="A59" s="184">
        <v>319</v>
      </c>
      <c r="B59" s="295">
        <v>2289</v>
      </c>
      <c r="C59" s="555" t="s">
        <v>612</v>
      </c>
      <c r="D59" s="186">
        <v>217</v>
      </c>
    </row>
    <row r="60" spans="1:4" s="22" customFormat="1" ht="29.25" customHeight="1">
      <c r="A60" s="184">
        <v>0</v>
      </c>
      <c r="B60" s="185">
        <f>B61</f>
        <v>95</v>
      </c>
      <c r="C60" s="555" t="s">
        <v>629</v>
      </c>
      <c r="D60" s="186">
        <f>SUM(D61)</f>
        <v>1140</v>
      </c>
    </row>
    <row r="61" spans="1:4" s="22" customFormat="1" ht="28.5" customHeight="1" thickBot="1">
      <c r="A61" s="188">
        <v>0</v>
      </c>
      <c r="B61" s="371">
        <v>95</v>
      </c>
      <c r="C61" s="556" t="s">
        <v>630</v>
      </c>
      <c r="D61" s="189">
        <v>1140</v>
      </c>
    </row>
    <row r="62" spans="1:4" s="22" customFormat="1" ht="3.75" hidden="1" customHeight="1" thickBot="1">
      <c r="A62" s="188"/>
      <c r="B62" s="371"/>
      <c r="C62" s="469"/>
      <c r="D62" s="189"/>
    </row>
  </sheetData>
  <mergeCells count="4">
    <mergeCell ref="A4:D4"/>
    <mergeCell ref="A3:D3"/>
    <mergeCell ref="A2:D2"/>
    <mergeCell ref="A1:D1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25" orientation="portrait" useFirstPageNumber="1" r:id="rId1"/>
  <headerFooter alignWithMargins="0">
    <oddFooter>&amp;C&amp;"Times New Roman,標準"&amp;P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45"/>
  <sheetViews>
    <sheetView topLeftCell="A55" zoomScaleSheetLayoutView="100" workbookViewId="0">
      <selection activeCell="B7" sqref="B7"/>
    </sheetView>
  </sheetViews>
  <sheetFormatPr defaultColWidth="9" defaultRowHeight="15.6"/>
  <cols>
    <col min="1" max="1" width="32" style="13" customWidth="1"/>
    <col min="2" max="2" width="58" style="13" customWidth="1"/>
    <col min="3" max="16384" width="9" style="13"/>
  </cols>
  <sheetData>
    <row r="1" spans="1:11" ht="21" customHeight="1">
      <c r="A1" s="798" t="s">
        <v>109</v>
      </c>
      <c r="B1" s="798"/>
      <c r="C1" s="12"/>
      <c r="D1" s="12"/>
      <c r="E1" s="12"/>
      <c r="F1" s="12"/>
      <c r="G1" s="12"/>
      <c r="H1" s="12"/>
    </row>
    <row r="2" spans="1:11" ht="22.2">
      <c r="A2" s="798" t="s">
        <v>110</v>
      </c>
      <c r="B2" s="798"/>
      <c r="C2" s="12"/>
      <c r="D2" s="12"/>
      <c r="E2" s="12"/>
      <c r="F2" s="12"/>
      <c r="G2" s="12"/>
      <c r="H2" s="12"/>
    </row>
    <row r="3" spans="1:11" ht="24.75" customHeight="1">
      <c r="A3" s="817" t="s">
        <v>209</v>
      </c>
      <c r="B3" s="817"/>
      <c r="C3" s="14"/>
      <c r="D3" s="14"/>
      <c r="E3" s="14"/>
      <c r="F3" s="14"/>
      <c r="G3" s="14"/>
      <c r="H3" s="14"/>
    </row>
    <row r="4" spans="1:11" ht="24.75" customHeight="1" thickBot="1">
      <c r="A4" s="874" t="s">
        <v>94</v>
      </c>
      <c r="B4" s="874"/>
      <c r="C4" s="15"/>
      <c r="D4" s="15"/>
      <c r="E4" s="15"/>
      <c r="F4" s="15"/>
      <c r="G4" s="15"/>
      <c r="H4" s="15"/>
    </row>
    <row r="5" spans="1:11" s="17" customFormat="1" ht="30" customHeight="1">
      <c r="A5" s="19" t="s">
        <v>576</v>
      </c>
      <c r="B5" s="471" t="s">
        <v>211</v>
      </c>
      <c r="C5" s="16"/>
      <c r="D5" s="16"/>
      <c r="E5" s="16"/>
      <c r="F5" s="16"/>
      <c r="G5" s="16"/>
      <c r="H5" s="16"/>
    </row>
    <row r="6" spans="1:11" s="18" customFormat="1" ht="8.25" customHeight="1">
      <c r="A6" s="589"/>
      <c r="B6" s="249"/>
      <c r="C6" s="44"/>
      <c r="D6" s="44"/>
      <c r="E6" s="44"/>
      <c r="F6" s="44"/>
      <c r="G6" s="44"/>
      <c r="H6" s="44"/>
    </row>
    <row r="7" spans="1:11" s="18" customFormat="1" ht="32.4">
      <c r="A7" s="544" t="s">
        <v>564</v>
      </c>
      <c r="B7" s="45" t="s">
        <v>1133</v>
      </c>
    </row>
    <row r="8" spans="1:11" s="18" customFormat="1" ht="30" customHeight="1">
      <c r="A8" s="546" t="s">
        <v>702</v>
      </c>
      <c r="B8" s="45"/>
    </row>
    <row r="9" spans="1:11" s="18" customFormat="1" ht="30" customHeight="1">
      <c r="A9" s="546" t="s">
        <v>703</v>
      </c>
      <c r="B9" s="46"/>
    </row>
    <row r="10" spans="1:11" s="18" customFormat="1" ht="30" customHeight="1">
      <c r="A10" s="547" t="s">
        <v>705</v>
      </c>
      <c r="B10" s="46"/>
      <c r="K10" s="120"/>
    </row>
    <row r="11" spans="1:11" s="18" customFormat="1" ht="38.25" customHeight="1">
      <c r="A11" s="547" t="s">
        <v>706</v>
      </c>
      <c r="B11" s="23" t="s">
        <v>1132</v>
      </c>
    </row>
    <row r="12" spans="1:11" s="18" customFormat="1" ht="26.4" customHeight="1">
      <c r="A12" s="546" t="s">
        <v>704</v>
      </c>
      <c r="B12" s="23"/>
    </row>
    <row r="13" spans="1:11" s="18" customFormat="1" ht="25.5" customHeight="1">
      <c r="A13" s="547" t="s">
        <v>705</v>
      </c>
      <c r="B13" s="23"/>
    </row>
    <row r="14" spans="1:11" s="24" customFormat="1" ht="36" customHeight="1">
      <c r="A14" s="547" t="s">
        <v>707</v>
      </c>
      <c r="B14" s="23" t="s">
        <v>212</v>
      </c>
    </row>
    <row r="15" spans="1:11" s="18" customFormat="1" ht="30" customHeight="1">
      <c r="A15" s="590" t="s">
        <v>708</v>
      </c>
      <c r="B15" s="23" t="s">
        <v>213</v>
      </c>
    </row>
    <row r="16" spans="1:11" s="22" customFormat="1" ht="30" customHeight="1">
      <c r="A16" s="590" t="s">
        <v>709</v>
      </c>
      <c r="B16" s="23" t="s">
        <v>214</v>
      </c>
    </row>
    <row r="17" spans="1:2" s="22" customFormat="1" ht="30" customHeight="1">
      <c r="A17" s="590" t="s">
        <v>710</v>
      </c>
      <c r="B17" s="23" t="s">
        <v>215</v>
      </c>
    </row>
    <row r="18" spans="1:2" s="22" customFormat="1" ht="30" customHeight="1">
      <c r="A18" s="590" t="s">
        <v>706</v>
      </c>
      <c r="B18" s="23" t="s">
        <v>216</v>
      </c>
    </row>
    <row r="19" spans="1:2" s="22" customFormat="1" ht="30" customHeight="1">
      <c r="A19" s="590" t="s">
        <v>711</v>
      </c>
      <c r="B19" s="23" t="s">
        <v>217</v>
      </c>
    </row>
    <row r="20" spans="1:2" s="22" customFormat="1" ht="24.6" customHeight="1">
      <c r="A20" s="590" t="s">
        <v>712</v>
      </c>
      <c r="B20" s="46"/>
    </row>
    <row r="21" spans="1:2" s="22" customFormat="1" ht="28.2" customHeight="1">
      <c r="A21" s="590" t="s">
        <v>713</v>
      </c>
      <c r="B21" s="23" t="s">
        <v>218</v>
      </c>
    </row>
    <row r="22" spans="1:2" s="22" customFormat="1" ht="28.2" customHeight="1">
      <c r="A22" s="590" t="s">
        <v>714</v>
      </c>
      <c r="B22" s="23" t="s">
        <v>219</v>
      </c>
    </row>
    <row r="23" spans="1:2" s="22" customFormat="1" ht="28.2" customHeight="1">
      <c r="A23" s="590" t="s">
        <v>715</v>
      </c>
      <c r="B23" s="23" t="s">
        <v>220</v>
      </c>
    </row>
    <row r="24" spans="1:2" s="22" customFormat="1" ht="27.75" customHeight="1">
      <c r="A24" s="590" t="s">
        <v>716</v>
      </c>
      <c r="B24" s="23"/>
    </row>
    <row r="25" spans="1:2" s="24" customFormat="1" ht="53.4" customHeight="1">
      <c r="A25" s="547" t="s">
        <v>717</v>
      </c>
      <c r="B25" s="23" t="s">
        <v>221</v>
      </c>
    </row>
    <row r="26" spans="1:2" s="22" customFormat="1" ht="23.25" customHeight="1">
      <c r="A26" s="590" t="s">
        <v>718</v>
      </c>
      <c r="B26" s="46"/>
    </row>
    <row r="27" spans="1:2" s="22" customFormat="1" ht="28.5" customHeight="1" thickBot="1">
      <c r="A27" s="591" t="s">
        <v>719</v>
      </c>
      <c r="B27" s="407" t="s">
        <v>222</v>
      </c>
    </row>
    <row r="28" spans="1:2" s="22" customFormat="1" ht="30" customHeight="1">
      <c r="A28" s="592" t="s">
        <v>701</v>
      </c>
      <c r="B28" s="46"/>
    </row>
    <row r="29" spans="1:2" s="22" customFormat="1" ht="30" customHeight="1">
      <c r="A29" s="547" t="s">
        <v>705</v>
      </c>
      <c r="B29" s="46"/>
    </row>
    <row r="30" spans="1:2" s="24" customFormat="1" ht="30" customHeight="1">
      <c r="A30" s="547" t="s">
        <v>706</v>
      </c>
      <c r="B30" s="23" t="s">
        <v>106</v>
      </c>
    </row>
    <row r="31" spans="1:2" s="22" customFormat="1" ht="117.75" customHeight="1">
      <c r="A31" s="590" t="s">
        <v>720</v>
      </c>
      <c r="B31" s="43" t="s">
        <v>107</v>
      </c>
    </row>
    <row r="32" spans="1:2" s="22" customFormat="1" ht="6.75" customHeight="1">
      <c r="A32" s="590"/>
      <c r="B32" s="46"/>
    </row>
    <row r="33" spans="1:2" s="18" customFormat="1" ht="30" customHeight="1">
      <c r="A33" s="546" t="s">
        <v>534</v>
      </c>
      <c r="B33" s="45"/>
    </row>
    <row r="34" spans="1:2" s="22" customFormat="1" ht="30" customHeight="1">
      <c r="A34" s="592" t="s">
        <v>700</v>
      </c>
      <c r="B34" s="46"/>
    </row>
    <row r="35" spans="1:2" s="22" customFormat="1" ht="30" customHeight="1">
      <c r="A35" s="547" t="s">
        <v>705</v>
      </c>
      <c r="B35" s="46"/>
    </row>
    <row r="36" spans="1:2" s="24" customFormat="1" ht="30" customHeight="1">
      <c r="A36" s="547" t="s">
        <v>706</v>
      </c>
      <c r="B36" s="23" t="s">
        <v>223</v>
      </c>
    </row>
    <row r="37" spans="1:2" s="24" customFormat="1" ht="30" customHeight="1">
      <c r="A37" s="547" t="s">
        <v>721</v>
      </c>
      <c r="B37" s="587"/>
    </row>
    <row r="38" spans="1:2" s="24" customFormat="1" ht="32.4" customHeight="1">
      <c r="A38" s="547" t="s">
        <v>722</v>
      </c>
      <c r="B38" s="23" t="s">
        <v>108</v>
      </c>
    </row>
    <row r="39" spans="1:2" s="24" customFormat="1" ht="30" customHeight="1">
      <c r="A39" s="547"/>
      <c r="B39" s="23"/>
    </row>
    <row r="40" spans="1:2" s="24" customFormat="1" ht="30" customHeight="1">
      <c r="A40" s="547"/>
      <c r="B40" s="23"/>
    </row>
    <row r="41" spans="1:2" s="24" customFormat="1" ht="30" customHeight="1">
      <c r="A41" s="547"/>
      <c r="B41" s="23"/>
    </row>
    <row r="42" spans="1:2" s="24" customFormat="1" ht="30" customHeight="1">
      <c r="A42" s="547"/>
      <c r="B42" s="23"/>
    </row>
    <row r="43" spans="1:2" s="24" customFormat="1" ht="12.6" customHeight="1">
      <c r="A43" s="547"/>
      <c r="B43" s="23"/>
    </row>
    <row r="44" spans="1:2" s="24" customFormat="1" ht="39" customHeight="1">
      <c r="A44" s="547"/>
      <c r="B44" s="23"/>
    </row>
    <row r="45" spans="1:2" ht="71.25" customHeight="1" thickBot="1">
      <c r="A45" s="549"/>
      <c r="B45" s="250"/>
    </row>
  </sheetData>
  <mergeCells count="4">
    <mergeCell ref="A1:B1"/>
    <mergeCell ref="A2:B2"/>
    <mergeCell ref="A3:B3"/>
    <mergeCell ref="A4:B4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27" orientation="portrait" useFirstPageNumber="1" r:id="rId1"/>
  <headerFooter alignWithMargins="0">
    <oddFooter>&amp;C&amp;"Times New Roman,標準"&amp;P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D72"/>
  <sheetViews>
    <sheetView topLeftCell="A7" workbookViewId="0">
      <selection activeCell="D15" sqref="D15"/>
    </sheetView>
  </sheetViews>
  <sheetFormatPr defaultColWidth="9" defaultRowHeight="15.6"/>
  <cols>
    <col min="1" max="2" width="19.6640625" style="2" customWidth="1"/>
    <col min="3" max="3" width="31.33203125" style="2" customWidth="1"/>
    <col min="4" max="4" width="19.44140625" style="2" customWidth="1"/>
    <col min="5" max="16384" width="9" style="2"/>
  </cols>
  <sheetData>
    <row r="1" spans="1:4" s="6" customFormat="1" ht="22.2">
      <c r="A1" s="797" t="s">
        <v>44</v>
      </c>
      <c r="B1" s="798"/>
      <c r="C1" s="798"/>
      <c r="D1" s="798"/>
    </row>
    <row r="2" spans="1:4" s="6" customFormat="1" ht="22.2">
      <c r="A2" s="797" t="s">
        <v>23</v>
      </c>
      <c r="B2" s="798"/>
      <c r="C2" s="798"/>
      <c r="D2" s="798"/>
    </row>
    <row r="3" spans="1:4" s="6" customFormat="1" ht="24.9" customHeight="1">
      <c r="A3" s="799" t="s">
        <v>15</v>
      </c>
      <c r="B3" s="799"/>
      <c r="C3" s="799"/>
      <c r="D3" s="799"/>
    </row>
    <row r="4" spans="1:4" s="6" customFormat="1" ht="24.9" customHeight="1" thickBot="1">
      <c r="A4" s="801" t="s">
        <v>93</v>
      </c>
      <c r="B4" s="802"/>
      <c r="C4" s="802"/>
      <c r="D4" s="802"/>
    </row>
    <row r="5" spans="1:4" s="57" customFormat="1" ht="30" customHeight="1">
      <c r="A5" s="103" t="s">
        <v>6</v>
      </c>
      <c r="B5" s="53" t="s">
        <v>7</v>
      </c>
      <c r="C5" s="53" t="s">
        <v>8</v>
      </c>
      <c r="D5" s="104" t="s">
        <v>3</v>
      </c>
    </row>
    <row r="6" spans="1:4" s="57" customFormat="1" ht="8.25" customHeight="1">
      <c r="A6" s="74"/>
      <c r="B6" s="75"/>
      <c r="C6" s="75"/>
      <c r="D6" s="76"/>
    </row>
    <row r="7" spans="1:4" s="10" customFormat="1" ht="27.6" customHeight="1">
      <c r="A7" s="190">
        <v>356158584</v>
      </c>
      <c r="B7" s="81">
        <f>B8+B25+B36+B44</f>
        <v>379995310</v>
      </c>
      <c r="C7" s="292" t="s">
        <v>16</v>
      </c>
      <c r="D7" s="191">
        <f>D8+D25+D36+D44</f>
        <v>414923371</v>
      </c>
    </row>
    <row r="8" spans="1:4" s="10" customFormat="1" ht="30" customHeight="1">
      <c r="A8" s="190">
        <v>323688166</v>
      </c>
      <c r="B8" s="81">
        <f>B9+B14+B19</f>
        <v>348687337</v>
      </c>
      <c r="C8" s="293" t="s">
        <v>41</v>
      </c>
      <c r="D8" s="191">
        <f>D9+D14+D19</f>
        <v>382211852</v>
      </c>
    </row>
    <row r="9" spans="1:4" s="194" customFormat="1" ht="30" customHeight="1">
      <c r="A9" s="190">
        <v>282473116</v>
      </c>
      <c r="B9" s="28">
        <f>B10</f>
        <v>318644426</v>
      </c>
      <c r="C9" s="293" t="s">
        <v>9</v>
      </c>
      <c r="D9" s="192">
        <f>D10</f>
        <v>338014904</v>
      </c>
    </row>
    <row r="10" spans="1:4" s="10" customFormat="1" ht="30" customHeight="1">
      <c r="A10" s="195">
        <v>282473116</v>
      </c>
      <c r="B10" s="32">
        <f>B11</f>
        <v>318644426</v>
      </c>
      <c r="C10" s="294" t="s">
        <v>63</v>
      </c>
      <c r="D10" s="196">
        <f>D11</f>
        <v>338014904</v>
      </c>
    </row>
    <row r="11" spans="1:4" s="10" customFormat="1" ht="30" customHeight="1">
      <c r="A11" s="195">
        <v>282473116</v>
      </c>
      <c r="B11" s="32">
        <f>SUM(B12:B13)</f>
        <v>318644426</v>
      </c>
      <c r="C11" s="294" t="s">
        <v>64</v>
      </c>
      <c r="D11" s="196">
        <f>SUM(D12:D13)</f>
        <v>338014904</v>
      </c>
    </row>
    <row r="12" spans="1:4" s="10" customFormat="1" ht="30" customHeight="1">
      <c r="A12" s="195">
        <v>275509530</v>
      </c>
      <c r="B12" s="32">
        <v>310734869</v>
      </c>
      <c r="C12" s="294" t="s">
        <v>36</v>
      </c>
      <c r="D12" s="196">
        <v>330221806</v>
      </c>
    </row>
    <row r="13" spans="1:4" s="10" customFormat="1" ht="30" customHeight="1">
      <c r="A13" s="195">
        <v>6963586</v>
      </c>
      <c r="B13" s="32">
        <v>7909557</v>
      </c>
      <c r="C13" s="294" t="s">
        <v>37</v>
      </c>
      <c r="D13" s="196">
        <v>7793098</v>
      </c>
    </row>
    <row r="14" spans="1:4" s="10" customFormat="1" ht="30" customHeight="1">
      <c r="A14" s="190">
        <v>40777574</v>
      </c>
      <c r="B14" s="28">
        <f>B15</f>
        <v>29717828</v>
      </c>
      <c r="C14" s="293" t="s">
        <v>13</v>
      </c>
      <c r="D14" s="192">
        <f>D15</f>
        <v>43837951</v>
      </c>
    </row>
    <row r="15" spans="1:4" s="10" customFormat="1" ht="30" customHeight="1">
      <c r="A15" s="195">
        <v>40777574</v>
      </c>
      <c r="B15" s="32">
        <f>B16</f>
        <v>29717828</v>
      </c>
      <c r="C15" s="294" t="s">
        <v>63</v>
      </c>
      <c r="D15" s="196">
        <f>D16</f>
        <v>43837951</v>
      </c>
    </row>
    <row r="16" spans="1:4" s="10" customFormat="1" ht="30" customHeight="1">
      <c r="A16" s="195">
        <v>40777574</v>
      </c>
      <c r="B16" s="32">
        <f>SUM(B17:B18)</f>
        <v>29717828</v>
      </c>
      <c r="C16" s="294" t="s">
        <v>65</v>
      </c>
      <c r="D16" s="196">
        <f>SUM(D17:D18)</f>
        <v>43837951</v>
      </c>
    </row>
    <row r="17" spans="1:4" s="10" customFormat="1" ht="30" customHeight="1">
      <c r="A17" s="195">
        <v>40234368</v>
      </c>
      <c r="B17" s="32">
        <f>29709828+8000</f>
        <v>29717828</v>
      </c>
      <c r="C17" s="294" t="s">
        <v>36</v>
      </c>
      <c r="D17" s="196">
        <v>43397408</v>
      </c>
    </row>
    <row r="18" spans="1:4" s="10" customFormat="1" ht="30" customHeight="1">
      <c r="A18" s="195">
        <v>543206</v>
      </c>
      <c r="B18" s="295">
        <v>0</v>
      </c>
      <c r="C18" s="294" t="s">
        <v>37</v>
      </c>
      <c r="D18" s="186">
        <v>440543</v>
      </c>
    </row>
    <row r="19" spans="1:4" s="10" customFormat="1" ht="27" customHeight="1">
      <c r="A19" s="198">
        <v>437476</v>
      </c>
      <c r="B19" s="28">
        <f>B20</f>
        <v>325083</v>
      </c>
      <c r="C19" s="293" t="s">
        <v>14</v>
      </c>
      <c r="D19" s="192">
        <f>D20</f>
        <v>358997</v>
      </c>
    </row>
    <row r="20" spans="1:4" s="10" customFormat="1" ht="30" customHeight="1">
      <c r="A20" s="199">
        <v>437476</v>
      </c>
      <c r="B20" s="32">
        <f>B21</f>
        <v>325083</v>
      </c>
      <c r="C20" s="294" t="s">
        <v>63</v>
      </c>
      <c r="D20" s="196">
        <f>D21</f>
        <v>358997</v>
      </c>
    </row>
    <row r="21" spans="1:4" s="10" customFormat="1" ht="30" customHeight="1">
      <c r="A21" s="199">
        <v>437476</v>
      </c>
      <c r="B21" s="32">
        <f>SUM(B22:B23)</f>
        <v>325083</v>
      </c>
      <c r="C21" s="294" t="s">
        <v>66</v>
      </c>
      <c r="D21" s="196">
        <f>SUM(D22:D23)</f>
        <v>358997</v>
      </c>
    </row>
    <row r="22" spans="1:4" s="10" customFormat="1" ht="27" customHeight="1">
      <c r="A22" s="195">
        <v>424747</v>
      </c>
      <c r="B22" s="32">
        <v>312828</v>
      </c>
      <c r="C22" s="294" t="s">
        <v>36</v>
      </c>
      <c r="D22" s="196">
        <v>346048</v>
      </c>
    </row>
    <row r="23" spans="1:4" s="10" customFormat="1" ht="30" customHeight="1">
      <c r="A23" s="195">
        <v>12729</v>
      </c>
      <c r="B23" s="32">
        <v>12255</v>
      </c>
      <c r="C23" s="294" t="s">
        <v>37</v>
      </c>
      <c r="D23" s="196">
        <v>12949</v>
      </c>
    </row>
    <row r="24" spans="1:4" s="10" customFormat="1" ht="13.2" customHeight="1">
      <c r="A24" s="200"/>
      <c r="B24" s="32"/>
      <c r="C24" s="294"/>
      <c r="D24" s="196"/>
    </row>
    <row r="25" spans="1:4" s="10" customFormat="1" ht="33" customHeight="1">
      <c r="A25" s="190">
        <v>24245491</v>
      </c>
      <c r="B25" s="81">
        <f>B26+B29+B32</f>
        <v>22574771</v>
      </c>
      <c r="C25" s="293" t="s">
        <v>42</v>
      </c>
      <c r="D25" s="191">
        <f>D26+D29+D32</f>
        <v>24420062</v>
      </c>
    </row>
    <row r="26" spans="1:4" s="194" customFormat="1" ht="31.8" customHeight="1">
      <c r="A26" s="190">
        <v>17322524</v>
      </c>
      <c r="B26" s="28">
        <f>B27</f>
        <v>17019396</v>
      </c>
      <c r="C26" s="293" t="s">
        <v>9</v>
      </c>
      <c r="D26" s="192">
        <f>D27</f>
        <v>18783045</v>
      </c>
    </row>
    <row r="27" spans="1:4" s="10" customFormat="1" ht="32.25" customHeight="1">
      <c r="A27" s="195">
        <v>17322524</v>
      </c>
      <c r="B27" s="32">
        <f>B28</f>
        <v>17019396</v>
      </c>
      <c r="C27" s="294" t="s">
        <v>63</v>
      </c>
      <c r="D27" s="196">
        <f>D28</f>
        <v>18783045</v>
      </c>
    </row>
    <row r="28" spans="1:4" s="10" customFormat="1" ht="25.5" customHeight="1" thickBot="1">
      <c r="A28" s="414">
        <v>17322524</v>
      </c>
      <c r="B28" s="108">
        <f>17028226-8830</f>
        <v>17019396</v>
      </c>
      <c r="C28" s="328" t="s">
        <v>64</v>
      </c>
      <c r="D28" s="329">
        <v>18783045</v>
      </c>
    </row>
    <row r="29" spans="1:4" s="10" customFormat="1" ht="30" customHeight="1">
      <c r="A29" s="190">
        <v>6892136</v>
      </c>
      <c r="B29" s="28">
        <f>B30</f>
        <v>5527262</v>
      </c>
      <c r="C29" s="293" t="s">
        <v>13</v>
      </c>
      <c r="D29" s="192">
        <f>D30</f>
        <v>5608395</v>
      </c>
    </row>
    <row r="30" spans="1:4" s="10" customFormat="1" ht="30" customHeight="1">
      <c r="A30" s="195">
        <v>6892136</v>
      </c>
      <c r="B30" s="32">
        <f>B31</f>
        <v>5527262</v>
      </c>
      <c r="C30" s="294" t="s">
        <v>63</v>
      </c>
      <c r="D30" s="196">
        <f>D31</f>
        <v>5608395</v>
      </c>
    </row>
    <row r="31" spans="1:4" s="10" customFormat="1" ht="30" customHeight="1">
      <c r="A31" s="195">
        <v>6892136</v>
      </c>
      <c r="B31" s="32">
        <f>5518432+8830</f>
        <v>5527262</v>
      </c>
      <c r="C31" s="294" t="s">
        <v>65</v>
      </c>
      <c r="D31" s="196">
        <v>5608395</v>
      </c>
    </row>
    <row r="32" spans="1:4" s="10" customFormat="1" ht="30" customHeight="1">
      <c r="A32" s="198">
        <v>30831</v>
      </c>
      <c r="B32" s="28">
        <f>B33</f>
        <v>28113</v>
      </c>
      <c r="C32" s="293" t="s">
        <v>14</v>
      </c>
      <c r="D32" s="192">
        <f>D33</f>
        <v>28622</v>
      </c>
    </row>
    <row r="33" spans="1:4" s="10" customFormat="1" ht="30" customHeight="1">
      <c r="A33" s="199">
        <v>30831</v>
      </c>
      <c r="B33" s="32">
        <f>B34</f>
        <v>28113</v>
      </c>
      <c r="C33" s="294" t="s">
        <v>63</v>
      </c>
      <c r="D33" s="196">
        <f>D34</f>
        <v>28622</v>
      </c>
    </row>
    <row r="34" spans="1:4" s="10" customFormat="1" ht="30" customHeight="1">
      <c r="A34" s="199">
        <v>30831</v>
      </c>
      <c r="B34" s="32">
        <v>28113</v>
      </c>
      <c r="C34" s="294" t="s">
        <v>66</v>
      </c>
      <c r="D34" s="196">
        <v>28622</v>
      </c>
    </row>
    <row r="35" spans="1:4" s="10" customFormat="1" ht="17.399999999999999" customHeight="1">
      <c r="A35" s="199"/>
      <c r="B35" s="32"/>
      <c r="C35" s="294"/>
      <c r="D35" s="196"/>
    </row>
    <row r="36" spans="1:4" s="10" customFormat="1" ht="30" customHeight="1">
      <c r="A36" s="190">
        <v>7695170</v>
      </c>
      <c r="B36" s="81">
        <f>B37+B40</f>
        <v>8110555</v>
      </c>
      <c r="C36" s="293" t="s">
        <v>43</v>
      </c>
      <c r="D36" s="191">
        <f>D37+D40</f>
        <v>7732548</v>
      </c>
    </row>
    <row r="37" spans="1:4" s="194" customFormat="1" ht="30" customHeight="1">
      <c r="A37" s="190">
        <v>7682105</v>
      </c>
      <c r="B37" s="28">
        <f>B38</f>
        <v>8097834</v>
      </c>
      <c r="C37" s="293" t="s">
        <v>9</v>
      </c>
      <c r="D37" s="192">
        <f>D38</f>
        <v>7718714</v>
      </c>
    </row>
    <row r="38" spans="1:4" s="10" customFormat="1" ht="30" customHeight="1">
      <c r="A38" s="199">
        <v>7682105</v>
      </c>
      <c r="B38" s="32">
        <f>B39</f>
        <v>8097834</v>
      </c>
      <c r="C38" s="294" t="s">
        <v>63</v>
      </c>
      <c r="D38" s="196">
        <f>D39</f>
        <v>7718714</v>
      </c>
    </row>
    <row r="39" spans="1:4" s="10" customFormat="1" ht="30" customHeight="1">
      <c r="A39" s="199">
        <v>7682105</v>
      </c>
      <c r="B39" s="32">
        <v>8097834</v>
      </c>
      <c r="C39" s="294" t="s">
        <v>64</v>
      </c>
      <c r="D39" s="196">
        <v>7718714</v>
      </c>
    </row>
    <row r="40" spans="1:4" s="10" customFormat="1" ht="30" customHeight="1">
      <c r="A40" s="198">
        <v>13065</v>
      </c>
      <c r="B40" s="28">
        <f>B41</f>
        <v>12721</v>
      </c>
      <c r="C40" s="293" t="s">
        <v>14</v>
      </c>
      <c r="D40" s="192">
        <f>D41</f>
        <v>13834</v>
      </c>
    </row>
    <row r="41" spans="1:4" s="10" customFormat="1" ht="30" customHeight="1">
      <c r="A41" s="199">
        <v>13065</v>
      </c>
      <c r="B41" s="32">
        <f>B42</f>
        <v>12721</v>
      </c>
      <c r="C41" s="294" t="s">
        <v>63</v>
      </c>
      <c r="D41" s="196">
        <f>D42</f>
        <v>13834</v>
      </c>
    </row>
    <row r="42" spans="1:4" s="10" customFormat="1" ht="30" customHeight="1">
      <c r="A42" s="199">
        <v>13065</v>
      </c>
      <c r="B42" s="32">
        <v>12721</v>
      </c>
      <c r="C42" s="294" t="s">
        <v>66</v>
      </c>
      <c r="D42" s="196">
        <v>13834</v>
      </c>
    </row>
    <row r="43" spans="1:4" s="10" customFormat="1" ht="18" customHeight="1">
      <c r="A43" s="199"/>
      <c r="B43" s="32"/>
      <c r="C43" s="294"/>
      <c r="D43" s="196"/>
    </row>
    <row r="44" spans="1:4" s="10" customFormat="1" ht="30" customHeight="1">
      <c r="A44" s="190">
        <v>529756</v>
      </c>
      <c r="B44" s="81">
        <f>B45+B48+B51</f>
        <v>622647</v>
      </c>
      <c r="C44" s="293" t="s">
        <v>25</v>
      </c>
      <c r="D44" s="191">
        <f>D45+D48+D51</f>
        <v>558909</v>
      </c>
    </row>
    <row r="45" spans="1:4" s="194" customFormat="1" ht="28.8" customHeight="1">
      <c r="A45" s="190">
        <v>496957</v>
      </c>
      <c r="B45" s="28">
        <f>B46</f>
        <v>621627</v>
      </c>
      <c r="C45" s="293" t="s">
        <v>84</v>
      </c>
      <c r="D45" s="192">
        <f>D46</f>
        <v>558069</v>
      </c>
    </row>
    <row r="46" spans="1:4" s="10" customFormat="1" ht="30" customHeight="1">
      <c r="A46" s="195">
        <v>496957</v>
      </c>
      <c r="B46" s="32">
        <f>B47</f>
        <v>621627</v>
      </c>
      <c r="C46" s="294" t="s">
        <v>63</v>
      </c>
      <c r="D46" s="196">
        <f>D47</f>
        <v>558069</v>
      </c>
    </row>
    <row r="47" spans="1:4" s="10" customFormat="1" ht="31.5" customHeight="1">
      <c r="A47" s="195">
        <v>496957</v>
      </c>
      <c r="B47" s="32">
        <v>621627</v>
      </c>
      <c r="C47" s="294" t="s">
        <v>64</v>
      </c>
      <c r="D47" s="196">
        <v>558069</v>
      </c>
    </row>
    <row r="48" spans="1:4" s="10" customFormat="1" ht="34.799999999999997" customHeight="1">
      <c r="A48" s="190">
        <v>32799</v>
      </c>
      <c r="B48" s="153">
        <f>B49</f>
        <v>0</v>
      </c>
      <c r="C48" s="293" t="s">
        <v>22</v>
      </c>
      <c r="D48" s="183">
        <f>D49</f>
        <v>0</v>
      </c>
    </row>
    <row r="49" spans="1:4" s="10" customFormat="1" ht="30" customHeight="1">
      <c r="A49" s="195">
        <v>32799</v>
      </c>
      <c r="B49" s="197">
        <f>B50</f>
        <v>0</v>
      </c>
      <c r="C49" s="294" t="s">
        <v>63</v>
      </c>
      <c r="D49" s="186">
        <f>D50</f>
        <v>0</v>
      </c>
    </row>
    <row r="50" spans="1:4" s="10" customFormat="1" ht="29.25" customHeight="1" thickBot="1">
      <c r="A50" s="414">
        <v>32799</v>
      </c>
      <c r="B50" s="371">
        <v>0</v>
      </c>
      <c r="C50" s="328" t="s">
        <v>65</v>
      </c>
      <c r="D50" s="189">
        <v>0</v>
      </c>
    </row>
    <row r="51" spans="1:4" s="10" customFormat="1" ht="30" customHeight="1">
      <c r="A51" s="198">
        <v>0</v>
      </c>
      <c r="B51" s="28">
        <f>B52</f>
        <v>1020</v>
      </c>
      <c r="C51" s="293" t="s">
        <v>0</v>
      </c>
      <c r="D51" s="192">
        <f>D52</f>
        <v>840</v>
      </c>
    </row>
    <row r="52" spans="1:4" s="10" customFormat="1" ht="30" customHeight="1">
      <c r="A52" s="199">
        <v>0</v>
      </c>
      <c r="B52" s="32">
        <f>B53</f>
        <v>1020</v>
      </c>
      <c r="C52" s="294" t="s">
        <v>63</v>
      </c>
      <c r="D52" s="196">
        <f>D53</f>
        <v>840</v>
      </c>
    </row>
    <row r="53" spans="1:4" s="10" customFormat="1" ht="30" customHeight="1">
      <c r="A53" s="199">
        <v>0</v>
      </c>
      <c r="B53" s="32">
        <f>SUM(B54:B55)</f>
        <v>1020</v>
      </c>
      <c r="C53" s="294" t="s">
        <v>66</v>
      </c>
      <c r="D53" s="196">
        <f>SUM(D54:D55)</f>
        <v>840</v>
      </c>
    </row>
    <row r="54" spans="1:4" s="10" customFormat="1" ht="30" customHeight="1">
      <c r="A54" s="199">
        <v>0</v>
      </c>
      <c r="B54" s="295">
        <v>0</v>
      </c>
      <c r="C54" s="294" t="s">
        <v>38</v>
      </c>
      <c r="D54" s="186">
        <v>0</v>
      </c>
    </row>
    <row r="55" spans="1:4" s="10" customFormat="1" ht="30" customHeight="1">
      <c r="A55" s="199">
        <v>0</v>
      </c>
      <c r="B55" s="32">
        <v>1020</v>
      </c>
      <c r="C55" s="294" t="s">
        <v>39</v>
      </c>
      <c r="D55" s="196">
        <v>840</v>
      </c>
    </row>
    <row r="56" spans="1:4" s="10" customFormat="1" ht="30" customHeight="1">
      <c r="A56" s="195"/>
      <c r="B56" s="32"/>
      <c r="C56" s="294"/>
      <c r="D56" s="196"/>
    </row>
    <row r="57" spans="1:4" s="10" customFormat="1" ht="30" customHeight="1">
      <c r="A57" s="195"/>
      <c r="B57" s="32"/>
      <c r="C57" s="294"/>
      <c r="D57" s="196"/>
    </row>
    <row r="58" spans="1:4" s="10" customFormat="1" ht="30" customHeight="1">
      <c r="A58" s="195"/>
      <c r="B58" s="32"/>
      <c r="C58" s="294"/>
      <c r="D58" s="196"/>
    </row>
    <row r="59" spans="1:4" s="10" customFormat="1" ht="30" customHeight="1">
      <c r="A59" s="195"/>
      <c r="B59" s="32"/>
      <c r="C59" s="294"/>
      <c r="D59" s="196"/>
    </row>
    <row r="60" spans="1:4" s="10" customFormat="1" ht="30" customHeight="1">
      <c r="A60" s="195"/>
      <c r="B60" s="32"/>
      <c r="C60" s="294"/>
      <c r="D60" s="196"/>
    </row>
    <row r="61" spans="1:4" s="10" customFormat="1" ht="30" customHeight="1">
      <c r="A61" s="195"/>
      <c r="B61" s="32"/>
      <c r="C61" s="294"/>
      <c r="D61" s="196"/>
    </row>
    <row r="62" spans="1:4" s="10" customFormat="1" ht="30" customHeight="1">
      <c r="A62" s="195"/>
      <c r="B62" s="32"/>
      <c r="C62" s="294"/>
      <c r="D62" s="196"/>
    </row>
    <row r="63" spans="1:4" s="10" customFormat="1" ht="30" customHeight="1">
      <c r="A63" s="195"/>
      <c r="B63" s="32"/>
      <c r="C63" s="294"/>
      <c r="D63" s="196"/>
    </row>
    <row r="64" spans="1:4" s="10" customFormat="1" ht="30" customHeight="1">
      <c r="A64" s="195"/>
      <c r="B64" s="32"/>
      <c r="C64" s="294"/>
      <c r="D64" s="196"/>
    </row>
    <row r="65" spans="1:4" s="10" customFormat="1" ht="30" customHeight="1">
      <c r="A65" s="195"/>
      <c r="B65" s="32"/>
      <c r="C65" s="294"/>
      <c r="D65" s="196"/>
    </row>
    <row r="66" spans="1:4" s="10" customFormat="1" ht="30" customHeight="1">
      <c r="A66" s="195"/>
      <c r="B66" s="32"/>
      <c r="C66" s="294"/>
      <c r="D66" s="196"/>
    </row>
    <row r="67" spans="1:4" s="10" customFormat="1" ht="30" customHeight="1">
      <c r="A67" s="195"/>
      <c r="B67" s="32"/>
      <c r="C67" s="294"/>
      <c r="D67" s="196"/>
    </row>
    <row r="68" spans="1:4" s="10" customFormat="1" ht="34.200000000000003" customHeight="1">
      <c r="A68" s="195"/>
      <c r="B68" s="32"/>
      <c r="C68" s="294"/>
      <c r="D68" s="196"/>
    </row>
    <row r="69" spans="1:4" s="10" customFormat="1" ht="34.5" customHeight="1">
      <c r="A69" s="195"/>
      <c r="B69" s="32"/>
      <c r="C69" s="294"/>
      <c r="D69" s="196"/>
    </row>
    <row r="70" spans="1:4" s="10" customFormat="1" ht="9.6" customHeight="1">
      <c r="A70" s="195"/>
      <c r="B70" s="32"/>
      <c r="C70" s="294"/>
      <c r="D70" s="196"/>
    </row>
    <row r="71" spans="1:4" s="10" customFormat="1" ht="21" customHeight="1">
      <c r="A71" s="195"/>
      <c r="B71" s="32"/>
      <c r="C71" s="294"/>
      <c r="D71" s="196"/>
    </row>
    <row r="72" spans="1:4" ht="29.25" customHeight="1" thickBot="1">
      <c r="A72" s="106"/>
      <c r="B72" s="107"/>
      <c r="C72" s="380"/>
      <c r="D72" s="7"/>
    </row>
  </sheetData>
  <mergeCells count="4">
    <mergeCell ref="A4:D4"/>
    <mergeCell ref="A3:D3"/>
    <mergeCell ref="A2:D2"/>
    <mergeCell ref="A1:D1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29" orientation="portrait" useFirstPageNumber="1" r:id="rId1"/>
  <headerFooter alignWithMargins="0">
    <oddFooter>&amp;C&amp;"Times New Roman,標準"&amp;P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62"/>
  <sheetViews>
    <sheetView topLeftCell="A32" zoomScaleSheetLayoutView="100" workbookViewId="0">
      <selection activeCell="F3" sqref="F3"/>
    </sheetView>
  </sheetViews>
  <sheetFormatPr defaultColWidth="9" defaultRowHeight="15.6"/>
  <cols>
    <col min="1" max="1" width="29.33203125" style="279" bestFit="1" customWidth="1"/>
    <col min="2" max="2" width="2.109375" style="279" customWidth="1"/>
    <col min="3" max="3" width="58.6640625" style="279" customWidth="1"/>
    <col min="4" max="16384" width="9" style="279"/>
  </cols>
  <sheetData>
    <row r="1" spans="1:3" ht="22.2">
      <c r="A1" s="875" t="s">
        <v>109</v>
      </c>
      <c r="B1" s="875"/>
      <c r="C1" s="875"/>
    </row>
    <row r="2" spans="1:3" ht="22.2">
      <c r="A2" s="875" t="s">
        <v>110</v>
      </c>
      <c r="B2" s="875"/>
      <c r="C2" s="875"/>
    </row>
    <row r="3" spans="1:3" ht="24.75" customHeight="1">
      <c r="A3" s="876" t="s">
        <v>631</v>
      </c>
      <c r="B3" s="876"/>
      <c r="C3" s="876"/>
    </row>
    <row r="4" spans="1:3" ht="24.75" customHeight="1" thickBot="1">
      <c r="A4" s="874" t="s">
        <v>94</v>
      </c>
      <c r="B4" s="874"/>
      <c r="C4" s="874"/>
    </row>
    <row r="5" spans="1:3" s="280" customFormat="1" ht="30" customHeight="1">
      <c r="A5" s="470" t="s">
        <v>210</v>
      </c>
      <c r="B5" s="884" t="s">
        <v>211</v>
      </c>
      <c r="C5" s="885"/>
    </row>
    <row r="6" spans="1:3" s="280" customFormat="1" ht="8.25" customHeight="1">
      <c r="A6" s="51"/>
      <c r="B6" s="282"/>
      <c r="C6" s="52"/>
    </row>
    <row r="7" spans="1:3" s="44" customFormat="1" ht="37.5" customHeight="1">
      <c r="A7" s="27" t="s">
        <v>16</v>
      </c>
      <c r="B7" s="879" t="s">
        <v>1139</v>
      </c>
      <c r="C7" s="880"/>
    </row>
    <row r="8" spans="1:3" s="44" customFormat="1" ht="26.4" customHeight="1">
      <c r="A8" s="144" t="s">
        <v>41</v>
      </c>
      <c r="B8" s="283"/>
      <c r="C8" s="49"/>
    </row>
    <row r="9" spans="1:3" s="44" customFormat="1" ht="22.5" customHeight="1">
      <c r="A9" s="144" t="s">
        <v>9</v>
      </c>
      <c r="B9" s="283"/>
      <c r="C9" s="49"/>
    </row>
    <row r="10" spans="1:3" s="44" customFormat="1" ht="26.4" customHeight="1">
      <c r="A10" s="149" t="s">
        <v>63</v>
      </c>
      <c r="B10" s="283"/>
      <c r="C10" s="49"/>
    </row>
    <row r="11" spans="1:3" s="44" customFormat="1" ht="35.25" customHeight="1">
      <c r="A11" s="149" t="s">
        <v>64</v>
      </c>
      <c r="B11" s="883" t="s">
        <v>632</v>
      </c>
      <c r="C11" s="880"/>
    </row>
    <row r="12" spans="1:3" s="44" customFormat="1" ht="32.4">
      <c r="A12" s="109"/>
      <c r="B12" s="284" t="s">
        <v>4</v>
      </c>
      <c r="C12" s="565" t="s">
        <v>633</v>
      </c>
    </row>
    <row r="13" spans="1:3" s="44" customFormat="1" ht="32.4">
      <c r="A13" s="109"/>
      <c r="B13" s="284" t="s">
        <v>5</v>
      </c>
      <c r="C13" s="565" t="s">
        <v>634</v>
      </c>
    </row>
    <row r="14" spans="1:3" s="44" customFormat="1" ht="26.4" customHeight="1">
      <c r="A14" s="144" t="s">
        <v>13</v>
      </c>
      <c r="B14" s="284"/>
      <c r="C14" s="336"/>
    </row>
    <row r="15" spans="1:3" s="44" customFormat="1" ht="26.4" customHeight="1">
      <c r="A15" s="149" t="s">
        <v>63</v>
      </c>
      <c r="B15" s="284"/>
      <c r="C15" s="336"/>
    </row>
    <row r="16" spans="1:3" s="44" customFormat="1" ht="36.75" customHeight="1">
      <c r="A16" s="149" t="s">
        <v>65</v>
      </c>
      <c r="B16" s="881" t="s">
        <v>1135</v>
      </c>
      <c r="C16" s="882"/>
    </row>
    <row r="17" spans="1:3" s="44" customFormat="1" ht="26.4" customHeight="1">
      <c r="A17" s="144" t="s">
        <v>0</v>
      </c>
      <c r="B17" s="472"/>
      <c r="C17" s="569"/>
    </row>
    <row r="18" spans="1:3" s="44" customFormat="1" ht="26.4" customHeight="1">
      <c r="A18" s="149" t="s">
        <v>63</v>
      </c>
      <c r="B18" s="472"/>
      <c r="C18" s="569"/>
    </row>
    <row r="19" spans="1:3" s="281" customFormat="1" ht="33" customHeight="1">
      <c r="A19" s="149" t="s">
        <v>66</v>
      </c>
      <c r="B19" s="877" t="s">
        <v>635</v>
      </c>
      <c r="C19" s="878"/>
    </row>
    <row r="20" spans="1:3" s="281" customFormat="1" ht="7.2" customHeight="1">
      <c r="A20" s="48"/>
      <c r="B20" s="285"/>
      <c r="C20" s="565"/>
    </row>
    <row r="21" spans="1:3" s="44" customFormat="1" ht="26.4" customHeight="1">
      <c r="A21" s="144" t="s">
        <v>42</v>
      </c>
      <c r="B21" s="283"/>
      <c r="C21" s="49"/>
    </row>
    <row r="22" spans="1:3" s="44" customFormat="1" ht="22.2" customHeight="1">
      <c r="A22" s="144" t="s">
        <v>9</v>
      </c>
      <c r="B22" s="283"/>
      <c r="C22" s="49"/>
    </row>
    <row r="23" spans="1:3" s="44" customFormat="1" ht="26.4" customHeight="1">
      <c r="A23" s="149" t="s">
        <v>63</v>
      </c>
      <c r="B23" s="283"/>
      <c r="C23" s="49"/>
    </row>
    <row r="24" spans="1:3" s="44" customFormat="1" ht="69.75" customHeight="1">
      <c r="A24" s="149" t="s">
        <v>64</v>
      </c>
      <c r="B24" s="883" t="s">
        <v>636</v>
      </c>
      <c r="C24" s="880"/>
    </row>
    <row r="25" spans="1:3" s="44" customFormat="1" ht="24" customHeight="1">
      <c r="A25" s="144" t="s">
        <v>13</v>
      </c>
      <c r="B25" s="383"/>
      <c r="C25" s="564"/>
    </row>
    <row r="26" spans="1:3" s="44" customFormat="1" ht="31.2" customHeight="1">
      <c r="A26" s="149" t="s">
        <v>63</v>
      </c>
      <c r="B26" s="383"/>
      <c r="C26" s="564"/>
    </row>
    <row r="27" spans="1:3" s="44" customFormat="1" ht="43.8" customHeight="1" thickBot="1">
      <c r="A27" s="594" t="s">
        <v>65</v>
      </c>
      <c r="B27" s="886" t="s">
        <v>833</v>
      </c>
      <c r="C27" s="887"/>
    </row>
    <row r="28" spans="1:3" s="44" customFormat="1" ht="23.4" customHeight="1">
      <c r="A28" s="144" t="s">
        <v>0</v>
      </c>
      <c r="B28" s="472"/>
      <c r="C28" s="569"/>
    </row>
    <row r="29" spans="1:3" s="44" customFormat="1" ht="26.4" customHeight="1">
      <c r="A29" s="149" t="s">
        <v>63</v>
      </c>
      <c r="B29" s="472"/>
      <c r="C29" s="569"/>
    </row>
    <row r="30" spans="1:3" s="281" customFormat="1" ht="33" customHeight="1">
      <c r="A30" s="149" t="s">
        <v>66</v>
      </c>
      <c r="B30" s="877" t="s">
        <v>637</v>
      </c>
      <c r="C30" s="878"/>
    </row>
    <row r="31" spans="1:3" s="281" customFormat="1" ht="14.4" customHeight="1">
      <c r="A31" s="48"/>
      <c r="B31" s="285"/>
      <c r="C31" s="565"/>
    </row>
    <row r="32" spans="1:3" s="44" customFormat="1" ht="26.4" customHeight="1">
      <c r="A32" s="144" t="s">
        <v>43</v>
      </c>
      <c r="B32" s="283"/>
      <c r="C32" s="49"/>
    </row>
    <row r="33" spans="1:3" s="44" customFormat="1" ht="26.4" customHeight="1">
      <c r="A33" s="144" t="s">
        <v>9</v>
      </c>
      <c r="B33" s="283"/>
      <c r="C33" s="49"/>
    </row>
    <row r="34" spans="1:3" s="44" customFormat="1" ht="26.4" customHeight="1">
      <c r="A34" s="149" t="s">
        <v>63</v>
      </c>
      <c r="B34" s="283"/>
      <c r="C34" s="49"/>
    </row>
    <row r="35" spans="1:3" s="44" customFormat="1" ht="33" customHeight="1">
      <c r="A35" s="149" t="s">
        <v>64</v>
      </c>
      <c r="B35" s="883" t="s">
        <v>638</v>
      </c>
      <c r="C35" s="880"/>
    </row>
    <row r="36" spans="1:3" s="417" customFormat="1" ht="39" customHeight="1">
      <c r="A36" s="595"/>
      <c r="B36" s="385" t="s">
        <v>4</v>
      </c>
      <c r="C36" s="564" t="s">
        <v>639</v>
      </c>
    </row>
    <row r="37" spans="1:3" s="417" customFormat="1" ht="19.5" customHeight="1">
      <c r="A37" s="595"/>
      <c r="B37" s="385" t="s">
        <v>5</v>
      </c>
      <c r="C37" s="564" t="s">
        <v>640</v>
      </c>
    </row>
    <row r="38" spans="1:3" s="44" customFormat="1" ht="26.4" customHeight="1">
      <c r="A38" s="144" t="s">
        <v>0</v>
      </c>
      <c r="B38" s="284"/>
      <c r="C38" s="336"/>
    </row>
    <row r="39" spans="1:3" s="44" customFormat="1" ht="26.4" customHeight="1">
      <c r="A39" s="149" t="s">
        <v>63</v>
      </c>
      <c r="B39" s="284"/>
      <c r="C39" s="336"/>
    </row>
    <row r="40" spans="1:3" s="281" customFormat="1" ht="35.25" customHeight="1">
      <c r="A40" s="149" t="s">
        <v>66</v>
      </c>
      <c r="B40" s="877" t="s">
        <v>641</v>
      </c>
      <c r="C40" s="878"/>
    </row>
    <row r="41" spans="1:3" s="281" customFormat="1" ht="13.2" customHeight="1">
      <c r="A41" s="596"/>
      <c r="B41" s="383"/>
      <c r="C41" s="564"/>
    </row>
    <row r="42" spans="1:3" s="44" customFormat="1" ht="21" customHeight="1">
      <c r="A42" s="144" t="s">
        <v>25</v>
      </c>
      <c r="B42" s="879" t="s">
        <v>197</v>
      </c>
      <c r="C42" s="880"/>
    </row>
    <row r="43" spans="1:3" s="44" customFormat="1" ht="21" customHeight="1">
      <c r="A43" s="144" t="s">
        <v>9</v>
      </c>
      <c r="B43" s="193"/>
      <c r="C43" s="384"/>
    </row>
    <row r="44" spans="1:3" s="44" customFormat="1" ht="26.4" customHeight="1">
      <c r="A44" s="149" t="s">
        <v>63</v>
      </c>
      <c r="B44" s="193"/>
      <c r="C44" s="384"/>
    </row>
    <row r="45" spans="1:3" s="417" customFormat="1" ht="27" customHeight="1">
      <c r="A45" s="149" t="s">
        <v>64</v>
      </c>
      <c r="B45" s="879" t="s">
        <v>1134</v>
      </c>
      <c r="C45" s="880"/>
    </row>
    <row r="46" spans="1:3" s="417" customFormat="1" ht="37.5" customHeight="1">
      <c r="A46" s="149"/>
      <c r="B46" s="385" t="s">
        <v>4</v>
      </c>
      <c r="C46" s="564" t="s">
        <v>642</v>
      </c>
    </row>
    <row r="47" spans="1:3" s="417" customFormat="1" ht="54" customHeight="1">
      <c r="A47" s="149"/>
      <c r="B47" s="385" t="s">
        <v>5</v>
      </c>
      <c r="C47" s="564" t="s">
        <v>1137</v>
      </c>
    </row>
    <row r="48" spans="1:3" s="44" customFormat="1" ht="30" hidden="1" customHeight="1">
      <c r="A48" s="144" t="s">
        <v>13</v>
      </c>
      <c r="B48" s="385"/>
      <c r="C48" s="386"/>
    </row>
    <row r="49" spans="1:3" s="44" customFormat="1" ht="30" hidden="1" customHeight="1">
      <c r="A49" s="149" t="s">
        <v>63</v>
      </c>
      <c r="B49" s="385"/>
      <c r="C49" s="386"/>
    </row>
    <row r="50" spans="1:3" s="44" customFormat="1" ht="33" hidden="1" customHeight="1">
      <c r="A50" s="149" t="s">
        <v>65</v>
      </c>
      <c r="B50" s="881" t="s">
        <v>643</v>
      </c>
      <c r="C50" s="882"/>
    </row>
    <row r="51" spans="1:3" s="44" customFormat="1" ht="22.5" customHeight="1">
      <c r="A51" s="144" t="s">
        <v>0</v>
      </c>
      <c r="B51" s="570"/>
      <c r="C51" s="405"/>
    </row>
    <row r="52" spans="1:3" s="44" customFormat="1" ht="20.399999999999999" customHeight="1">
      <c r="A52" s="149" t="s">
        <v>63</v>
      </c>
      <c r="B52" s="570"/>
      <c r="C52" s="405"/>
    </row>
    <row r="53" spans="1:3" s="281" customFormat="1" ht="28.2" customHeight="1">
      <c r="A53" s="149" t="s">
        <v>66</v>
      </c>
      <c r="B53" s="883" t="s">
        <v>644</v>
      </c>
      <c r="C53" s="880"/>
    </row>
    <row r="54" spans="1:3" s="281" customFormat="1" ht="11.25" customHeight="1" thickBot="1">
      <c r="A54" s="594"/>
      <c r="B54" s="571"/>
      <c r="C54" s="572"/>
    </row>
    <row r="55" spans="1:3" s="281" customFormat="1" ht="39" customHeight="1">
      <c r="A55" s="383"/>
      <c r="B55" s="285"/>
      <c r="C55" s="285"/>
    </row>
    <row r="56" spans="1:3" s="281" customFormat="1" ht="30" customHeight="1">
      <c r="A56" s="286"/>
      <c r="B56" s="285"/>
      <c r="C56" s="285"/>
    </row>
    <row r="57" spans="1:3" s="281" customFormat="1" ht="30" customHeight="1">
      <c r="A57" s="286"/>
      <c r="B57" s="285"/>
      <c r="C57" s="285"/>
    </row>
    <row r="58" spans="1:3" s="281" customFormat="1" ht="30" customHeight="1">
      <c r="A58" s="286"/>
      <c r="B58" s="285"/>
      <c r="C58" s="285"/>
    </row>
    <row r="59" spans="1:3" s="281" customFormat="1" ht="30" customHeight="1">
      <c r="A59" s="286"/>
      <c r="B59" s="285"/>
      <c r="C59" s="285"/>
    </row>
    <row r="60" spans="1:3" s="281" customFormat="1" ht="30" customHeight="1">
      <c r="A60" s="286"/>
      <c r="B60" s="285"/>
      <c r="C60" s="285"/>
    </row>
    <row r="61" spans="1:3" s="281" customFormat="1" ht="30" customHeight="1">
      <c r="A61" s="286"/>
      <c r="B61" s="285"/>
      <c r="C61" s="285"/>
    </row>
    <row r="62" spans="1:3" s="281" customFormat="1" ht="30" customHeight="1">
      <c r="A62" s="286"/>
      <c r="B62" s="285"/>
      <c r="C62" s="285"/>
    </row>
  </sheetData>
  <mergeCells count="18">
    <mergeCell ref="B42:C42"/>
    <mergeCell ref="B45:C45"/>
    <mergeCell ref="B50:C50"/>
    <mergeCell ref="B53:C53"/>
    <mergeCell ref="B5:C5"/>
    <mergeCell ref="B11:C11"/>
    <mergeCell ref="B16:C16"/>
    <mergeCell ref="B7:C7"/>
    <mergeCell ref="B40:C40"/>
    <mergeCell ref="B24:C24"/>
    <mergeCell ref="B27:C27"/>
    <mergeCell ref="B30:C30"/>
    <mergeCell ref="B35:C35"/>
    <mergeCell ref="A1:C1"/>
    <mergeCell ref="A2:C2"/>
    <mergeCell ref="A3:C3"/>
    <mergeCell ref="A4:C4"/>
    <mergeCell ref="B19:C19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32" orientation="portrait" useFirstPageNumber="1" r:id="rId1"/>
  <headerFooter alignWithMargins="0">
    <oddFooter>&amp;C&amp;"Times New Roman,標準"&amp;P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29"/>
  <sheetViews>
    <sheetView topLeftCell="A36" workbookViewId="0">
      <selection activeCell="C21" sqref="C21"/>
    </sheetView>
  </sheetViews>
  <sheetFormatPr defaultColWidth="9" defaultRowHeight="15.6"/>
  <cols>
    <col min="1" max="2" width="18.88671875" style="2" customWidth="1"/>
    <col min="3" max="3" width="32.6640625" style="2" customWidth="1"/>
    <col min="4" max="4" width="19.77734375" style="2" customWidth="1"/>
    <col min="5" max="16384" width="9" style="2"/>
  </cols>
  <sheetData>
    <row r="1" spans="1:4" s="6" customFormat="1" ht="22.2">
      <c r="A1" s="798" t="s">
        <v>109</v>
      </c>
      <c r="B1" s="798"/>
      <c r="C1" s="798"/>
      <c r="D1" s="798"/>
    </row>
    <row r="2" spans="1:4" s="6" customFormat="1" ht="22.2">
      <c r="A2" s="798" t="s">
        <v>110</v>
      </c>
      <c r="B2" s="798"/>
      <c r="C2" s="798"/>
      <c r="D2" s="798"/>
    </row>
    <row r="3" spans="1:4" s="6" customFormat="1" ht="24.9" customHeight="1">
      <c r="A3" s="800" t="s">
        <v>229</v>
      </c>
      <c r="B3" s="800"/>
      <c r="C3" s="800"/>
      <c r="D3" s="800"/>
    </row>
    <row r="4" spans="1:4" s="6" customFormat="1" ht="24.9" customHeight="1" thickBot="1">
      <c r="A4" s="802" t="s">
        <v>207</v>
      </c>
      <c r="B4" s="802"/>
      <c r="C4" s="802"/>
      <c r="D4" s="802"/>
    </row>
    <row r="5" spans="1:4" s="57" customFormat="1" ht="30" customHeight="1">
      <c r="A5" s="474" t="s">
        <v>208</v>
      </c>
      <c r="B5" s="475" t="s">
        <v>164</v>
      </c>
      <c r="C5" s="53" t="s">
        <v>8</v>
      </c>
      <c r="D5" s="476" t="s">
        <v>165</v>
      </c>
    </row>
    <row r="6" spans="1:4" s="57" customFormat="1" ht="8.25" customHeight="1">
      <c r="A6" s="8"/>
      <c r="B6" s="447"/>
      <c r="C6" s="75"/>
      <c r="D6" s="477"/>
    </row>
    <row r="7" spans="1:4" s="10" customFormat="1" ht="30" customHeight="1">
      <c r="A7" s="190">
        <v>2003440</v>
      </c>
      <c r="B7" s="81">
        <f>B8+B13+B18</f>
        <v>3170740</v>
      </c>
      <c r="C7" s="292" t="s">
        <v>579</v>
      </c>
      <c r="D7" s="191">
        <f>D8+D13+D18</f>
        <v>2510334</v>
      </c>
    </row>
    <row r="8" spans="1:4" s="10" customFormat="1" ht="30" customHeight="1">
      <c r="A8" s="190">
        <v>1930743</v>
      </c>
      <c r="B8" s="81">
        <f t="shared" ref="B8:B10" si="0">B9</f>
        <v>3041979</v>
      </c>
      <c r="C8" s="293" t="s">
        <v>534</v>
      </c>
      <c r="D8" s="191">
        <f>D9</f>
        <v>2388599</v>
      </c>
    </row>
    <row r="9" spans="1:4" s="194" customFormat="1" ht="30" customHeight="1">
      <c r="A9" s="190">
        <v>1930743</v>
      </c>
      <c r="B9" s="28">
        <f t="shared" si="0"/>
        <v>3041979</v>
      </c>
      <c r="C9" s="293" t="s">
        <v>580</v>
      </c>
      <c r="D9" s="192">
        <f>D10</f>
        <v>2388599</v>
      </c>
    </row>
    <row r="10" spans="1:4" s="10" customFormat="1" ht="30" customHeight="1">
      <c r="A10" s="199">
        <v>1930743</v>
      </c>
      <c r="B10" s="32">
        <f t="shared" si="0"/>
        <v>3041979</v>
      </c>
      <c r="C10" s="294" t="s">
        <v>584</v>
      </c>
      <c r="D10" s="196">
        <f>D11</f>
        <v>2388599</v>
      </c>
    </row>
    <row r="11" spans="1:4" s="10" customFormat="1" ht="30" customHeight="1">
      <c r="A11" s="199">
        <v>1930743</v>
      </c>
      <c r="B11" s="32">
        <v>3041979</v>
      </c>
      <c r="C11" s="294" t="s">
        <v>582</v>
      </c>
      <c r="D11" s="196">
        <v>2388599</v>
      </c>
    </row>
    <row r="12" spans="1:4" s="10" customFormat="1" ht="30" customHeight="1">
      <c r="A12" s="200"/>
      <c r="B12" s="32"/>
      <c r="C12" s="294"/>
      <c r="D12" s="196"/>
    </row>
    <row r="13" spans="1:4" s="10" customFormat="1" ht="30" customHeight="1">
      <c r="A13" s="190">
        <v>30405</v>
      </c>
      <c r="B13" s="81">
        <f t="shared" ref="B13:B15" si="1">B14</f>
        <v>75004</v>
      </c>
      <c r="C13" s="293" t="s">
        <v>537</v>
      </c>
      <c r="D13" s="191">
        <f>D14</f>
        <v>74795</v>
      </c>
    </row>
    <row r="14" spans="1:4" s="194" customFormat="1" ht="30" customHeight="1">
      <c r="A14" s="190">
        <v>30405</v>
      </c>
      <c r="B14" s="28">
        <f t="shared" si="1"/>
        <v>75004</v>
      </c>
      <c r="C14" s="293" t="s">
        <v>580</v>
      </c>
      <c r="D14" s="192">
        <f>D15</f>
        <v>74795</v>
      </c>
    </row>
    <row r="15" spans="1:4" s="10" customFormat="1" ht="30" customHeight="1">
      <c r="A15" s="195">
        <v>30405</v>
      </c>
      <c r="B15" s="32">
        <f t="shared" si="1"/>
        <v>75004</v>
      </c>
      <c r="C15" s="294" t="s">
        <v>583</v>
      </c>
      <c r="D15" s="196">
        <f>D16</f>
        <v>74795</v>
      </c>
    </row>
    <row r="16" spans="1:4" s="10" customFormat="1" ht="30" customHeight="1">
      <c r="A16" s="195">
        <v>30405</v>
      </c>
      <c r="B16" s="32">
        <v>75004</v>
      </c>
      <c r="C16" s="294" t="s">
        <v>585</v>
      </c>
      <c r="D16" s="196">
        <v>74795</v>
      </c>
    </row>
    <row r="17" spans="1:4" s="10" customFormat="1" ht="30" customHeight="1">
      <c r="A17" s="200"/>
      <c r="B17" s="32"/>
      <c r="C17" s="294"/>
      <c r="D17" s="196"/>
    </row>
    <row r="18" spans="1:4" s="10" customFormat="1" ht="30" customHeight="1">
      <c r="A18" s="190">
        <v>42293</v>
      </c>
      <c r="B18" s="81">
        <f>B19</f>
        <v>53757</v>
      </c>
      <c r="C18" s="293" t="s">
        <v>538</v>
      </c>
      <c r="D18" s="191">
        <f>D19</f>
        <v>46940</v>
      </c>
    </row>
    <row r="19" spans="1:4" s="194" customFormat="1" ht="30" customHeight="1">
      <c r="A19" s="190">
        <v>42293</v>
      </c>
      <c r="B19" s="28">
        <f>B20+B22</f>
        <v>53757</v>
      </c>
      <c r="C19" s="293" t="s">
        <v>581</v>
      </c>
      <c r="D19" s="192">
        <f>D20+D22</f>
        <v>46940</v>
      </c>
    </row>
    <row r="20" spans="1:4" s="22" customFormat="1" ht="30" customHeight="1">
      <c r="A20" s="184">
        <v>42293</v>
      </c>
      <c r="B20" s="295">
        <f>B21</f>
        <v>53757</v>
      </c>
      <c r="C20" s="294" t="s">
        <v>645</v>
      </c>
      <c r="D20" s="186">
        <f>D21</f>
        <v>46940</v>
      </c>
    </row>
    <row r="21" spans="1:4" s="10" customFormat="1" ht="30" customHeight="1">
      <c r="A21" s="199">
        <v>42293</v>
      </c>
      <c r="B21" s="32">
        <v>53757</v>
      </c>
      <c r="C21" s="294" t="s">
        <v>723</v>
      </c>
      <c r="D21" s="196">
        <v>46940</v>
      </c>
    </row>
    <row r="22" spans="1:4" s="22" customFormat="1" ht="30" hidden="1" customHeight="1">
      <c r="A22" s="184">
        <v>0</v>
      </c>
      <c r="B22" s="295">
        <f>B23</f>
        <v>0</v>
      </c>
      <c r="C22" s="294" t="s">
        <v>577</v>
      </c>
      <c r="D22" s="186">
        <f>D23</f>
        <v>0</v>
      </c>
    </row>
    <row r="23" spans="1:4" s="10" customFormat="1" ht="30" hidden="1" customHeight="1">
      <c r="A23" s="199">
        <v>0</v>
      </c>
      <c r="B23" s="295">
        <v>0</v>
      </c>
      <c r="C23" s="294" t="s">
        <v>578</v>
      </c>
      <c r="D23" s="186">
        <v>0</v>
      </c>
    </row>
    <row r="24" spans="1:4" s="10" customFormat="1" ht="30" customHeight="1">
      <c r="A24" s="195"/>
      <c r="B24" s="32"/>
      <c r="C24" s="294"/>
      <c r="D24" s="196"/>
    </row>
    <row r="25" spans="1:4" s="10" customFormat="1" ht="16.2" customHeight="1">
      <c r="A25" s="199"/>
      <c r="B25" s="197"/>
      <c r="C25" s="294"/>
      <c r="D25" s="228"/>
    </row>
    <row r="26" spans="1:4" s="10" customFormat="1" ht="19.2" customHeight="1">
      <c r="A26" s="195"/>
      <c r="B26" s="32"/>
      <c r="C26" s="294"/>
      <c r="D26" s="196"/>
    </row>
    <row r="27" spans="1:4" s="10" customFormat="1" ht="36" customHeight="1">
      <c r="A27" s="199"/>
      <c r="B27" s="197"/>
      <c r="C27" s="294"/>
      <c r="D27" s="228"/>
    </row>
    <row r="28" spans="1:4" s="10" customFormat="1" ht="30" customHeight="1">
      <c r="A28" s="199"/>
      <c r="B28" s="197"/>
      <c r="C28" s="557"/>
      <c r="D28" s="228"/>
    </row>
    <row r="29" spans="1:4" ht="56.25" customHeight="1" thickBot="1">
      <c r="A29" s="201"/>
      <c r="B29" s="202"/>
      <c r="C29" s="558"/>
      <c r="D29" s="246"/>
    </row>
  </sheetData>
  <mergeCells count="4">
    <mergeCell ref="A4:D4"/>
    <mergeCell ref="A3:D3"/>
    <mergeCell ref="A2:D2"/>
    <mergeCell ref="A1:D1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34" orientation="portrait" useFirstPageNumber="1" r:id="rId1"/>
  <headerFooter alignWithMargins="0">
    <oddFooter>&amp;C&amp;"Times New Roman,標準"&amp;P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topLeftCell="A25" zoomScaleSheetLayoutView="100" workbookViewId="0">
      <selection activeCell="A22" sqref="A22"/>
    </sheetView>
  </sheetViews>
  <sheetFormatPr defaultColWidth="9" defaultRowHeight="15.6"/>
  <cols>
    <col min="1" max="1" width="31" style="13" customWidth="1"/>
    <col min="2" max="2" width="59.21875" style="13" customWidth="1"/>
    <col min="3" max="16384" width="9" style="13"/>
  </cols>
  <sheetData>
    <row r="1" spans="1:3" ht="22.2">
      <c r="A1" s="798" t="s">
        <v>109</v>
      </c>
      <c r="B1" s="798"/>
    </row>
    <row r="2" spans="1:3" ht="22.2">
      <c r="A2" s="798" t="s">
        <v>110</v>
      </c>
      <c r="B2" s="798"/>
    </row>
    <row r="3" spans="1:3" ht="24.75" customHeight="1">
      <c r="A3" s="817" t="s">
        <v>224</v>
      </c>
      <c r="B3" s="817"/>
    </row>
    <row r="4" spans="1:3" ht="24.9" customHeight="1" thickBot="1">
      <c r="A4" s="874" t="s">
        <v>94</v>
      </c>
      <c r="B4" s="874"/>
    </row>
    <row r="5" spans="1:3" s="17" customFormat="1" ht="30" customHeight="1">
      <c r="A5" s="19" t="s">
        <v>576</v>
      </c>
      <c r="B5" s="453" t="s">
        <v>211</v>
      </c>
    </row>
    <row r="6" spans="1:3" s="17" customFormat="1" ht="8.25" customHeight="1">
      <c r="A6" s="559"/>
      <c r="B6" s="52"/>
    </row>
    <row r="7" spans="1:3" s="18" customFormat="1" ht="32.4">
      <c r="A7" s="544" t="s">
        <v>579</v>
      </c>
      <c r="B7" s="35" t="s">
        <v>225</v>
      </c>
      <c r="C7" s="472"/>
    </row>
    <row r="8" spans="1:3" s="18" customFormat="1" ht="30" customHeight="1">
      <c r="A8" s="546" t="s">
        <v>42</v>
      </c>
      <c r="B8" s="473"/>
    </row>
    <row r="9" spans="1:3" s="18" customFormat="1" ht="30" customHeight="1">
      <c r="A9" s="546" t="s">
        <v>586</v>
      </c>
      <c r="B9" s="473"/>
    </row>
    <row r="10" spans="1:3" s="18" customFormat="1" ht="30" customHeight="1">
      <c r="A10" s="547" t="s">
        <v>587</v>
      </c>
      <c r="B10" s="426"/>
    </row>
    <row r="11" spans="1:3" s="18" customFormat="1" ht="85.5" customHeight="1">
      <c r="A11" s="547" t="s">
        <v>588</v>
      </c>
      <c r="B11" s="389" t="s">
        <v>226</v>
      </c>
    </row>
    <row r="12" spans="1:3" s="18" customFormat="1" ht="30" customHeight="1">
      <c r="A12" s="547"/>
      <c r="B12" s="426"/>
    </row>
    <row r="13" spans="1:3" s="18" customFormat="1" ht="30" customHeight="1">
      <c r="A13" s="546" t="s">
        <v>43</v>
      </c>
      <c r="B13" s="473"/>
    </row>
    <row r="14" spans="1:3" s="18" customFormat="1" ht="30" customHeight="1">
      <c r="A14" s="546" t="s">
        <v>586</v>
      </c>
      <c r="B14" s="473"/>
    </row>
    <row r="15" spans="1:3" s="18" customFormat="1" ht="30" customHeight="1">
      <c r="A15" s="547" t="s">
        <v>583</v>
      </c>
      <c r="B15" s="426"/>
    </row>
    <row r="16" spans="1:3" s="40" customFormat="1" ht="72.75" customHeight="1">
      <c r="A16" s="547" t="s">
        <v>589</v>
      </c>
      <c r="B16" s="389" t="s">
        <v>227</v>
      </c>
    </row>
    <row r="17" spans="1:2" s="40" customFormat="1" ht="30" customHeight="1">
      <c r="A17" s="547"/>
      <c r="B17" s="426"/>
    </row>
    <row r="18" spans="1:2" s="18" customFormat="1" ht="30" customHeight="1">
      <c r="A18" s="546" t="s">
        <v>25</v>
      </c>
      <c r="B18" s="473"/>
    </row>
    <row r="19" spans="1:2" s="18" customFormat="1" ht="30" customHeight="1">
      <c r="A19" s="546" t="s">
        <v>586</v>
      </c>
      <c r="B19" s="473"/>
    </row>
    <row r="20" spans="1:2" s="18" customFormat="1" ht="30" customHeight="1">
      <c r="A20" s="547" t="s">
        <v>590</v>
      </c>
      <c r="B20" s="426"/>
    </row>
    <row r="21" spans="1:2" s="18" customFormat="1" ht="52.5" customHeight="1">
      <c r="A21" s="547" t="s">
        <v>591</v>
      </c>
      <c r="B21" s="389" t="s">
        <v>228</v>
      </c>
    </row>
    <row r="22" spans="1:2" s="18" customFormat="1" ht="26.4" customHeight="1">
      <c r="A22" s="547"/>
      <c r="B22" s="450"/>
    </row>
    <row r="23" spans="1:2" s="22" customFormat="1" ht="39" customHeight="1" thickBot="1">
      <c r="A23" s="560"/>
      <c r="B23" s="50"/>
    </row>
    <row r="24" spans="1:2" ht="30" customHeight="1"/>
  </sheetData>
  <mergeCells count="4">
    <mergeCell ref="A1:B1"/>
    <mergeCell ref="A2:B2"/>
    <mergeCell ref="A3:B3"/>
    <mergeCell ref="A4:B4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35" orientation="portrait" useFirstPageNumber="1" r:id="rId1"/>
  <headerFooter alignWithMargins="0">
    <oddFooter>&amp;C&amp;"Times New Roman,標準"&amp;P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opLeftCell="A29" workbookViewId="0">
      <selection activeCell="C16" sqref="C16"/>
    </sheetView>
  </sheetViews>
  <sheetFormatPr defaultColWidth="9" defaultRowHeight="15.6"/>
  <cols>
    <col min="1" max="2" width="19" style="2" customWidth="1"/>
    <col min="3" max="3" width="32.77734375" style="2" bestFit="1" customWidth="1"/>
    <col min="4" max="4" width="19.44140625" style="2" customWidth="1"/>
    <col min="5" max="16384" width="9" style="2"/>
  </cols>
  <sheetData>
    <row r="1" spans="1:6" s="6" customFormat="1" ht="22.2">
      <c r="A1" s="798" t="s">
        <v>109</v>
      </c>
      <c r="B1" s="798"/>
      <c r="C1" s="798"/>
      <c r="D1" s="798"/>
      <c r="E1" s="1"/>
      <c r="F1" s="1"/>
    </row>
    <row r="2" spans="1:6" s="6" customFormat="1" ht="22.2">
      <c r="A2" s="798" t="s">
        <v>110</v>
      </c>
      <c r="B2" s="798"/>
      <c r="C2" s="798"/>
      <c r="D2" s="798"/>
      <c r="E2" s="1"/>
      <c r="F2" s="1"/>
    </row>
    <row r="3" spans="1:6" s="6" customFormat="1" ht="24.9" customHeight="1">
      <c r="A3" s="800" t="s">
        <v>230</v>
      </c>
      <c r="B3" s="800"/>
      <c r="C3" s="800"/>
      <c r="D3" s="800"/>
      <c r="E3" s="3"/>
      <c r="F3" s="3"/>
    </row>
    <row r="4" spans="1:6" s="6" customFormat="1" ht="24.9" customHeight="1" thickBot="1">
      <c r="A4" s="802" t="s">
        <v>207</v>
      </c>
      <c r="B4" s="802"/>
      <c r="C4" s="802"/>
      <c r="D4" s="802"/>
      <c r="E4" s="4"/>
      <c r="F4" s="4"/>
    </row>
    <row r="5" spans="1:6" s="57" customFormat="1" ht="30" customHeight="1">
      <c r="A5" s="474" t="s">
        <v>208</v>
      </c>
      <c r="B5" s="475" t="s">
        <v>164</v>
      </c>
      <c r="C5" s="53" t="s">
        <v>8</v>
      </c>
      <c r="D5" s="476" t="s">
        <v>165</v>
      </c>
      <c r="E5" s="105"/>
      <c r="F5" s="444"/>
    </row>
    <row r="6" spans="1:6" s="57" customFormat="1" ht="8.25" customHeight="1">
      <c r="A6" s="8"/>
      <c r="B6" s="447"/>
      <c r="C6" s="75"/>
      <c r="D6" s="477"/>
      <c r="E6" s="444"/>
      <c r="F6" s="444"/>
    </row>
    <row r="7" spans="1:6" s="10" customFormat="1" ht="30" customHeight="1">
      <c r="A7" s="190">
        <f>A8+A16</f>
        <v>516</v>
      </c>
      <c r="B7" s="81">
        <f>B8+B16</f>
        <v>90</v>
      </c>
      <c r="C7" s="292" t="s">
        <v>35</v>
      </c>
      <c r="D7" s="191">
        <f>D8+D16</f>
        <v>90</v>
      </c>
    </row>
    <row r="8" spans="1:6" s="194" customFormat="1" ht="30" customHeight="1">
      <c r="A8" s="190">
        <f t="shared" ref="A8:B11" si="0">A9</f>
        <v>505</v>
      </c>
      <c r="B8" s="28">
        <f t="shared" si="0"/>
        <v>60</v>
      </c>
      <c r="C8" s="293" t="s">
        <v>519</v>
      </c>
      <c r="D8" s="192">
        <f>D9</f>
        <v>60</v>
      </c>
      <c r="E8" s="193"/>
      <c r="F8" s="193"/>
    </row>
    <row r="9" spans="1:6" s="194" customFormat="1" ht="30" customHeight="1">
      <c r="A9" s="190">
        <f t="shared" si="0"/>
        <v>505</v>
      </c>
      <c r="B9" s="28">
        <f t="shared" si="0"/>
        <v>60</v>
      </c>
      <c r="C9" s="293" t="s">
        <v>594</v>
      </c>
      <c r="D9" s="192">
        <f>D10</f>
        <v>60</v>
      </c>
      <c r="E9" s="193"/>
      <c r="F9" s="193"/>
    </row>
    <row r="10" spans="1:6" s="31" customFormat="1" ht="30" customHeight="1">
      <c r="A10" s="190">
        <f t="shared" si="0"/>
        <v>505</v>
      </c>
      <c r="B10" s="28">
        <f t="shared" si="0"/>
        <v>60</v>
      </c>
      <c r="C10" s="293" t="s">
        <v>595</v>
      </c>
      <c r="D10" s="192">
        <f>D11</f>
        <v>60</v>
      </c>
    </row>
    <row r="11" spans="1:6" s="10" customFormat="1" ht="30" customHeight="1">
      <c r="A11" s="195">
        <f t="shared" si="0"/>
        <v>505</v>
      </c>
      <c r="B11" s="32">
        <f t="shared" si="0"/>
        <v>60</v>
      </c>
      <c r="C11" s="294" t="s">
        <v>649</v>
      </c>
      <c r="D11" s="196">
        <f>D12</f>
        <v>60</v>
      </c>
    </row>
    <row r="12" spans="1:6" s="10" customFormat="1" ht="30" customHeight="1">
      <c r="A12" s="195">
        <f>SUM(A13:A14)</f>
        <v>505</v>
      </c>
      <c r="B12" s="32">
        <f>SUM(B13:B14)</f>
        <v>60</v>
      </c>
      <c r="C12" s="294" t="s">
        <v>650</v>
      </c>
      <c r="D12" s="196">
        <f>SUM(D13:D14)</f>
        <v>60</v>
      </c>
    </row>
    <row r="13" spans="1:6" s="10" customFormat="1" ht="28.5" customHeight="1">
      <c r="A13" s="195">
        <v>500</v>
      </c>
      <c r="B13" s="32">
        <v>40</v>
      </c>
      <c r="C13" s="294" t="s">
        <v>647</v>
      </c>
      <c r="D13" s="196">
        <v>40</v>
      </c>
    </row>
    <row r="14" spans="1:6" s="10" customFormat="1" ht="28.5" customHeight="1">
      <c r="A14" s="382">
        <v>5</v>
      </c>
      <c r="B14" s="381">
        <v>20</v>
      </c>
      <c r="C14" s="294" t="s">
        <v>648</v>
      </c>
      <c r="D14" s="196">
        <v>20</v>
      </c>
    </row>
    <row r="15" spans="1:6" s="10" customFormat="1" ht="22.5" customHeight="1">
      <c r="A15" s="200"/>
      <c r="B15" s="32"/>
      <c r="C15" s="294"/>
      <c r="D15" s="196"/>
    </row>
    <row r="16" spans="1:6" s="194" customFormat="1" ht="30" customHeight="1">
      <c r="A16" s="190">
        <f t="shared" ref="A16:B19" si="1">A17</f>
        <v>11</v>
      </c>
      <c r="B16" s="28">
        <f t="shared" si="1"/>
        <v>30</v>
      </c>
      <c r="C16" s="293" t="s">
        <v>534</v>
      </c>
      <c r="D16" s="192">
        <f>D17</f>
        <v>30</v>
      </c>
      <c r="E16" s="193"/>
      <c r="F16" s="193"/>
    </row>
    <row r="17" spans="1:6" s="194" customFormat="1" ht="30" customHeight="1">
      <c r="A17" s="190">
        <f t="shared" si="1"/>
        <v>11</v>
      </c>
      <c r="B17" s="28">
        <f t="shared" si="1"/>
        <v>30</v>
      </c>
      <c r="C17" s="293" t="s">
        <v>594</v>
      </c>
      <c r="D17" s="192">
        <f>D18</f>
        <v>30</v>
      </c>
      <c r="E17" s="193"/>
      <c r="F17" s="193"/>
    </row>
    <row r="18" spans="1:6" s="31" customFormat="1" ht="30" customHeight="1">
      <c r="A18" s="190">
        <f t="shared" si="1"/>
        <v>11</v>
      </c>
      <c r="B18" s="28">
        <f t="shared" si="1"/>
        <v>30</v>
      </c>
      <c r="C18" s="293" t="s">
        <v>595</v>
      </c>
      <c r="D18" s="192">
        <f>D19</f>
        <v>30</v>
      </c>
    </row>
    <row r="19" spans="1:6" s="10" customFormat="1" ht="30" customHeight="1">
      <c r="A19" s="195">
        <f t="shared" si="1"/>
        <v>11</v>
      </c>
      <c r="B19" s="32">
        <f t="shared" si="1"/>
        <v>30</v>
      </c>
      <c r="C19" s="294" t="s">
        <v>646</v>
      </c>
      <c r="D19" s="196">
        <f>D20</f>
        <v>30</v>
      </c>
    </row>
    <row r="20" spans="1:6" s="10" customFormat="1" ht="30" customHeight="1">
      <c r="A20" s="195">
        <v>11</v>
      </c>
      <c r="B20" s="32">
        <v>30</v>
      </c>
      <c r="C20" s="294" t="s">
        <v>650</v>
      </c>
      <c r="D20" s="196">
        <v>30</v>
      </c>
    </row>
    <row r="21" spans="1:6" s="10" customFormat="1" ht="30" customHeight="1">
      <c r="A21" s="195"/>
      <c r="B21" s="32"/>
      <c r="C21" s="294"/>
      <c r="D21" s="196"/>
    </row>
    <row r="22" spans="1:6" s="10" customFormat="1" ht="30" customHeight="1">
      <c r="A22" s="195"/>
      <c r="B22" s="32"/>
      <c r="C22" s="294"/>
      <c r="D22" s="196"/>
    </row>
    <row r="23" spans="1:6" s="10" customFormat="1" ht="34.799999999999997" customHeight="1">
      <c r="A23" s="195"/>
      <c r="B23" s="32"/>
      <c r="C23" s="294"/>
      <c r="D23" s="196"/>
    </row>
    <row r="24" spans="1:6" s="10" customFormat="1" ht="9" customHeight="1">
      <c r="A24" s="195"/>
      <c r="B24" s="32"/>
      <c r="C24" s="294"/>
      <c r="D24" s="196"/>
    </row>
    <row r="25" spans="1:6" s="10" customFormat="1" ht="24" customHeight="1">
      <c r="A25" s="200"/>
      <c r="B25" s="70"/>
      <c r="C25" s="561"/>
      <c r="D25" s="196"/>
    </row>
    <row r="26" spans="1:6" s="10" customFormat="1" ht="24" customHeight="1">
      <c r="A26" s="200"/>
      <c r="B26" s="70"/>
      <c r="C26" s="561"/>
      <c r="D26" s="35"/>
    </row>
    <row r="27" spans="1:6" s="10" customFormat="1" ht="13.5" customHeight="1">
      <c r="A27" s="200"/>
      <c r="B27" s="70"/>
      <c r="C27" s="561" t="s">
        <v>593</v>
      </c>
      <c r="D27" s="35"/>
    </row>
    <row r="28" spans="1:6" s="10" customFormat="1" ht="15.75" customHeight="1">
      <c r="A28" s="200"/>
      <c r="B28" s="70"/>
      <c r="C28" s="561" t="s">
        <v>593</v>
      </c>
      <c r="D28" s="35"/>
    </row>
    <row r="29" spans="1:6" s="10" customFormat="1" ht="47.25" customHeight="1" thickBot="1">
      <c r="A29" s="219"/>
      <c r="B29" s="72"/>
      <c r="C29" s="562"/>
      <c r="D29" s="39"/>
    </row>
    <row r="30" spans="1:6" s="10" customFormat="1"/>
    <row r="31" spans="1:6" s="10" customFormat="1"/>
    <row r="32" spans="1:6" s="10" customFormat="1"/>
    <row r="33" s="10" customFormat="1"/>
    <row r="34" s="10" customFormat="1"/>
    <row r="35" s="10" customFormat="1"/>
    <row r="36" s="10" customFormat="1"/>
    <row r="37" s="10" customFormat="1"/>
    <row r="38" s="10" customFormat="1"/>
    <row r="39" s="10" customFormat="1"/>
    <row r="40" s="10" customFormat="1"/>
    <row r="41" s="10" customFormat="1"/>
    <row r="42" s="10" customFormat="1"/>
    <row r="43" s="10" customFormat="1"/>
    <row r="44" s="10" customFormat="1"/>
    <row r="45" s="10" customFormat="1"/>
    <row r="46" s="10" customFormat="1"/>
    <row r="47" s="10" customFormat="1"/>
    <row r="48" s="10" customFormat="1"/>
    <row r="49" s="10" customFormat="1"/>
  </sheetData>
  <mergeCells count="4">
    <mergeCell ref="A4:D4"/>
    <mergeCell ref="A3:D3"/>
    <mergeCell ref="A2:D2"/>
    <mergeCell ref="A1:D1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36" orientation="portrait" useFirstPageNumber="1" r:id="rId1"/>
  <headerFooter alignWithMargins="0">
    <oddFooter>&amp;C&amp;"Times New Roman,標準"&amp;P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topLeftCell="A34" zoomScaleSheetLayoutView="100" workbookViewId="0">
      <selection activeCell="B16" sqref="B16:C16"/>
    </sheetView>
  </sheetViews>
  <sheetFormatPr defaultColWidth="9" defaultRowHeight="15.6"/>
  <cols>
    <col min="1" max="1" width="30.44140625" style="13" customWidth="1"/>
    <col min="2" max="2" width="5.44140625" style="13" bestFit="1" customWidth="1"/>
    <col min="3" max="3" width="54.21875" style="13" customWidth="1"/>
    <col min="4" max="16384" width="9" style="13"/>
  </cols>
  <sheetData>
    <row r="1" spans="1:3" ht="21" customHeight="1">
      <c r="A1" s="798" t="s">
        <v>109</v>
      </c>
      <c r="B1" s="798"/>
      <c r="C1" s="798"/>
    </row>
    <row r="2" spans="1:3" ht="21" customHeight="1">
      <c r="A2" s="798" t="s">
        <v>110</v>
      </c>
      <c r="B2" s="798"/>
      <c r="C2" s="798"/>
    </row>
    <row r="3" spans="1:3" ht="24.9" customHeight="1">
      <c r="A3" s="817" t="s">
        <v>231</v>
      </c>
      <c r="B3" s="817"/>
      <c r="C3" s="817"/>
    </row>
    <row r="4" spans="1:3" ht="24.9" customHeight="1" thickBot="1">
      <c r="A4" s="874" t="s">
        <v>94</v>
      </c>
      <c r="B4" s="874"/>
      <c r="C4" s="874"/>
    </row>
    <row r="5" spans="1:3" s="17" customFormat="1" ht="30" customHeight="1">
      <c r="A5" s="19" t="s">
        <v>576</v>
      </c>
      <c r="B5" s="888" t="s">
        <v>211</v>
      </c>
      <c r="C5" s="885"/>
    </row>
    <row r="6" spans="1:3" s="17" customFormat="1" ht="8.25" customHeight="1">
      <c r="A6" s="559"/>
      <c r="B6" s="54"/>
      <c r="C6" s="55"/>
    </row>
    <row r="7" spans="1:3" s="18" customFormat="1" ht="30" customHeight="1">
      <c r="A7" s="48" t="s">
        <v>35</v>
      </c>
      <c r="B7" s="889" t="s">
        <v>201</v>
      </c>
      <c r="C7" s="878"/>
    </row>
    <row r="8" spans="1:3" s="18" customFormat="1" ht="30" customHeight="1">
      <c r="A8" s="563" t="s">
        <v>519</v>
      </c>
      <c r="B8" s="889"/>
      <c r="C8" s="878"/>
    </row>
    <row r="9" spans="1:3" s="18" customFormat="1" ht="30" customHeight="1">
      <c r="A9" s="48" t="s">
        <v>592</v>
      </c>
      <c r="B9" s="56"/>
      <c r="C9" s="49"/>
    </row>
    <row r="10" spans="1:3" s="18" customFormat="1" ht="30" customHeight="1">
      <c r="A10" s="563" t="s">
        <v>595</v>
      </c>
      <c r="B10" s="889"/>
      <c r="C10" s="878"/>
    </row>
    <row r="11" spans="1:3" s="18" customFormat="1" ht="30" customHeight="1">
      <c r="A11" s="109" t="s">
        <v>649</v>
      </c>
      <c r="B11" s="452"/>
      <c r="C11" s="451"/>
    </row>
    <row r="12" spans="1:3" s="18" customFormat="1" ht="36" customHeight="1">
      <c r="A12" s="547" t="s">
        <v>651</v>
      </c>
      <c r="B12" s="889" t="s">
        <v>232</v>
      </c>
      <c r="C12" s="878"/>
    </row>
    <row r="13" spans="1:3" s="18" customFormat="1" ht="30" customHeight="1">
      <c r="A13" s="547"/>
      <c r="B13" s="452"/>
      <c r="C13" s="451"/>
    </row>
    <row r="14" spans="1:3" s="18" customFormat="1" ht="30" customHeight="1">
      <c r="A14" s="563" t="s">
        <v>534</v>
      </c>
      <c r="B14" s="889"/>
      <c r="C14" s="878"/>
    </row>
    <row r="15" spans="1:3" s="18" customFormat="1" ht="30" customHeight="1">
      <c r="A15" s="48" t="s">
        <v>594</v>
      </c>
      <c r="B15" s="56"/>
      <c r="C15" s="49"/>
    </row>
    <row r="16" spans="1:3" s="18" customFormat="1" ht="30" customHeight="1">
      <c r="A16" s="563" t="s">
        <v>596</v>
      </c>
      <c r="B16" s="889"/>
      <c r="C16" s="878"/>
    </row>
    <row r="17" spans="1:3" s="18" customFormat="1" ht="30" customHeight="1">
      <c r="A17" s="109" t="s">
        <v>649</v>
      </c>
      <c r="B17" s="452"/>
      <c r="C17" s="451"/>
    </row>
    <row r="18" spans="1:3" s="18" customFormat="1" ht="38.25" customHeight="1">
      <c r="A18" s="547" t="s">
        <v>651</v>
      </c>
      <c r="B18" s="889" t="s">
        <v>233</v>
      </c>
      <c r="C18" s="878"/>
    </row>
    <row r="19" spans="1:3" s="18" customFormat="1" ht="38.25" customHeight="1">
      <c r="A19" s="547"/>
      <c r="B19" s="452"/>
      <c r="C19" s="451"/>
    </row>
    <row r="20" spans="1:3" s="18" customFormat="1" ht="38.25" customHeight="1">
      <c r="A20" s="547"/>
      <c r="B20" s="452"/>
      <c r="C20" s="451"/>
    </row>
    <row r="21" spans="1:3" s="18" customFormat="1" ht="38.25" customHeight="1">
      <c r="A21" s="547"/>
      <c r="B21" s="452"/>
      <c r="C21" s="451"/>
    </row>
    <row r="22" spans="1:3" s="18" customFormat="1" ht="28.8" customHeight="1">
      <c r="A22" s="547"/>
      <c r="B22" s="452"/>
      <c r="C22" s="451"/>
    </row>
    <row r="23" spans="1:3" s="18" customFormat="1" ht="4.8" customHeight="1">
      <c r="A23" s="547"/>
      <c r="B23" s="452"/>
      <c r="C23" s="451"/>
    </row>
    <row r="24" spans="1:3" s="18" customFormat="1" ht="61.8" customHeight="1">
      <c r="A24" s="547"/>
      <c r="B24" s="452"/>
      <c r="C24" s="451"/>
    </row>
    <row r="25" spans="1:3" s="22" customFormat="1" ht="56.25" customHeight="1" thickBot="1">
      <c r="A25" s="560"/>
      <c r="B25" s="203"/>
      <c r="C25" s="204"/>
    </row>
  </sheetData>
  <mergeCells count="12">
    <mergeCell ref="B18:C18"/>
    <mergeCell ref="B8:C8"/>
    <mergeCell ref="B14:C14"/>
    <mergeCell ref="B16:C16"/>
    <mergeCell ref="B12:C12"/>
    <mergeCell ref="B5:C5"/>
    <mergeCell ref="B10:C10"/>
    <mergeCell ref="A1:C1"/>
    <mergeCell ref="A2:C2"/>
    <mergeCell ref="A3:C3"/>
    <mergeCell ref="A4:C4"/>
    <mergeCell ref="B7:C7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37" orientation="portrait" useFirstPageNumber="1" r:id="rId1"/>
  <headerFooter alignWithMargins="0">
    <oddFooter>&amp;C&amp;"Times New Roman,標準"&amp;P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opLeftCell="A19" workbookViewId="0">
      <selection activeCell="A7" sqref="A7"/>
    </sheetView>
  </sheetViews>
  <sheetFormatPr defaultColWidth="9" defaultRowHeight="15.6"/>
  <cols>
    <col min="1" max="1" width="34.6640625" style="6" customWidth="1"/>
    <col min="2" max="2" width="22.88671875" style="6" customWidth="1"/>
    <col min="3" max="3" width="32.44140625" style="6" customWidth="1"/>
    <col min="4" max="4" width="10.44140625" style="6" bestFit="1" customWidth="1"/>
    <col min="5" max="5" width="5.44140625" style="6" bestFit="1" customWidth="1"/>
    <col min="6" max="6" width="39" style="6" customWidth="1"/>
    <col min="7" max="7" width="9" style="6"/>
    <col min="8" max="8" width="26.33203125" style="6" customWidth="1"/>
    <col min="9" max="9" width="19.88671875" style="6" customWidth="1"/>
    <col min="10" max="16384" width="9" style="6"/>
  </cols>
  <sheetData>
    <row r="1" spans="1:8" s="2" customFormat="1" ht="22.2">
      <c r="A1" s="798" t="s">
        <v>109</v>
      </c>
      <c r="B1" s="798"/>
      <c r="C1" s="798"/>
      <c r="D1" s="155"/>
      <c r="E1" s="155"/>
      <c r="F1" s="1"/>
      <c r="G1" s="1"/>
      <c r="H1" s="1"/>
    </row>
    <row r="2" spans="1:8" s="2" customFormat="1" ht="22.2">
      <c r="A2" s="798" t="s">
        <v>110</v>
      </c>
      <c r="B2" s="798"/>
      <c r="C2" s="798"/>
      <c r="D2" s="155"/>
      <c r="E2" s="155"/>
      <c r="F2" s="1"/>
      <c r="G2" s="1"/>
      <c r="H2" s="1"/>
    </row>
    <row r="3" spans="1:8" s="2" customFormat="1" ht="24.75" customHeight="1">
      <c r="A3" s="800" t="s">
        <v>238</v>
      </c>
      <c r="B3" s="800"/>
      <c r="C3" s="800"/>
      <c r="D3" s="156"/>
      <c r="E3" s="156"/>
      <c r="F3" s="3"/>
      <c r="G3" s="3"/>
      <c r="H3" s="3"/>
    </row>
    <row r="4" spans="1:8" s="2" customFormat="1" ht="24.9" customHeight="1" thickBot="1">
      <c r="A4" s="815" t="s">
        <v>111</v>
      </c>
      <c r="B4" s="815"/>
      <c r="C4" s="815"/>
      <c r="D4" s="4"/>
      <c r="E4" s="4"/>
      <c r="F4" s="4"/>
      <c r="G4" s="4"/>
      <c r="H4" s="4"/>
    </row>
    <row r="5" spans="1:8" ht="30" customHeight="1">
      <c r="A5" s="479" t="s">
        <v>112</v>
      </c>
      <c r="B5" s="478" t="s">
        <v>239</v>
      </c>
      <c r="C5" s="480" t="s">
        <v>236</v>
      </c>
    </row>
    <row r="6" spans="1:8" ht="8.25" customHeight="1">
      <c r="A6" s="481"/>
      <c r="B6" s="173"/>
      <c r="C6" s="174"/>
    </row>
    <row r="7" spans="1:8" s="10" customFormat="1" ht="16.2">
      <c r="A7" s="271" t="s">
        <v>240</v>
      </c>
      <c r="B7" s="220">
        <v>625</v>
      </c>
      <c r="C7" s="35"/>
    </row>
    <row r="8" spans="1:8" s="10" customFormat="1" ht="30" customHeight="1">
      <c r="A8" s="271" t="s">
        <v>241</v>
      </c>
      <c r="B8" s="185"/>
      <c r="C8" s="43"/>
    </row>
    <row r="9" spans="1:8" s="10" customFormat="1" ht="30" customHeight="1">
      <c r="A9" s="271" t="s">
        <v>242</v>
      </c>
      <c r="B9" s="158" t="s">
        <v>17</v>
      </c>
      <c r="C9" s="43"/>
    </row>
    <row r="10" spans="1:8" s="10" customFormat="1" ht="30" customHeight="1">
      <c r="A10" s="271" t="s">
        <v>243</v>
      </c>
      <c r="B10" s="158" t="s">
        <v>17</v>
      </c>
      <c r="C10" s="23"/>
    </row>
    <row r="11" spans="1:8" s="10" customFormat="1" ht="30" customHeight="1">
      <c r="A11" s="271" t="s">
        <v>244</v>
      </c>
      <c r="B11" s="158" t="s">
        <v>17</v>
      </c>
      <c r="C11" s="23"/>
    </row>
    <row r="12" spans="1:8" s="10" customFormat="1" ht="30" customHeight="1">
      <c r="A12" s="111" t="s">
        <v>245</v>
      </c>
      <c r="B12" s="158" t="s">
        <v>17</v>
      </c>
      <c r="C12" s="159"/>
    </row>
    <row r="13" spans="1:8" s="10" customFormat="1" ht="30" customHeight="1">
      <c r="A13" s="111" t="s">
        <v>246</v>
      </c>
      <c r="B13" s="158" t="s">
        <v>17</v>
      </c>
      <c r="C13" s="159"/>
    </row>
    <row r="14" spans="1:8" s="10" customFormat="1" ht="30" customHeight="1">
      <c r="A14" s="111" t="s">
        <v>247</v>
      </c>
      <c r="B14" s="185"/>
      <c r="C14" s="159"/>
    </row>
    <row r="15" spans="1:8" s="10" customFormat="1" ht="30" customHeight="1">
      <c r="A15" s="111" t="s">
        <v>248</v>
      </c>
      <c r="B15" s="158" t="s">
        <v>17</v>
      </c>
      <c r="C15" s="159"/>
    </row>
    <row r="16" spans="1:8" s="10" customFormat="1" ht="30" customHeight="1">
      <c r="A16" s="111" t="s">
        <v>249</v>
      </c>
      <c r="B16" s="158" t="s">
        <v>17</v>
      </c>
      <c r="C16" s="159"/>
    </row>
    <row r="17" spans="1:3" s="10" customFormat="1" ht="30" customHeight="1">
      <c r="A17" s="111" t="s">
        <v>246</v>
      </c>
      <c r="B17" s="158" t="s">
        <v>17</v>
      </c>
      <c r="C17" s="159"/>
    </row>
    <row r="18" spans="1:3" s="10" customFormat="1" ht="30" customHeight="1">
      <c r="A18" s="111" t="s">
        <v>250</v>
      </c>
      <c r="B18" s="221">
        <f>B7+B8</f>
        <v>625</v>
      </c>
      <c r="C18" s="159"/>
    </row>
    <row r="19" spans="1:3">
      <c r="A19" s="160"/>
      <c r="B19" s="157"/>
      <c r="C19" s="159"/>
    </row>
    <row r="20" spans="1:3">
      <c r="A20" s="160"/>
      <c r="B20" s="157"/>
      <c r="C20" s="159"/>
    </row>
    <row r="21" spans="1:3">
      <c r="A21" s="161"/>
      <c r="B21" s="101"/>
      <c r="C21" s="110"/>
    </row>
    <row r="22" spans="1:3">
      <c r="A22" s="161"/>
      <c r="B22" s="101"/>
      <c r="C22" s="110"/>
    </row>
    <row r="23" spans="1:3">
      <c r="A23" s="161"/>
      <c r="B23" s="101"/>
      <c r="C23" s="110"/>
    </row>
    <row r="24" spans="1:3">
      <c r="A24" s="161"/>
      <c r="B24" s="101"/>
      <c r="C24" s="110"/>
    </row>
    <row r="25" spans="1:3">
      <c r="A25" s="161"/>
      <c r="B25" s="101"/>
      <c r="C25" s="110"/>
    </row>
    <row r="26" spans="1:3">
      <c r="A26" s="161"/>
      <c r="B26" s="101"/>
      <c r="C26" s="110"/>
    </row>
    <row r="27" spans="1:3">
      <c r="A27" s="161"/>
      <c r="B27" s="101"/>
      <c r="C27" s="110"/>
    </row>
    <row r="28" spans="1:3">
      <c r="A28" s="161"/>
      <c r="B28" s="101"/>
      <c r="C28" s="110"/>
    </row>
    <row r="29" spans="1:3">
      <c r="A29" s="161"/>
      <c r="B29" s="101"/>
      <c r="C29" s="110"/>
    </row>
    <row r="30" spans="1:3">
      <c r="A30" s="161"/>
      <c r="B30" s="101"/>
      <c r="C30" s="110"/>
    </row>
    <row r="31" spans="1:3">
      <c r="A31" s="161"/>
      <c r="B31" s="101"/>
      <c r="C31" s="110"/>
    </row>
    <row r="32" spans="1:3" ht="17.399999999999999" customHeight="1">
      <c r="A32" s="161"/>
      <c r="B32" s="101"/>
      <c r="C32" s="110"/>
    </row>
    <row r="33" spans="1:3" ht="29.25" customHeight="1">
      <c r="A33" s="160"/>
      <c r="B33" s="157"/>
      <c r="C33" s="162"/>
    </row>
    <row r="34" spans="1:3" ht="56.25" customHeight="1" thickBot="1">
      <c r="A34" s="163"/>
      <c r="B34" s="164"/>
      <c r="C34" s="118"/>
    </row>
  </sheetData>
  <mergeCells count="4">
    <mergeCell ref="A1:C1"/>
    <mergeCell ref="A2:C2"/>
    <mergeCell ref="A3:C3"/>
    <mergeCell ref="A4:C4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38" orientation="portrait" useFirstPageNumber="1" r:id="rId1"/>
  <headerFooter alignWithMargins="0">
    <oddFooter>&amp;C&amp;"Times New Roman,標準"&amp;P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50"/>
  <sheetViews>
    <sheetView topLeftCell="A44" workbookViewId="0">
      <selection activeCell="A2" sqref="A2:E2"/>
    </sheetView>
  </sheetViews>
  <sheetFormatPr defaultColWidth="9" defaultRowHeight="15.6"/>
  <cols>
    <col min="1" max="1" width="15.33203125" style="6" customWidth="1"/>
    <col min="2" max="2" width="30.88671875" style="6" customWidth="1"/>
    <col min="3" max="3" width="15.33203125" style="6" customWidth="1"/>
    <col min="4" max="4" width="15.21875" style="20" customWidth="1"/>
    <col min="5" max="5" width="12.88671875" style="6" customWidth="1"/>
    <col min="6" max="16384" width="9" style="6"/>
  </cols>
  <sheetData>
    <row r="1" spans="1:5" ht="22.2">
      <c r="A1" s="798" t="s">
        <v>109</v>
      </c>
      <c r="B1" s="798"/>
      <c r="C1" s="798"/>
      <c r="D1" s="798"/>
      <c r="E1" s="798"/>
    </row>
    <row r="2" spans="1:5" ht="22.2">
      <c r="A2" s="798" t="s">
        <v>110</v>
      </c>
      <c r="B2" s="798"/>
      <c r="C2" s="798"/>
      <c r="D2" s="798"/>
      <c r="E2" s="798"/>
    </row>
    <row r="3" spans="1:5" ht="24.75" customHeight="1">
      <c r="A3" s="800" t="s">
        <v>251</v>
      </c>
      <c r="B3" s="800"/>
      <c r="C3" s="800"/>
      <c r="D3" s="800"/>
      <c r="E3" s="800"/>
    </row>
    <row r="4" spans="1:5" ht="24.75" customHeight="1" thickBot="1">
      <c r="A4" s="815" t="s">
        <v>284</v>
      </c>
      <c r="B4" s="815"/>
      <c r="C4" s="815"/>
      <c r="D4" s="815"/>
      <c r="E4" s="815"/>
    </row>
    <row r="5" spans="1:5" ht="15.75" customHeight="1">
      <c r="A5" s="891" t="s">
        <v>95</v>
      </c>
      <c r="B5" s="894" t="s">
        <v>252</v>
      </c>
      <c r="C5" s="900" t="s">
        <v>96</v>
      </c>
      <c r="D5" s="900" t="s">
        <v>87</v>
      </c>
      <c r="E5" s="897" t="s">
        <v>285</v>
      </c>
    </row>
    <row r="6" spans="1:5" ht="15.75" customHeight="1">
      <c r="A6" s="892"/>
      <c r="B6" s="895"/>
      <c r="C6" s="901"/>
      <c r="D6" s="901"/>
      <c r="E6" s="898"/>
    </row>
    <row r="7" spans="1:5" ht="15.75" customHeight="1">
      <c r="A7" s="893"/>
      <c r="B7" s="896"/>
      <c r="C7" s="902"/>
      <c r="D7" s="902"/>
      <c r="E7" s="899"/>
    </row>
    <row r="8" spans="1:5" ht="8.25" customHeight="1">
      <c r="A8" s="25"/>
      <c r="B8" s="121"/>
      <c r="C8" s="447"/>
      <c r="D8" s="448"/>
      <c r="E8" s="122"/>
    </row>
    <row r="9" spans="1:5" s="31" customFormat="1" ht="30" customHeight="1">
      <c r="A9" s="291">
        <v>864419218</v>
      </c>
      <c r="B9" s="482" t="s">
        <v>253</v>
      </c>
      <c r="C9" s="125">
        <v>949945259</v>
      </c>
      <c r="D9" s="125">
        <f>D10+D16+D21+D19</f>
        <v>899636918</v>
      </c>
      <c r="E9" s="126">
        <f>E10+E16+E21+E19</f>
        <v>50308341</v>
      </c>
    </row>
    <row r="10" spans="1:5" s="31" customFormat="1" ht="30" customHeight="1">
      <c r="A10" s="123">
        <v>699231055</v>
      </c>
      <c r="B10" s="483" t="s">
        <v>254</v>
      </c>
      <c r="C10" s="125">
        <f>SUM(C11:C15)</f>
        <v>674510233</v>
      </c>
      <c r="D10" s="125">
        <f>SUM(D11:D15)</f>
        <v>639810612</v>
      </c>
      <c r="E10" s="126">
        <f>SUM(E11:E15)</f>
        <v>34699621</v>
      </c>
    </row>
    <row r="11" spans="1:5" s="10" customFormat="1" ht="30" customHeight="1">
      <c r="A11" s="128">
        <v>246777075</v>
      </c>
      <c r="B11" s="484" t="s">
        <v>255</v>
      </c>
      <c r="C11" s="130">
        <v>136576908</v>
      </c>
      <c r="D11" s="130">
        <v>143560026</v>
      </c>
      <c r="E11" s="131">
        <f>C11-D11</f>
        <v>-6983118</v>
      </c>
    </row>
    <row r="12" spans="1:5" s="10" customFormat="1" ht="30" customHeight="1">
      <c r="A12" s="128">
        <v>365914710</v>
      </c>
      <c r="B12" s="484" t="s">
        <v>256</v>
      </c>
      <c r="C12" s="130">
        <v>456758536</v>
      </c>
      <c r="D12" s="130">
        <v>416448818</v>
      </c>
      <c r="E12" s="131">
        <f>C12-D12</f>
        <v>40309718</v>
      </c>
    </row>
    <row r="13" spans="1:5" s="10" customFormat="1" ht="30" customHeight="1">
      <c r="A13" s="128">
        <v>84273404</v>
      </c>
      <c r="B13" s="484" t="s">
        <v>257</v>
      </c>
      <c r="C13" s="130">
        <v>76701589</v>
      </c>
      <c r="D13" s="130">
        <v>76668468</v>
      </c>
      <c r="E13" s="131">
        <f>C13-D13</f>
        <v>33121</v>
      </c>
    </row>
    <row r="14" spans="1:5" s="10" customFormat="1" ht="30" customHeight="1">
      <c r="A14" s="128">
        <v>20567</v>
      </c>
      <c r="B14" s="484" t="s">
        <v>258</v>
      </c>
      <c r="C14" s="130">
        <v>10500</v>
      </c>
      <c r="D14" s="130">
        <v>10500</v>
      </c>
      <c r="E14" s="141">
        <f>C14-D14</f>
        <v>0</v>
      </c>
    </row>
    <row r="15" spans="1:5" s="10" customFormat="1" ht="30" customHeight="1">
      <c r="A15" s="128">
        <v>2245299</v>
      </c>
      <c r="B15" s="484" t="s">
        <v>259</v>
      </c>
      <c r="C15" s="130">
        <v>4462700</v>
      </c>
      <c r="D15" s="130">
        <v>3122800</v>
      </c>
      <c r="E15" s="133">
        <f>C15-D15</f>
        <v>1339900</v>
      </c>
    </row>
    <row r="16" spans="1:5" s="31" customFormat="1" ht="30" customHeight="1">
      <c r="A16" s="123">
        <v>140883681</v>
      </c>
      <c r="B16" s="485" t="s">
        <v>260</v>
      </c>
      <c r="C16" s="125">
        <f>SUM(C17:C18)</f>
        <v>247000399</v>
      </c>
      <c r="D16" s="125">
        <f>SUM(D17:D18)</f>
        <v>233656102</v>
      </c>
      <c r="E16" s="126">
        <f>SUM(E17:E18)</f>
        <v>13344297</v>
      </c>
    </row>
    <row r="17" spans="1:5" s="10" customFormat="1" ht="30" customHeight="1">
      <c r="A17" s="128">
        <v>131039874</v>
      </c>
      <c r="B17" s="484" t="s">
        <v>261</v>
      </c>
      <c r="C17" s="130">
        <v>235780399</v>
      </c>
      <c r="D17" s="130">
        <v>223206102</v>
      </c>
      <c r="E17" s="131">
        <f>C17-D17</f>
        <v>12574297</v>
      </c>
    </row>
    <row r="18" spans="1:5" s="10" customFormat="1" ht="30" customHeight="1">
      <c r="A18" s="128">
        <v>9843807</v>
      </c>
      <c r="B18" s="484" t="s">
        <v>262</v>
      </c>
      <c r="C18" s="130">
        <v>11220000</v>
      </c>
      <c r="D18" s="130">
        <v>10450000</v>
      </c>
      <c r="E18" s="131">
        <f>C18-D18</f>
        <v>770000</v>
      </c>
    </row>
    <row r="19" spans="1:5" s="31" customFormat="1" ht="30" customHeight="1">
      <c r="A19" s="139">
        <f>A20</f>
        <v>0</v>
      </c>
      <c r="B19" s="483" t="s">
        <v>263</v>
      </c>
      <c r="C19" s="125">
        <f>C20</f>
        <v>4465</v>
      </c>
      <c r="D19" s="140">
        <f>D20</f>
        <v>5605</v>
      </c>
      <c r="E19" s="126">
        <f>C19-D19</f>
        <v>-1140</v>
      </c>
    </row>
    <row r="20" spans="1:5" s="10" customFormat="1" ht="30" customHeight="1">
      <c r="A20" s="142">
        <v>0</v>
      </c>
      <c r="B20" s="484" t="s">
        <v>264</v>
      </c>
      <c r="C20" s="130">
        <v>4465</v>
      </c>
      <c r="D20" s="138">
        <v>5605</v>
      </c>
      <c r="E20" s="131">
        <f>C20-D20</f>
        <v>-1140</v>
      </c>
    </row>
    <row r="21" spans="1:5" s="31" customFormat="1" ht="30" customHeight="1">
      <c r="A21" s="123">
        <v>24304482</v>
      </c>
      <c r="B21" s="483" t="s">
        <v>265</v>
      </c>
      <c r="C21" s="125">
        <f>SUM(C22:C23)</f>
        <v>28430162</v>
      </c>
      <c r="D21" s="125">
        <f>SUM(D22:D23)</f>
        <v>26164599</v>
      </c>
      <c r="E21" s="126">
        <f>SUM(E22:E23)</f>
        <v>2265563</v>
      </c>
    </row>
    <row r="22" spans="1:5" s="10" customFormat="1" ht="30" customHeight="1">
      <c r="A22" s="128">
        <v>209309</v>
      </c>
      <c r="B22" s="484" t="s">
        <v>266</v>
      </c>
      <c r="C22" s="130">
        <v>209309</v>
      </c>
      <c r="D22" s="130">
        <v>209309</v>
      </c>
      <c r="E22" s="141">
        <f>C22-D22</f>
        <v>0</v>
      </c>
    </row>
    <row r="23" spans="1:5" s="10" customFormat="1" ht="30" customHeight="1">
      <c r="A23" s="128">
        <v>24095173</v>
      </c>
      <c r="B23" s="484" t="s">
        <v>267</v>
      </c>
      <c r="C23" s="130">
        <v>28220853</v>
      </c>
      <c r="D23" s="130">
        <v>25955290</v>
      </c>
      <c r="E23" s="131">
        <f>C23-D23</f>
        <v>2265563</v>
      </c>
    </row>
    <row r="24" spans="1:5" s="10" customFormat="1" ht="30" customHeight="1">
      <c r="A24" s="128"/>
      <c r="B24" s="484"/>
      <c r="C24" s="130"/>
      <c r="D24" s="130"/>
      <c r="E24" s="131"/>
    </row>
    <row r="25" spans="1:5" s="10" customFormat="1" ht="24.6" customHeight="1">
      <c r="A25" s="128"/>
      <c r="B25" s="484"/>
      <c r="C25" s="130"/>
      <c r="D25" s="130"/>
      <c r="E25" s="131"/>
    </row>
    <row r="26" spans="1:5" s="10" customFormat="1" ht="18" customHeight="1">
      <c r="A26" s="128"/>
      <c r="B26" s="484"/>
      <c r="C26" s="130"/>
      <c r="D26" s="130"/>
      <c r="E26" s="131"/>
    </row>
    <row r="27" spans="1:5" s="10" customFormat="1" ht="31.2" customHeight="1">
      <c r="A27" s="128"/>
      <c r="B27" s="484"/>
      <c r="C27" s="130"/>
      <c r="D27" s="130"/>
      <c r="E27" s="131"/>
    </row>
    <row r="28" spans="1:5" s="10" customFormat="1" ht="35.25" customHeight="1">
      <c r="A28" s="128"/>
      <c r="B28" s="484"/>
      <c r="C28" s="130"/>
      <c r="D28" s="130"/>
      <c r="E28" s="131"/>
    </row>
    <row r="29" spans="1:5" s="31" customFormat="1" ht="32.25" customHeight="1" thickBot="1">
      <c r="A29" s="134">
        <v>864419218</v>
      </c>
      <c r="B29" s="486" t="s">
        <v>268</v>
      </c>
      <c r="C29" s="136">
        <f>C9</f>
        <v>949945259</v>
      </c>
      <c r="D29" s="136">
        <f>D9</f>
        <v>899636918</v>
      </c>
      <c r="E29" s="137">
        <f>E9</f>
        <v>50308341</v>
      </c>
    </row>
    <row r="30" spans="1:5" s="31" customFormat="1" ht="30" customHeight="1">
      <c r="A30" s="123">
        <v>864414009</v>
      </c>
      <c r="B30" s="482" t="s">
        <v>269</v>
      </c>
      <c r="C30" s="125">
        <f>C31+C36</f>
        <v>949940050</v>
      </c>
      <c r="D30" s="125">
        <f>D31+D36</f>
        <v>899631709</v>
      </c>
      <c r="E30" s="126">
        <f>E31+E36</f>
        <v>50308341</v>
      </c>
    </row>
    <row r="31" spans="1:5" s="31" customFormat="1" ht="30" customHeight="1">
      <c r="A31" s="123">
        <v>6076563</v>
      </c>
      <c r="B31" s="483" t="s">
        <v>270</v>
      </c>
      <c r="C31" s="125">
        <f>SUM(C32:C35)</f>
        <v>8293461</v>
      </c>
      <c r="D31" s="125">
        <f>SUM(D32:D35)</f>
        <v>6925723</v>
      </c>
      <c r="E31" s="126">
        <f>SUM(E32:E35)</f>
        <v>1367738</v>
      </c>
    </row>
    <row r="32" spans="1:5" s="10" customFormat="1" ht="30" customHeight="1">
      <c r="A32" s="128">
        <v>1950000</v>
      </c>
      <c r="B32" s="484" t="s">
        <v>271</v>
      </c>
      <c r="C32" s="130">
        <v>4124700</v>
      </c>
      <c r="D32" s="130">
        <v>2807800</v>
      </c>
      <c r="E32" s="131">
        <f>C32-D32</f>
        <v>1316900</v>
      </c>
    </row>
    <row r="33" spans="1:5" s="10" customFormat="1" ht="30" customHeight="1">
      <c r="A33" s="128">
        <v>2766213</v>
      </c>
      <c r="B33" s="484" t="s">
        <v>272</v>
      </c>
      <c r="C33" s="130">
        <v>2808967</v>
      </c>
      <c r="D33" s="130">
        <v>2759473</v>
      </c>
      <c r="E33" s="131">
        <f>C33-D33</f>
        <v>49494</v>
      </c>
    </row>
    <row r="34" spans="1:5" s="10" customFormat="1" ht="30" customHeight="1">
      <c r="A34" s="128">
        <v>415282</v>
      </c>
      <c r="B34" s="484" t="s">
        <v>273</v>
      </c>
      <c r="C34" s="130">
        <v>414726</v>
      </c>
      <c r="D34" s="130">
        <v>413382</v>
      </c>
      <c r="E34" s="131">
        <f>C34-D34</f>
        <v>1344</v>
      </c>
    </row>
    <row r="35" spans="1:5" s="10" customFormat="1" ht="30" customHeight="1">
      <c r="A35" s="128">
        <v>945068</v>
      </c>
      <c r="B35" s="484" t="s">
        <v>274</v>
      </c>
      <c r="C35" s="138">
        <v>945068</v>
      </c>
      <c r="D35" s="138">
        <v>945068</v>
      </c>
      <c r="E35" s="141">
        <f>C35-D35</f>
        <v>0</v>
      </c>
    </row>
    <row r="36" spans="1:5" s="31" customFormat="1" ht="30" customHeight="1">
      <c r="A36" s="123">
        <v>858337446</v>
      </c>
      <c r="B36" s="485" t="s">
        <v>275</v>
      </c>
      <c r="C36" s="125">
        <f>SUM(C37:C38)</f>
        <v>941646589</v>
      </c>
      <c r="D36" s="125">
        <f>SUM(D37:D38)</f>
        <v>892705986</v>
      </c>
      <c r="E36" s="126">
        <f>SUM(E37:E38)</f>
        <v>48940603</v>
      </c>
    </row>
    <row r="37" spans="1:5" s="10" customFormat="1" ht="30" customHeight="1">
      <c r="A37" s="128">
        <v>858295669</v>
      </c>
      <c r="B37" s="484" t="s">
        <v>276</v>
      </c>
      <c r="C37" s="130">
        <v>941606624</v>
      </c>
      <c r="D37" s="130">
        <v>892667830</v>
      </c>
      <c r="E37" s="131">
        <f>C37-D37</f>
        <v>48938794</v>
      </c>
    </row>
    <row r="38" spans="1:5" s="10" customFormat="1" ht="30" customHeight="1">
      <c r="A38" s="128">
        <v>41776</v>
      </c>
      <c r="B38" s="484" t="s">
        <v>277</v>
      </c>
      <c r="C38" s="130">
        <v>39965</v>
      </c>
      <c r="D38" s="130">
        <v>38156</v>
      </c>
      <c r="E38" s="131">
        <f>C38-D38</f>
        <v>1809</v>
      </c>
    </row>
    <row r="39" spans="1:5" s="31" customFormat="1" ht="30" customHeight="1">
      <c r="A39" s="123">
        <v>5209</v>
      </c>
      <c r="B39" s="482" t="s">
        <v>278</v>
      </c>
      <c r="C39" s="125">
        <f>C40+C42+C44</f>
        <v>5209</v>
      </c>
      <c r="D39" s="125">
        <f>D40+D42+D44</f>
        <v>5209</v>
      </c>
      <c r="E39" s="141">
        <f>E40+E42+E44</f>
        <v>0</v>
      </c>
    </row>
    <row r="40" spans="1:5" s="31" customFormat="1" ht="30" customHeight="1">
      <c r="A40" s="123">
        <v>625</v>
      </c>
      <c r="B40" s="483" t="s">
        <v>279</v>
      </c>
      <c r="C40" s="125">
        <f>C41</f>
        <v>625</v>
      </c>
      <c r="D40" s="125">
        <f>D41</f>
        <v>625</v>
      </c>
      <c r="E40" s="141">
        <f>E41</f>
        <v>0</v>
      </c>
    </row>
    <row r="41" spans="1:5" s="10" customFormat="1" ht="30" customHeight="1">
      <c r="A41" s="128">
        <v>625</v>
      </c>
      <c r="B41" s="484" t="s">
        <v>280</v>
      </c>
      <c r="C41" s="130">
        <v>625</v>
      </c>
      <c r="D41" s="130">
        <v>625</v>
      </c>
      <c r="E41" s="133">
        <f>C41-D41</f>
        <v>0</v>
      </c>
    </row>
    <row r="42" spans="1:5" s="31" customFormat="1" ht="30" customHeight="1">
      <c r="A42" s="123">
        <v>4584</v>
      </c>
      <c r="B42" s="483" t="s">
        <v>281</v>
      </c>
      <c r="C42" s="125">
        <f>C43</f>
        <v>4584</v>
      </c>
      <c r="D42" s="125">
        <f>+D43</f>
        <v>4584</v>
      </c>
      <c r="E42" s="141">
        <f>E43</f>
        <v>0</v>
      </c>
    </row>
    <row r="43" spans="1:5" s="10" customFormat="1" ht="30" customHeight="1">
      <c r="A43" s="128">
        <v>4584</v>
      </c>
      <c r="B43" s="484" t="s">
        <v>282</v>
      </c>
      <c r="C43" s="130">
        <v>4584</v>
      </c>
      <c r="D43" s="130">
        <v>4584</v>
      </c>
      <c r="E43" s="133">
        <f>C43-D43</f>
        <v>0</v>
      </c>
    </row>
    <row r="44" spans="1:5" s="31" customFormat="1" ht="30" customHeight="1">
      <c r="A44" s="139">
        <f>A45</f>
        <v>0</v>
      </c>
      <c r="B44" s="483" t="s">
        <v>286</v>
      </c>
      <c r="C44" s="140">
        <f>C45</f>
        <v>0</v>
      </c>
      <c r="D44" s="140">
        <f>D45</f>
        <v>0</v>
      </c>
      <c r="E44" s="141">
        <f>E45</f>
        <v>0</v>
      </c>
    </row>
    <row r="45" spans="1:5" s="10" customFormat="1" ht="30" customHeight="1">
      <c r="A45" s="142">
        <v>0</v>
      </c>
      <c r="B45" s="484" t="s">
        <v>283</v>
      </c>
      <c r="C45" s="138">
        <v>0</v>
      </c>
      <c r="D45" s="138">
        <v>0</v>
      </c>
      <c r="E45" s="133">
        <v>0</v>
      </c>
    </row>
    <row r="46" spans="1:5" s="10" customFormat="1" ht="7.8" customHeight="1">
      <c r="A46" s="142"/>
      <c r="B46" s="484"/>
      <c r="C46" s="138"/>
      <c r="D46" s="138"/>
      <c r="E46" s="133"/>
    </row>
    <row r="47" spans="1:5" s="10" customFormat="1" ht="3" customHeight="1">
      <c r="A47" s="142"/>
      <c r="B47" s="484"/>
      <c r="C47" s="138"/>
      <c r="D47" s="138"/>
      <c r="E47" s="133"/>
    </row>
    <row r="48" spans="1:5" s="10" customFormat="1" ht="40.200000000000003" customHeight="1">
      <c r="A48" s="142"/>
      <c r="B48" s="484"/>
      <c r="C48" s="138"/>
      <c r="D48" s="138"/>
      <c r="E48" s="133"/>
    </row>
    <row r="49" spans="1:5" s="31" customFormat="1" ht="34.799999999999997" customHeight="1" thickBot="1">
      <c r="A49" s="134">
        <v>864419218</v>
      </c>
      <c r="B49" s="486" t="s">
        <v>268</v>
      </c>
      <c r="C49" s="136">
        <f>C30+C39</f>
        <v>949945259</v>
      </c>
      <c r="D49" s="136">
        <f>D30+D39</f>
        <v>899636918</v>
      </c>
      <c r="E49" s="137">
        <f>E30+E39</f>
        <v>50308341</v>
      </c>
    </row>
    <row r="50" spans="1:5" s="225" customFormat="1" ht="57" customHeight="1">
      <c r="A50" s="890" t="s">
        <v>834</v>
      </c>
      <c r="B50" s="890"/>
      <c r="C50" s="890"/>
      <c r="D50" s="890"/>
      <c r="E50" s="890"/>
    </row>
  </sheetData>
  <mergeCells count="10">
    <mergeCell ref="A50:E50"/>
    <mergeCell ref="A1:E1"/>
    <mergeCell ref="A5:A7"/>
    <mergeCell ref="B5:B7"/>
    <mergeCell ref="E5:E7"/>
    <mergeCell ref="C5:C7"/>
    <mergeCell ref="D5:D7"/>
    <mergeCell ref="A4:E4"/>
    <mergeCell ref="A3:E3"/>
    <mergeCell ref="A2:E2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39" orientation="portrait" useFirstPageNumber="1" r:id="rId1"/>
  <headerFooter alignWithMargins="0">
    <oddFooter>&amp;C&amp;"Times New Roman,標準"&amp;P</oddFooter>
  </headerFooter>
  <rowBreaks count="1" manualBreakCount="1">
    <brk id="29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F42"/>
  <sheetViews>
    <sheetView workbookViewId="0">
      <selection activeCell="E13" sqref="E13"/>
    </sheetView>
  </sheetViews>
  <sheetFormatPr defaultColWidth="9" defaultRowHeight="15.6"/>
  <cols>
    <col min="1" max="1" width="22.77734375" style="2" bestFit="1" customWidth="1"/>
    <col min="2" max="2" width="5.21875" style="57" customWidth="1"/>
    <col min="3" max="3" width="9.21875" style="2" bestFit="1" customWidth="1"/>
    <col min="4" max="4" width="12.6640625" style="2" customWidth="1"/>
    <col min="5" max="5" width="13" style="2" customWidth="1"/>
    <col min="6" max="6" width="27.109375" style="2" customWidth="1"/>
    <col min="7" max="16384" width="9" style="2"/>
  </cols>
  <sheetData>
    <row r="1" spans="1:6" ht="22.2">
      <c r="A1" s="798" t="s">
        <v>109</v>
      </c>
      <c r="B1" s="798"/>
      <c r="C1" s="798"/>
      <c r="D1" s="798"/>
      <c r="E1" s="798"/>
      <c r="F1" s="798"/>
    </row>
    <row r="2" spans="1:6" ht="22.2">
      <c r="A2" s="798" t="s">
        <v>110</v>
      </c>
      <c r="B2" s="798"/>
      <c r="C2" s="798"/>
      <c r="D2" s="798"/>
      <c r="E2" s="798"/>
      <c r="F2" s="798"/>
    </row>
    <row r="3" spans="1:6" ht="24.9" customHeight="1">
      <c r="A3" s="800" t="s">
        <v>1</v>
      </c>
      <c r="B3" s="800"/>
      <c r="C3" s="800"/>
      <c r="D3" s="800"/>
      <c r="E3" s="800"/>
      <c r="F3" s="800"/>
    </row>
    <row r="4" spans="1:6" ht="24.9" customHeight="1" thickBot="1">
      <c r="A4" s="802" t="s">
        <v>287</v>
      </c>
      <c r="B4" s="802"/>
      <c r="C4" s="802"/>
      <c r="D4" s="802"/>
      <c r="E4" s="802"/>
      <c r="F4" s="802"/>
    </row>
    <row r="5" spans="1:6" ht="51" customHeight="1">
      <c r="A5" s="487" t="s">
        <v>288</v>
      </c>
      <c r="B5" s="475" t="s">
        <v>172</v>
      </c>
      <c r="C5" s="445" t="s">
        <v>289</v>
      </c>
      <c r="D5" s="488" t="s">
        <v>290</v>
      </c>
      <c r="E5" s="445" t="s">
        <v>113</v>
      </c>
      <c r="F5" s="489" t="s">
        <v>236</v>
      </c>
    </row>
    <row r="6" spans="1:6" ht="8.25" customHeight="1">
      <c r="A6" s="8"/>
      <c r="B6" s="447"/>
      <c r="C6" s="447"/>
      <c r="D6" s="447"/>
      <c r="E6" s="447"/>
      <c r="F6" s="477"/>
    </row>
    <row r="7" spans="1:6" s="31" customFormat="1" ht="18.75" customHeight="1">
      <c r="A7" s="80" t="s">
        <v>291</v>
      </c>
      <c r="B7" s="64"/>
      <c r="C7" s="65"/>
      <c r="D7" s="65"/>
      <c r="E7" s="28">
        <f>E8</f>
        <v>365074732</v>
      </c>
      <c r="F7" s="77"/>
    </row>
    <row r="8" spans="1:6" s="10" customFormat="1" ht="18.75" customHeight="1">
      <c r="A8" s="200" t="s">
        <v>292</v>
      </c>
      <c r="B8" s="34"/>
      <c r="C8" s="70"/>
      <c r="D8" s="70"/>
      <c r="E8" s="32">
        <f>SUM(E9:E12)</f>
        <v>365074732</v>
      </c>
      <c r="F8" s="66"/>
    </row>
    <row r="9" spans="1:6" s="10" customFormat="1" ht="18.75" customHeight="1">
      <c r="A9" s="200" t="s">
        <v>293</v>
      </c>
      <c r="B9" s="34"/>
      <c r="C9" s="70"/>
      <c r="D9" s="70"/>
      <c r="E9" s="32">
        <v>338014904</v>
      </c>
      <c r="F9" s="66"/>
    </row>
    <row r="10" spans="1:6" s="10" customFormat="1" ht="18.75" customHeight="1">
      <c r="A10" s="200" t="s">
        <v>294</v>
      </c>
      <c r="B10" s="34"/>
      <c r="C10" s="68"/>
      <c r="D10" s="70"/>
      <c r="E10" s="32">
        <v>18783045</v>
      </c>
      <c r="F10" s="66"/>
    </row>
    <row r="11" spans="1:6" s="10" customFormat="1" ht="18.75" customHeight="1">
      <c r="A11" s="200" t="s">
        <v>295</v>
      </c>
      <c r="B11" s="34"/>
      <c r="C11" s="70"/>
      <c r="D11" s="70"/>
      <c r="E11" s="67">
        <v>7718714</v>
      </c>
      <c r="F11" s="66"/>
    </row>
    <row r="12" spans="1:6" s="10" customFormat="1" ht="18.75" customHeight="1">
      <c r="A12" s="200" t="s">
        <v>296</v>
      </c>
      <c r="B12" s="34"/>
      <c r="C12" s="70"/>
      <c r="D12" s="70"/>
      <c r="E12" s="67">
        <v>558069</v>
      </c>
      <c r="F12" s="66"/>
    </row>
    <row r="13" spans="1:6" s="10" customFormat="1" ht="11.4" customHeight="1">
      <c r="A13" s="200"/>
      <c r="B13" s="64"/>
      <c r="C13" s="65"/>
      <c r="D13" s="65"/>
      <c r="E13" s="78"/>
      <c r="F13" s="66"/>
    </row>
    <row r="14" spans="1:6" s="31" customFormat="1" ht="18.75" customHeight="1">
      <c r="A14" s="80" t="s">
        <v>297</v>
      </c>
      <c r="B14" s="64"/>
      <c r="C14" s="78"/>
      <c r="D14" s="65"/>
      <c r="E14" s="28">
        <f>E15</f>
        <v>344383283</v>
      </c>
      <c r="F14" s="77"/>
    </row>
    <row r="15" spans="1:6" s="10" customFormat="1" ht="18.75" customHeight="1">
      <c r="A15" s="200" t="s">
        <v>292</v>
      </c>
      <c r="B15" s="34"/>
      <c r="C15" s="70"/>
      <c r="D15" s="70"/>
      <c r="E15" s="32">
        <f>SUM(E16:E19)</f>
        <v>344383283</v>
      </c>
      <c r="F15" s="66"/>
    </row>
    <row r="16" spans="1:6" s="10" customFormat="1" ht="18.75" customHeight="1">
      <c r="A16" s="200" t="s">
        <v>293</v>
      </c>
      <c r="B16" s="34"/>
      <c r="C16" s="70"/>
      <c r="D16" s="70"/>
      <c r="E16" s="32">
        <v>318644426</v>
      </c>
      <c r="F16" s="66"/>
    </row>
    <row r="17" spans="1:6" s="10" customFormat="1" ht="18.75" customHeight="1">
      <c r="A17" s="200" t="s">
        <v>294</v>
      </c>
      <c r="B17" s="34"/>
      <c r="C17" s="68"/>
      <c r="D17" s="70"/>
      <c r="E17" s="32">
        <f>17028226-8830</f>
        <v>17019396</v>
      </c>
      <c r="F17" s="66"/>
    </row>
    <row r="18" spans="1:6" s="10" customFormat="1" ht="18.75" customHeight="1">
      <c r="A18" s="200" t="s">
        <v>295</v>
      </c>
      <c r="B18" s="34"/>
      <c r="C18" s="70"/>
      <c r="D18" s="70"/>
      <c r="E18" s="67">
        <v>8097834</v>
      </c>
      <c r="F18" s="66"/>
    </row>
    <row r="19" spans="1:6" s="10" customFormat="1" ht="18.75" customHeight="1">
      <c r="A19" s="200" t="s">
        <v>296</v>
      </c>
      <c r="B19" s="34"/>
      <c r="C19" s="70"/>
      <c r="D19" s="70"/>
      <c r="E19" s="67">
        <f>604461+17166</f>
        <v>621627</v>
      </c>
      <c r="F19" s="66"/>
    </row>
    <row r="20" spans="1:6" s="10" customFormat="1" ht="11.4" customHeight="1">
      <c r="A20" s="69"/>
      <c r="B20" s="34"/>
      <c r="C20" s="68"/>
      <c r="D20" s="65"/>
      <c r="E20" s="67"/>
      <c r="F20" s="66"/>
    </row>
    <row r="21" spans="1:6" s="31" customFormat="1" ht="18.75" customHeight="1">
      <c r="A21" s="80" t="s">
        <v>298</v>
      </c>
      <c r="B21" s="64"/>
      <c r="C21" s="65"/>
      <c r="D21" s="65"/>
      <c r="E21" s="28">
        <f>E22</f>
        <v>307974702</v>
      </c>
      <c r="F21" s="77"/>
    </row>
    <row r="22" spans="1:6" s="10" customFormat="1" ht="18.75" customHeight="1">
      <c r="A22" s="200" t="s">
        <v>292</v>
      </c>
      <c r="B22" s="34"/>
      <c r="C22" s="70"/>
      <c r="D22" s="70"/>
      <c r="E22" s="32">
        <f>SUM(E23:E26)</f>
        <v>307974702</v>
      </c>
      <c r="F22" s="66"/>
    </row>
    <row r="23" spans="1:6" s="10" customFormat="1" ht="18.75" customHeight="1">
      <c r="A23" s="200" t="s">
        <v>293</v>
      </c>
      <c r="B23" s="34"/>
      <c r="C23" s="70"/>
      <c r="D23" s="70"/>
      <c r="E23" s="79">
        <v>282473116</v>
      </c>
      <c r="F23" s="66"/>
    </row>
    <row r="24" spans="1:6" s="10" customFormat="1" ht="18.75" customHeight="1">
      <c r="A24" s="200" t="s">
        <v>294</v>
      </c>
      <c r="B24" s="34"/>
      <c r="C24" s="70"/>
      <c r="D24" s="70"/>
      <c r="E24" s="79">
        <v>17322524</v>
      </c>
      <c r="F24" s="66"/>
    </row>
    <row r="25" spans="1:6" s="10" customFormat="1" ht="18.75" customHeight="1">
      <c r="A25" s="200" t="s">
        <v>295</v>
      </c>
      <c r="B25" s="34"/>
      <c r="C25" s="70"/>
      <c r="D25" s="70"/>
      <c r="E25" s="79">
        <v>7682105</v>
      </c>
      <c r="F25" s="66"/>
    </row>
    <row r="26" spans="1:6" s="10" customFormat="1" ht="18.75" customHeight="1">
      <c r="A26" s="200" t="s">
        <v>296</v>
      </c>
      <c r="B26" s="34"/>
      <c r="C26" s="70"/>
      <c r="D26" s="70"/>
      <c r="E26" s="79">
        <v>496957</v>
      </c>
      <c r="F26" s="66"/>
    </row>
    <row r="27" spans="1:6" s="10" customFormat="1" ht="11.4" customHeight="1">
      <c r="A27" s="80"/>
      <c r="B27" s="34"/>
      <c r="C27" s="70"/>
      <c r="D27" s="70"/>
      <c r="E27" s="81"/>
      <c r="F27" s="66"/>
    </row>
    <row r="28" spans="1:6" s="31" customFormat="1" ht="18.75" customHeight="1">
      <c r="A28" s="80" t="s">
        <v>97</v>
      </c>
      <c r="B28" s="64"/>
      <c r="C28" s="65"/>
      <c r="D28" s="65"/>
      <c r="E28" s="28">
        <f>E29</f>
        <v>272443271</v>
      </c>
      <c r="F28" s="77"/>
    </row>
    <row r="29" spans="1:6" s="10" customFormat="1" ht="18.75" customHeight="1">
      <c r="A29" s="200" t="s">
        <v>292</v>
      </c>
      <c r="B29" s="34"/>
      <c r="C29" s="70"/>
      <c r="D29" s="70"/>
      <c r="E29" s="32">
        <f>SUM(E30:E33)</f>
        <v>272443271</v>
      </c>
      <c r="F29" s="66"/>
    </row>
    <row r="30" spans="1:6" s="10" customFormat="1" ht="18.75" customHeight="1">
      <c r="A30" s="200" t="s">
        <v>293</v>
      </c>
      <c r="B30" s="34"/>
      <c r="C30" s="70"/>
      <c r="D30" s="70"/>
      <c r="E30" s="79">
        <v>248791999</v>
      </c>
      <c r="F30" s="66"/>
    </row>
    <row r="31" spans="1:6" s="10" customFormat="1" ht="18.75" customHeight="1">
      <c r="A31" s="200" t="s">
        <v>294</v>
      </c>
      <c r="B31" s="34"/>
      <c r="C31" s="70"/>
      <c r="D31" s="70"/>
      <c r="E31" s="79">
        <v>14928617</v>
      </c>
      <c r="F31" s="66"/>
    </row>
    <row r="32" spans="1:6" s="10" customFormat="1" ht="18.75" customHeight="1">
      <c r="A32" s="200" t="s">
        <v>295</v>
      </c>
      <c r="B32" s="34"/>
      <c r="C32" s="70"/>
      <c r="D32" s="70"/>
      <c r="E32" s="79">
        <v>8241539</v>
      </c>
      <c r="F32" s="66"/>
    </row>
    <row r="33" spans="1:6" s="10" customFormat="1" ht="18.75" customHeight="1">
      <c r="A33" s="200" t="s">
        <v>296</v>
      </c>
      <c r="B33" s="34"/>
      <c r="C33" s="70"/>
      <c r="D33" s="70"/>
      <c r="E33" s="79">
        <v>481116</v>
      </c>
      <c r="F33" s="66"/>
    </row>
    <row r="34" spans="1:6" s="10" customFormat="1" ht="13.2" customHeight="1">
      <c r="A34" s="80"/>
      <c r="B34" s="34"/>
      <c r="C34" s="70"/>
      <c r="D34" s="70"/>
      <c r="E34" s="81"/>
      <c r="F34" s="66"/>
    </row>
    <row r="35" spans="1:6" s="31" customFormat="1" ht="18.75" customHeight="1">
      <c r="A35" s="80" t="s">
        <v>86</v>
      </c>
      <c r="B35" s="64"/>
      <c r="C35" s="65"/>
      <c r="D35" s="65"/>
      <c r="E35" s="28">
        <f>E36</f>
        <v>300493813</v>
      </c>
      <c r="F35" s="77"/>
    </row>
    <row r="36" spans="1:6" s="10" customFormat="1" ht="18.75" customHeight="1">
      <c r="A36" s="200" t="s">
        <v>292</v>
      </c>
      <c r="B36" s="34"/>
      <c r="C36" s="70"/>
      <c r="D36" s="70"/>
      <c r="E36" s="32">
        <f>SUM(E37:E40)</f>
        <v>300493813</v>
      </c>
      <c r="F36" s="66"/>
    </row>
    <row r="37" spans="1:6" s="10" customFormat="1" ht="18.75" customHeight="1">
      <c r="A37" s="200" t="s">
        <v>293</v>
      </c>
      <c r="B37" s="34"/>
      <c r="C37" s="70"/>
      <c r="D37" s="70"/>
      <c r="E37" s="79">
        <v>276378979</v>
      </c>
      <c r="F37" s="66"/>
    </row>
    <row r="38" spans="1:6" s="10" customFormat="1" ht="18.75" customHeight="1">
      <c r="A38" s="200" t="s">
        <v>294</v>
      </c>
      <c r="B38" s="34"/>
      <c r="C38" s="70"/>
      <c r="D38" s="70"/>
      <c r="E38" s="79">
        <v>15463598</v>
      </c>
      <c r="F38" s="66"/>
    </row>
    <row r="39" spans="1:6" s="10" customFormat="1" ht="18.75" customHeight="1">
      <c r="A39" s="200" t="s">
        <v>295</v>
      </c>
      <c r="B39" s="34"/>
      <c r="C39" s="70"/>
      <c r="D39" s="70"/>
      <c r="E39" s="79">
        <v>8158942</v>
      </c>
      <c r="F39" s="66"/>
    </row>
    <row r="40" spans="1:6" s="10" customFormat="1" ht="21" customHeight="1">
      <c r="A40" s="200" t="s">
        <v>296</v>
      </c>
      <c r="B40" s="34"/>
      <c r="C40" s="70"/>
      <c r="D40" s="70"/>
      <c r="E40" s="79">
        <v>492294</v>
      </c>
      <c r="F40" s="66"/>
    </row>
    <row r="41" spans="1:6" s="10" customFormat="1" ht="6" customHeight="1" thickBot="1">
      <c r="A41" s="219"/>
      <c r="B41" s="71"/>
      <c r="C41" s="72"/>
      <c r="D41" s="72"/>
      <c r="E41" s="332"/>
      <c r="F41" s="73"/>
    </row>
    <row r="42" spans="1:6" s="10" customFormat="1" ht="18.75" customHeight="1">
      <c r="A42" s="334"/>
      <c r="B42" s="333"/>
      <c r="C42" s="334"/>
      <c r="D42" s="334"/>
      <c r="E42" s="335"/>
      <c r="F42" s="334"/>
    </row>
  </sheetData>
  <mergeCells count="4">
    <mergeCell ref="A1:F1"/>
    <mergeCell ref="A2:F2"/>
    <mergeCell ref="A3:F3"/>
    <mergeCell ref="A4:F4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41" orientation="portrait" useFirstPageNumber="1" r:id="rId1"/>
  <headerFooter alignWithMargins="0">
    <oddFooter>&amp;C&amp;"Times New Roman,標準"&amp;P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H30"/>
  <sheetViews>
    <sheetView topLeftCell="A4" workbookViewId="0">
      <pane xSplit="6" ySplit="8" topLeftCell="G12" activePane="bottomRight" state="frozen"/>
      <selection activeCell="A4" sqref="A4"/>
      <selection pane="topRight" activeCell="G4" sqref="G4"/>
      <selection pane="bottomLeft" activeCell="A11" sqref="A11"/>
      <selection pane="bottomRight" activeCell="B8" sqref="B8"/>
    </sheetView>
  </sheetViews>
  <sheetFormatPr defaultColWidth="9" defaultRowHeight="15.6"/>
  <cols>
    <col min="1" max="2" width="10.44140625" style="2" customWidth="1"/>
    <col min="3" max="3" width="22.21875" style="2" customWidth="1"/>
    <col min="4" max="4" width="10.44140625" style="2" customWidth="1"/>
    <col min="5" max="5" width="8.88671875" style="2" customWidth="1"/>
    <col min="6" max="6" width="10.44140625" style="2" customWidth="1"/>
    <col min="7" max="7" width="8.44140625" style="2" customWidth="1"/>
    <col min="8" max="8" width="8.6640625" style="2" customWidth="1"/>
    <col min="9" max="16384" width="9" style="2"/>
  </cols>
  <sheetData>
    <row r="1" spans="1:8" ht="22.2">
      <c r="A1" s="798" t="s">
        <v>109</v>
      </c>
      <c r="B1" s="798"/>
      <c r="C1" s="798"/>
      <c r="D1" s="798"/>
      <c r="E1" s="798"/>
      <c r="F1" s="798"/>
      <c r="G1" s="798"/>
      <c r="H1" s="798"/>
    </row>
    <row r="2" spans="1:8" ht="22.2">
      <c r="A2" s="798" t="s">
        <v>110</v>
      </c>
      <c r="B2" s="798"/>
      <c r="C2" s="798"/>
      <c r="D2" s="798"/>
      <c r="E2" s="798"/>
      <c r="F2" s="798"/>
      <c r="G2" s="798"/>
      <c r="H2" s="798"/>
    </row>
    <row r="3" spans="1:8" ht="24.75" customHeight="1">
      <c r="A3" s="800" t="s">
        <v>299</v>
      </c>
      <c r="B3" s="800"/>
      <c r="C3" s="800"/>
      <c r="D3" s="800"/>
      <c r="E3" s="800"/>
      <c r="F3" s="800"/>
      <c r="G3" s="800"/>
      <c r="H3" s="800"/>
    </row>
    <row r="4" spans="1:8" ht="24.75" customHeight="1" thickBot="1">
      <c r="A4" s="908" t="s">
        <v>300</v>
      </c>
      <c r="B4" s="908"/>
      <c r="C4" s="908"/>
      <c r="D4" s="908"/>
      <c r="E4" s="908"/>
      <c r="F4" s="908"/>
      <c r="G4" s="908"/>
      <c r="H4" s="908"/>
    </row>
    <row r="5" spans="1:8" ht="18.75" customHeight="1">
      <c r="A5" s="490" t="s">
        <v>234</v>
      </c>
      <c r="B5" s="491" t="s">
        <v>235</v>
      </c>
      <c r="C5" s="903" t="s">
        <v>301</v>
      </c>
      <c r="D5" s="905" t="s">
        <v>165</v>
      </c>
      <c r="E5" s="906"/>
      <c r="F5" s="906"/>
      <c r="G5" s="906"/>
      <c r="H5" s="907"/>
    </row>
    <row r="6" spans="1:8" ht="32.25" customHeight="1">
      <c r="A6" s="455" t="s">
        <v>237</v>
      </c>
      <c r="B6" s="454" t="s">
        <v>113</v>
      </c>
      <c r="C6" s="904"/>
      <c r="D6" s="446" t="s">
        <v>302</v>
      </c>
      <c r="E6" s="492" t="s">
        <v>303</v>
      </c>
      <c r="F6" s="492" t="s">
        <v>304</v>
      </c>
      <c r="G6" s="492" t="s">
        <v>305</v>
      </c>
      <c r="H6" s="493" t="s">
        <v>306</v>
      </c>
    </row>
    <row r="7" spans="1:8" ht="8.25" customHeight="1">
      <c r="A7" s="494"/>
      <c r="B7" s="446"/>
      <c r="C7" s="447"/>
      <c r="D7" s="446"/>
      <c r="E7" s="492"/>
      <c r="F7" s="492"/>
      <c r="G7" s="492"/>
      <c r="H7" s="493"/>
    </row>
    <row r="8" spans="1:8" s="209" customFormat="1" ht="25.8" customHeight="1">
      <c r="A8" s="205">
        <v>608619</v>
      </c>
      <c r="B8" s="206">
        <f>SUM(B9:B15)</f>
        <v>938873</v>
      </c>
      <c r="C8" s="495" t="s">
        <v>307</v>
      </c>
      <c r="D8" s="206">
        <f>SUM(D9:D15)</f>
        <v>1081311</v>
      </c>
      <c r="E8" s="206">
        <f>SUM(E9:E15)</f>
        <v>1081311</v>
      </c>
      <c r="F8" s="207">
        <v>0</v>
      </c>
      <c r="G8" s="207">
        <v>0</v>
      </c>
      <c r="H8" s="208">
        <v>0</v>
      </c>
    </row>
    <row r="9" spans="1:8" s="215" customFormat="1" ht="27.6" customHeight="1">
      <c r="A9" s="210">
        <v>4</v>
      </c>
      <c r="B9" s="211">
        <v>7</v>
      </c>
      <c r="C9" s="496" t="s">
        <v>308</v>
      </c>
      <c r="D9" s="211">
        <f t="shared" ref="D9:D15" si="0">SUM(E9:H9)</f>
        <v>7</v>
      </c>
      <c r="E9" s="212">
        <v>7</v>
      </c>
      <c r="F9" s="213">
        <v>0</v>
      </c>
      <c r="G9" s="213">
        <v>0</v>
      </c>
      <c r="H9" s="214">
        <v>0</v>
      </c>
    </row>
    <row r="10" spans="1:8" s="215" customFormat="1" ht="27.6" hidden="1" customHeight="1">
      <c r="A10" s="216">
        <v>0</v>
      </c>
      <c r="B10" s="413">
        <v>0</v>
      </c>
      <c r="C10" s="496" t="s">
        <v>309</v>
      </c>
      <c r="D10" s="211">
        <f t="shared" ref="D10" si="1">SUM(E10:H10)</f>
        <v>0</v>
      </c>
      <c r="E10" s="212">
        <v>0</v>
      </c>
      <c r="F10" s="213">
        <v>0</v>
      </c>
      <c r="G10" s="213">
        <v>0</v>
      </c>
      <c r="H10" s="214">
        <v>0</v>
      </c>
    </row>
    <row r="11" spans="1:8" s="215" customFormat="1" ht="27.6" customHeight="1">
      <c r="A11" s="216">
        <v>0</v>
      </c>
      <c r="B11" s="211">
        <v>5</v>
      </c>
      <c r="C11" s="496" t="s">
        <v>310</v>
      </c>
      <c r="D11" s="211">
        <f t="shared" si="0"/>
        <v>5</v>
      </c>
      <c r="E11" s="212">
        <v>5</v>
      </c>
      <c r="F11" s="213">
        <v>0</v>
      </c>
      <c r="G11" s="213">
        <v>0</v>
      </c>
      <c r="H11" s="214">
        <v>0</v>
      </c>
    </row>
    <row r="12" spans="1:8" s="215" customFormat="1" ht="30" customHeight="1">
      <c r="A12" s="210">
        <v>1660</v>
      </c>
      <c r="B12" s="211">
        <v>2000</v>
      </c>
      <c r="C12" s="496" t="s">
        <v>311</v>
      </c>
      <c r="D12" s="211">
        <f t="shared" si="0"/>
        <v>2000</v>
      </c>
      <c r="E12" s="212">
        <v>2000</v>
      </c>
      <c r="F12" s="213">
        <v>0</v>
      </c>
      <c r="G12" s="213">
        <v>0</v>
      </c>
      <c r="H12" s="214">
        <v>0</v>
      </c>
    </row>
    <row r="13" spans="1:8" s="215" customFormat="1" ht="27.6" customHeight="1">
      <c r="A13" s="216">
        <v>0</v>
      </c>
      <c r="B13" s="211">
        <v>121</v>
      </c>
      <c r="C13" s="496" t="s">
        <v>312</v>
      </c>
      <c r="D13" s="211">
        <f t="shared" si="0"/>
        <v>121</v>
      </c>
      <c r="E13" s="212">
        <v>121</v>
      </c>
      <c r="F13" s="213">
        <v>0</v>
      </c>
      <c r="G13" s="213">
        <v>0</v>
      </c>
      <c r="H13" s="214">
        <v>0</v>
      </c>
    </row>
    <row r="14" spans="1:8" s="215" customFormat="1" ht="29.25" customHeight="1">
      <c r="A14" s="210">
        <v>599602</v>
      </c>
      <c r="B14" s="211">
        <f>907621-8000</f>
        <v>899621</v>
      </c>
      <c r="C14" s="496" t="s">
        <v>313</v>
      </c>
      <c r="D14" s="211">
        <f t="shared" si="0"/>
        <v>1041700</v>
      </c>
      <c r="E14" s="211">
        <f>1043700-2000</f>
        <v>1041700</v>
      </c>
      <c r="F14" s="213">
        <v>0</v>
      </c>
      <c r="G14" s="213">
        <v>0</v>
      </c>
      <c r="H14" s="214">
        <v>0</v>
      </c>
    </row>
    <row r="15" spans="1:8" s="215" customFormat="1" ht="31.5" customHeight="1">
      <c r="A15" s="210">
        <v>7354</v>
      </c>
      <c r="B15" s="211">
        <v>37119</v>
      </c>
      <c r="C15" s="496" t="s">
        <v>314</v>
      </c>
      <c r="D15" s="211">
        <f t="shared" si="0"/>
        <v>37478</v>
      </c>
      <c r="E15" s="212">
        <v>37478</v>
      </c>
      <c r="F15" s="213">
        <v>0</v>
      </c>
      <c r="G15" s="213">
        <v>0</v>
      </c>
      <c r="H15" s="214">
        <v>0</v>
      </c>
    </row>
    <row r="16" spans="1:8" s="209" customFormat="1" ht="27.6" customHeight="1">
      <c r="A16" s="205">
        <v>53136</v>
      </c>
      <c r="B16" s="206">
        <f>B17</f>
        <v>75004</v>
      </c>
      <c r="C16" s="495" t="s">
        <v>315</v>
      </c>
      <c r="D16" s="206">
        <f>D17</f>
        <v>74795</v>
      </c>
      <c r="E16" s="207">
        <v>0</v>
      </c>
      <c r="F16" s="207">
        <v>0</v>
      </c>
      <c r="G16" s="206">
        <f>G17</f>
        <v>74795</v>
      </c>
      <c r="H16" s="208">
        <v>0</v>
      </c>
    </row>
    <row r="17" spans="1:8" s="215" customFormat="1" ht="27.6" customHeight="1">
      <c r="A17" s="216">
        <v>53136</v>
      </c>
      <c r="B17" s="213">
        <v>75004</v>
      </c>
      <c r="C17" s="496" t="s">
        <v>316</v>
      </c>
      <c r="D17" s="211">
        <f>SUM(E17:H17)</f>
        <v>74795</v>
      </c>
      <c r="E17" s="213">
        <v>0</v>
      </c>
      <c r="F17" s="213">
        <v>0</v>
      </c>
      <c r="G17" s="211">
        <v>74795</v>
      </c>
      <c r="H17" s="214">
        <v>0</v>
      </c>
    </row>
    <row r="18" spans="1:8" s="209" customFormat="1" ht="34.5" customHeight="1">
      <c r="A18" s="390">
        <v>0</v>
      </c>
      <c r="B18" s="207">
        <f>B19</f>
        <v>95</v>
      </c>
      <c r="C18" s="495" t="s">
        <v>317</v>
      </c>
      <c r="D18" s="207">
        <f>D19</f>
        <v>1140</v>
      </c>
      <c r="E18" s="207">
        <f>E19</f>
        <v>1140</v>
      </c>
      <c r="F18" s="207">
        <v>0</v>
      </c>
      <c r="G18" s="207">
        <f>G19</f>
        <v>0</v>
      </c>
      <c r="H18" s="208">
        <v>0</v>
      </c>
    </row>
    <row r="19" spans="1:8" s="215" customFormat="1" ht="24.6" customHeight="1">
      <c r="A19" s="216">
        <v>0</v>
      </c>
      <c r="B19" s="213">
        <v>95</v>
      </c>
      <c r="C19" s="496" t="s">
        <v>318</v>
      </c>
      <c r="D19" s="213">
        <f>SUM(E19:H19)</f>
        <v>1140</v>
      </c>
      <c r="E19" s="213">
        <v>1140</v>
      </c>
      <c r="F19" s="213">
        <v>0</v>
      </c>
      <c r="G19" s="213">
        <v>0</v>
      </c>
      <c r="H19" s="214">
        <v>0</v>
      </c>
    </row>
    <row r="20" spans="1:8" s="209" customFormat="1" ht="27.6" customHeight="1">
      <c r="A20" s="205">
        <v>524</v>
      </c>
      <c r="B20" s="206">
        <f>SUM(B21:B23)</f>
        <v>486</v>
      </c>
      <c r="C20" s="495" t="s">
        <v>319</v>
      </c>
      <c r="D20" s="206">
        <f>D21+D22+D23</f>
        <v>651</v>
      </c>
      <c r="E20" s="206">
        <f>SUM(E21:E23)</f>
        <v>651</v>
      </c>
      <c r="F20" s="207">
        <v>0</v>
      </c>
      <c r="G20" s="207">
        <v>0</v>
      </c>
      <c r="H20" s="208">
        <v>0</v>
      </c>
    </row>
    <row r="21" spans="1:8" s="215" customFormat="1" ht="27.6" customHeight="1">
      <c r="A21" s="216">
        <v>487</v>
      </c>
      <c r="B21" s="213">
        <v>473</v>
      </c>
      <c r="C21" s="496" t="s">
        <v>320</v>
      </c>
      <c r="D21" s="211">
        <f>SUM(E21:H21)</f>
        <v>639</v>
      </c>
      <c r="E21" s="211">
        <v>639</v>
      </c>
      <c r="F21" s="213">
        <v>0</v>
      </c>
      <c r="G21" s="213">
        <v>0</v>
      </c>
      <c r="H21" s="214">
        <v>0</v>
      </c>
    </row>
    <row r="22" spans="1:8" s="215" customFormat="1" ht="27.6" customHeight="1">
      <c r="A22" s="210">
        <v>2</v>
      </c>
      <c r="B22" s="211">
        <v>5</v>
      </c>
      <c r="C22" s="496" t="s">
        <v>321</v>
      </c>
      <c r="D22" s="211">
        <f>SUM(E22:H22)</f>
        <v>4</v>
      </c>
      <c r="E22" s="211">
        <v>4</v>
      </c>
      <c r="F22" s="213">
        <v>0</v>
      </c>
      <c r="G22" s="213">
        <v>0</v>
      </c>
      <c r="H22" s="214">
        <v>0</v>
      </c>
    </row>
    <row r="23" spans="1:8" s="215" customFormat="1" ht="27.6" customHeight="1">
      <c r="A23" s="210">
        <v>36</v>
      </c>
      <c r="B23" s="211">
        <v>8</v>
      </c>
      <c r="C23" s="496" t="s">
        <v>322</v>
      </c>
      <c r="D23" s="211">
        <f>SUM(E23:H23)</f>
        <v>8</v>
      </c>
      <c r="E23" s="211">
        <v>8</v>
      </c>
      <c r="F23" s="213">
        <v>0</v>
      </c>
      <c r="G23" s="213">
        <v>0</v>
      </c>
      <c r="H23" s="214">
        <v>0</v>
      </c>
    </row>
    <row r="24" spans="1:8" s="209" customFormat="1" ht="34.5" customHeight="1">
      <c r="A24" s="205">
        <v>456908015</v>
      </c>
      <c r="B24" s="206">
        <f>SUM(B25:B27)</f>
        <v>380066514</v>
      </c>
      <c r="C24" s="495" t="s">
        <v>323</v>
      </c>
      <c r="D24" s="206">
        <f>D25+D26+D27</f>
        <v>414987676</v>
      </c>
      <c r="E24" s="206">
        <f>E25+E26+E27</f>
        <v>17365</v>
      </c>
      <c r="F24" s="206">
        <f>F26+F27+F25</f>
        <v>414923371</v>
      </c>
      <c r="G24" s="206">
        <f>G26+G27+G25</f>
        <v>46940</v>
      </c>
      <c r="H24" s="208">
        <v>0</v>
      </c>
    </row>
    <row r="25" spans="1:8" s="215" customFormat="1" ht="27.6" customHeight="1">
      <c r="A25" s="210">
        <v>101188511</v>
      </c>
      <c r="B25" s="213">
        <v>384384</v>
      </c>
      <c r="C25" s="496" t="s">
        <v>324</v>
      </c>
      <c r="D25" s="211">
        <f>SUM(E25:H25)</f>
        <v>419658</v>
      </c>
      <c r="E25" s="213">
        <v>17365</v>
      </c>
      <c r="F25" s="211">
        <v>402293</v>
      </c>
      <c r="G25" s="213">
        <v>0</v>
      </c>
      <c r="H25" s="214">
        <v>0</v>
      </c>
    </row>
    <row r="26" spans="1:8" s="215" customFormat="1" ht="30" customHeight="1">
      <c r="A26" s="210">
        <v>308016995</v>
      </c>
      <c r="B26" s="211">
        <f>344445870-8830</f>
        <v>344437040</v>
      </c>
      <c r="C26" s="496" t="s">
        <v>325</v>
      </c>
      <c r="D26" s="211">
        <f>SUM(E26:H26)</f>
        <v>365121672</v>
      </c>
      <c r="E26" s="213">
        <v>0</v>
      </c>
      <c r="F26" s="211">
        <f>365080842-6110</f>
        <v>365074732</v>
      </c>
      <c r="G26" s="213">
        <v>46940</v>
      </c>
      <c r="H26" s="214">
        <v>0</v>
      </c>
    </row>
    <row r="27" spans="1:8" s="215" customFormat="1" ht="25.8" customHeight="1">
      <c r="A27" s="210">
        <v>47702508</v>
      </c>
      <c r="B27" s="211">
        <f>35228260+8000+8830</f>
        <v>35245090</v>
      </c>
      <c r="C27" s="496" t="s">
        <v>326</v>
      </c>
      <c r="D27" s="211">
        <f>SUM(E27:H27)</f>
        <v>49446346</v>
      </c>
      <c r="E27" s="213">
        <v>0</v>
      </c>
      <c r="F27" s="211">
        <f>49444346+2000</f>
        <v>49446346</v>
      </c>
      <c r="G27" s="213">
        <v>0</v>
      </c>
      <c r="H27" s="214">
        <v>0</v>
      </c>
    </row>
    <row r="28" spans="1:8" s="209" customFormat="1" ht="24.6" customHeight="1">
      <c r="A28" s="205">
        <v>1931341</v>
      </c>
      <c r="B28" s="206">
        <f>SUM(B29:B29)</f>
        <v>3042334</v>
      </c>
      <c r="C28" s="495" t="s">
        <v>327</v>
      </c>
      <c r="D28" s="206">
        <f>D29</f>
        <v>2388954</v>
      </c>
      <c r="E28" s="207">
        <f>E29</f>
        <v>265</v>
      </c>
      <c r="F28" s="207">
        <v>0</v>
      </c>
      <c r="G28" s="206">
        <f>G29</f>
        <v>2388599</v>
      </c>
      <c r="H28" s="217">
        <f>H29</f>
        <v>90</v>
      </c>
    </row>
    <row r="29" spans="1:8" s="215" customFormat="1" ht="24" customHeight="1">
      <c r="A29" s="216">
        <v>1931341</v>
      </c>
      <c r="B29" s="213">
        <v>3042334</v>
      </c>
      <c r="C29" s="496" t="s">
        <v>328</v>
      </c>
      <c r="D29" s="211">
        <f>SUM(E29:H29)</f>
        <v>2388954</v>
      </c>
      <c r="E29" s="213">
        <v>265</v>
      </c>
      <c r="F29" s="213">
        <v>0</v>
      </c>
      <c r="G29" s="211">
        <v>2388599</v>
      </c>
      <c r="H29" s="218">
        <v>90</v>
      </c>
    </row>
    <row r="30" spans="1:8" s="215" customFormat="1" ht="28.5" customHeight="1" thickBot="1">
      <c r="A30" s="222">
        <v>459501636</v>
      </c>
      <c r="B30" s="223">
        <f>B8+B16+B20+B24+B28+B18</f>
        <v>384123306</v>
      </c>
      <c r="C30" s="497" t="s">
        <v>329</v>
      </c>
      <c r="D30" s="223">
        <f>D8+D16+D20+D24+D28+D18</f>
        <v>418534527</v>
      </c>
      <c r="E30" s="223">
        <f t="shared" ref="E30:G30" si="2">E8+E16+E20+E24+E28+E18</f>
        <v>1100732</v>
      </c>
      <c r="F30" s="223">
        <f t="shared" si="2"/>
        <v>414923371</v>
      </c>
      <c r="G30" s="223">
        <f t="shared" si="2"/>
        <v>2510334</v>
      </c>
      <c r="H30" s="224">
        <f>H8+H16+H20+H24+H28+H18</f>
        <v>90</v>
      </c>
    </row>
  </sheetData>
  <mergeCells count="6">
    <mergeCell ref="C5:C6"/>
    <mergeCell ref="D5:H5"/>
    <mergeCell ref="A1:H1"/>
    <mergeCell ref="A2:H2"/>
    <mergeCell ref="A3:H3"/>
    <mergeCell ref="A4:H4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43" orientation="portrait" useFirstPageNumber="1" r:id="rId1"/>
  <headerFooter alignWithMargins="0">
    <oddFooter>&amp;C&amp;"Times New Roman,標準"&amp;P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30"/>
  <sheetViews>
    <sheetView workbookViewId="0">
      <pane xSplit="1" ySplit="6" topLeftCell="B29" activePane="bottomRight" state="frozen"/>
      <selection activeCell="C18" sqref="C18"/>
      <selection pane="topRight" activeCell="C18" sqref="C18"/>
      <selection pane="bottomLeft" activeCell="C18" sqref="C18"/>
      <selection pane="bottomRight" activeCell="B28" sqref="B28"/>
    </sheetView>
  </sheetViews>
  <sheetFormatPr defaultColWidth="9" defaultRowHeight="15.6"/>
  <cols>
    <col min="1" max="1" width="24.33203125" style="2" bestFit="1" customWidth="1"/>
    <col min="2" max="3" width="12.77734375" style="2" bestFit="1" customWidth="1"/>
    <col min="4" max="4" width="9.44140625" style="2" bestFit="1" customWidth="1"/>
    <col min="5" max="5" width="12.77734375" style="2" customWidth="1"/>
    <col min="6" max="6" width="8.6640625" style="2" customWidth="1"/>
    <col min="7" max="7" width="9.44140625" style="2" customWidth="1"/>
    <col min="8" max="8" width="18.109375" style="2" customWidth="1"/>
    <col min="9" max="11" width="17.33203125" style="2" customWidth="1"/>
    <col min="12" max="12" width="20" style="2" customWidth="1"/>
    <col min="13" max="16384" width="9" style="2"/>
  </cols>
  <sheetData>
    <row r="1" spans="1:12" ht="22.2">
      <c r="A1" s="798" t="s">
        <v>109</v>
      </c>
      <c r="B1" s="798"/>
      <c r="C1" s="798"/>
      <c r="D1" s="798"/>
      <c r="E1" s="798"/>
      <c r="F1" s="798"/>
      <c r="G1" s="798"/>
      <c r="H1" s="798"/>
      <c r="I1" s="798"/>
      <c r="J1" s="798"/>
      <c r="K1" s="798"/>
      <c r="L1" s="798"/>
    </row>
    <row r="2" spans="1:12" ht="22.2">
      <c r="A2" s="798" t="s">
        <v>330</v>
      </c>
      <c r="B2" s="798"/>
      <c r="C2" s="798"/>
      <c r="D2" s="798"/>
      <c r="E2" s="798"/>
      <c r="F2" s="798"/>
      <c r="G2" s="798"/>
      <c r="H2" s="798"/>
      <c r="I2" s="798"/>
      <c r="J2" s="798"/>
      <c r="K2" s="798"/>
      <c r="L2" s="798"/>
    </row>
    <row r="3" spans="1:12" ht="24.6">
      <c r="B3" s="156"/>
      <c r="C3" s="156"/>
      <c r="D3" s="156"/>
      <c r="E3" s="156"/>
      <c r="F3" s="916" t="s">
        <v>331</v>
      </c>
      <c r="G3" s="916"/>
      <c r="H3" s="916"/>
      <c r="I3" s="156"/>
      <c r="J3" s="156"/>
      <c r="K3" s="156"/>
      <c r="L3" s="156"/>
    </row>
    <row r="4" spans="1:12" ht="24.75" customHeight="1" thickBot="1">
      <c r="B4" s="498"/>
      <c r="C4" s="498"/>
      <c r="D4" s="498"/>
      <c r="E4" s="498"/>
      <c r="F4" s="908" t="s">
        <v>332</v>
      </c>
      <c r="G4" s="908"/>
      <c r="H4" s="908"/>
      <c r="I4" s="498"/>
      <c r="K4" s="498"/>
      <c r="L4" s="499" t="s">
        <v>333</v>
      </c>
    </row>
    <row r="5" spans="1:12" ht="16.2">
      <c r="A5" s="914" t="s">
        <v>301</v>
      </c>
      <c r="B5" s="911" t="s">
        <v>302</v>
      </c>
      <c r="C5" s="909" t="s">
        <v>334</v>
      </c>
      <c r="D5" s="910"/>
      <c r="E5" s="910"/>
      <c r="F5" s="910"/>
      <c r="G5" s="913"/>
      <c r="H5" s="488" t="s">
        <v>335</v>
      </c>
      <c r="I5" s="909" t="s">
        <v>336</v>
      </c>
      <c r="J5" s="910"/>
      <c r="K5" s="910"/>
      <c r="L5" s="500" t="s">
        <v>337</v>
      </c>
    </row>
    <row r="6" spans="1:12" ht="32.25" customHeight="1">
      <c r="A6" s="915"/>
      <c r="B6" s="912"/>
      <c r="C6" s="446" t="s">
        <v>338</v>
      </c>
      <c r="D6" s="492" t="s">
        <v>303</v>
      </c>
      <c r="E6" s="492" t="s">
        <v>304</v>
      </c>
      <c r="F6" s="492" t="s">
        <v>305</v>
      </c>
      <c r="G6" s="501" t="s">
        <v>306</v>
      </c>
      <c r="H6" s="501" t="s">
        <v>303</v>
      </c>
      <c r="I6" s="446" t="s">
        <v>338</v>
      </c>
      <c r="J6" s="492" t="s">
        <v>304</v>
      </c>
      <c r="K6" s="492" t="s">
        <v>305</v>
      </c>
      <c r="L6" s="493" t="s">
        <v>305</v>
      </c>
    </row>
    <row r="7" spans="1:12" ht="8.25" customHeight="1">
      <c r="A7" s="8"/>
      <c r="B7" s="446"/>
      <c r="C7" s="86"/>
      <c r="D7" s="492"/>
      <c r="E7" s="492"/>
      <c r="F7" s="492"/>
      <c r="G7" s="501"/>
      <c r="H7" s="501"/>
      <c r="I7" s="86"/>
      <c r="J7" s="492"/>
      <c r="K7" s="492"/>
      <c r="L7" s="493"/>
    </row>
    <row r="8" spans="1:12" s="209" customFormat="1" ht="28.2" customHeight="1">
      <c r="A8" s="502" t="s">
        <v>307</v>
      </c>
      <c r="B8" s="207">
        <f t="shared" ref="B8:B30" si="0">C8+L8+H8+I8</f>
        <v>1081311</v>
      </c>
      <c r="C8" s="207">
        <f>SUM(D8:G8)</f>
        <v>68000</v>
      </c>
      <c r="D8" s="207">
        <f>SUM(D9:D15)</f>
        <v>68000</v>
      </c>
      <c r="E8" s="207">
        <f>SUM(E9:E15)</f>
        <v>0</v>
      </c>
      <c r="F8" s="207">
        <f>SUM(F9:F15)</f>
        <v>0</v>
      </c>
      <c r="G8" s="207">
        <f>SUM(G9:G15)</f>
        <v>0</v>
      </c>
      <c r="H8" s="207">
        <f>SUM(H9:H15)</f>
        <v>1013311</v>
      </c>
      <c r="I8" s="207">
        <f t="shared" ref="I8:I30" si="1">SUM(J8:K8)</f>
        <v>0</v>
      </c>
      <c r="J8" s="207">
        <f>SUM(J9:J15)</f>
        <v>0</v>
      </c>
      <c r="K8" s="372">
        <f>SUM(K9:K15)</f>
        <v>0</v>
      </c>
      <c r="L8" s="208">
        <f>SUM(L9:L15)</f>
        <v>0</v>
      </c>
    </row>
    <row r="9" spans="1:12" s="215" customFormat="1" ht="28.2" customHeight="1">
      <c r="A9" s="503" t="s">
        <v>308</v>
      </c>
      <c r="B9" s="213">
        <f t="shared" si="0"/>
        <v>7</v>
      </c>
      <c r="C9" s="213">
        <f t="shared" ref="C9:C30" si="2">SUM(D9:G9)</f>
        <v>0</v>
      </c>
      <c r="D9" s="213">
        <v>0</v>
      </c>
      <c r="E9" s="213">
        <v>0</v>
      </c>
      <c r="F9" s="213">
        <v>0</v>
      </c>
      <c r="G9" s="213">
        <v>0</v>
      </c>
      <c r="H9" s="213">
        <v>7</v>
      </c>
      <c r="I9" s="213">
        <f t="shared" si="1"/>
        <v>0</v>
      </c>
      <c r="J9" s="213">
        <v>0</v>
      </c>
      <c r="K9" s="373">
        <v>0</v>
      </c>
      <c r="L9" s="214">
        <v>0</v>
      </c>
    </row>
    <row r="10" spans="1:12" s="215" customFormat="1" ht="30" hidden="1" customHeight="1">
      <c r="A10" s="503" t="s">
        <v>339</v>
      </c>
      <c r="B10" s="213">
        <f t="shared" ref="B10" si="3">C10+L10+H10+I10</f>
        <v>0</v>
      </c>
      <c r="C10" s="213">
        <f t="shared" ref="C10" si="4">SUM(D10:G10)</f>
        <v>0</v>
      </c>
      <c r="D10" s="213">
        <v>0</v>
      </c>
      <c r="E10" s="213">
        <v>0</v>
      </c>
      <c r="F10" s="213">
        <v>0</v>
      </c>
      <c r="G10" s="213">
        <v>0</v>
      </c>
      <c r="H10" s="213">
        <v>0</v>
      </c>
      <c r="I10" s="213">
        <f t="shared" ref="I10" si="5">SUM(J10:K10)</f>
        <v>0</v>
      </c>
      <c r="J10" s="213">
        <v>0</v>
      </c>
      <c r="K10" s="373">
        <v>0</v>
      </c>
      <c r="L10" s="214">
        <v>0</v>
      </c>
    </row>
    <row r="11" spans="1:12" s="215" customFormat="1" ht="28.2" customHeight="1">
      <c r="A11" s="503" t="s">
        <v>310</v>
      </c>
      <c r="B11" s="213">
        <f t="shared" si="0"/>
        <v>5</v>
      </c>
      <c r="C11" s="213">
        <f t="shared" si="2"/>
        <v>0</v>
      </c>
      <c r="D11" s="213">
        <v>0</v>
      </c>
      <c r="E11" s="213">
        <v>0</v>
      </c>
      <c r="F11" s="213">
        <v>0</v>
      </c>
      <c r="G11" s="213">
        <v>0</v>
      </c>
      <c r="H11" s="213">
        <v>5</v>
      </c>
      <c r="I11" s="213">
        <f t="shared" si="1"/>
        <v>0</v>
      </c>
      <c r="J11" s="213">
        <v>0</v>
      </c>
      <c r="K11" s="373">
        <v>0</v>
      </c>
      <c r="L11" s="214">
        <v>0</v>
      </c>
    </row>
    <row r="12" spans="1:12" s="215" customFormat="1" ht="28.2" customHeight="1">
      <c r="A12" s="503" t="s">
        <v>311</v>
      </c>
      <c r="B12" s="213">
        <f t="shared" si="0"/>
        <v>2000</v>
      </c>
      <c r="C12" s="213">
        <f t="shared" si="2"/>
        <v>0</v>
      </c>
      <c r="D12" s="213">
        <v>0</v>
      </c>
      <c r="E12" s="213">
        <v>0</v>
      </c>
      <c r="F12" s="213">
        <v>0</v>
      </c>
      <c r="G12" s="213">
        <v>0</v>
      </c>
      <c r="H12" s="213">
        <v>2000</v>
      </c>
      <c r="I12" s="213">
        <f t="shared" si="1"/>
        <v>0</v>
      </c>
      <c r="J12" s="213">
        <v>0</v>
      </c>
      <c r="K12" s="373">
        <v>0</v>
      </c>
      <c r="L12" s="214">
        <v>0</v>
      </c>
    </row>
    <row r="13" spans="1:12" s="215" customFormat="1" ht="28.2" customHeight="1">
      <c r="A13" s="503" t="s">
        <v>312</v>
      </c>
      <c r="B13" s="213">
        <f t="shared" si="0"/>
        <v>121</v>
      </c>
      <c r="C13" s="213">
        <f t="shared" si="2"/>
        <v>0</v>
      </c>
      <c r="D13" s="213">
        <v>0</v>
      </c>
      <c r="E13" s="213">
        <v>0</v>
      </c>
      <c r="F13" s="213">
        <v>0</v>
      </c>
      <c r="G13" s="213">
        <v>0</v>
      </c>
      <c r="H13" s="213">
        <v>121</v>
      </c>
      <c r="I13" s="213">
        <f t="shared" si="1"/>
        <v>0</v>
      </c>
      <c r="J13" s="213">
        <v>0</v>
      </c>
      <c r="K13" s="373">
        <v>0</v>
      </c>
      <c r="L13" s="214">
        <v>0</v>
      </c>
    </row>
    <row r="14" spans="1:12" s="215" customFormat="1" ht="31.5" customHeight="1">
      <c r="A14" s="503" t="s">
        <v>313</v>
      </c>
      <c r="B14" s="213">
        <f t="shared" si="0"/>
        <v>1041700</v>
      </c>
      <c r="C14" s="213">
        <f t="shared" si="2"/>
        <v>68000</v>
      </c>
      <c r="D14" s="213">
        <v>68000</v>
      </c>
      <c r="E14" s="213">
        <v>0</v>
      </c>
      <c r="F14" s="213">
        <v>0</v>
      </c>
      <c r="G14" s="213">
        <v>0</v>
      </c>
      <c r="H14" s="213">
        <v>973700</v>
      </c>
      <c r="I14" s="213">
        <f t="shared" si="1"/>
        <v>0</v>
      </c>
      <c r="J14" s="213">
        <v>0</v>
      </c>
      <c r="K14" s="373">
        <v>0</v>
      </c>
      <c r="L14" s="214">
        <v>0</v>
      </c>
    </row>
    <row r="15" spans="1:12" s="215" customFormat="1" ht="28.2" customHeight="1">
      <c r="A15" s="503" t="s">
        <v>314</v>
      </c>
      <c r="B15" s="213">
        <f t="shared" si="0"/>
        <v>37478</v>
      </c>
      <c r="C15" s="213">
        <f t="shared" si="2"/>
        <v>0</v>
      </c>
      <c r="D15" s="213">
        <v>0</v>
      </c>
      <c r="E15" s="213">
        <v>0</v>
      </c>
      <c r="F15" s="213">
        <v>0</v>
      </c>
      <c r="G15" s="213">
        <v>0</v>
      </c>
      <c r="H15" s="213">
        <v>37478</v>
      </c>
      <c r="I15" s="213">
        <f t="shared" si="1"/>
        <v>0</v>
      </c>
      <c r="J15" s="213">
        <v>0</v>
      </c>
      <c r="K15" s="373">
        <v>0</v>
      </c>
      <c r="L15" s="214">
        <v>0</v>
      </c>
    </row>
    <row r="16" spans="1:12" s="209" customFormat="1" ht="33" customHeight="1">
      <c r="A16" s="502" t="s">
        <v>315</v>
      </c>
      <c r="B16" s="207">
        <f t="shared" si="0"/>
        <v>74795</v>
      </c>
      <c r="C16" s="207">
        <f>SUM(D16:G16)</f>
        <v>74795</v>
      </c>
      <c r="D16" s="207">
        <f>D17</f>
        <v>0</v>
      </c>
      <c r="E16" s="207">
        <f>E17</f>
        <v>0</v>
      </c>
      <c r="F16" s="207">
        <f>F17</f>
        <v>74795</v>
      </c>
      <c r="G16" s="207">
        <f>G17</f>
        <v>0</v>
      </c>
      <c r="H16" s="207">
        <f>H17</f>
        <v>0</v>
      </c>
      <c r="I16" s="207">
        <f t="shared" si="1"/>
        <v>0</v>
      </c>
      <c r="J16" s="207">
        <f>J17</f>
        <v>0</v>
      </c>
      <c r="K16" s="372">
        <f>K17</f>
        <v>0</v>
      </c>
      <c r="L16" s="208">
        <f>L17</f>
        <v>0</v>
      </c>
    </row>
    <row r="17" spans="1:12" s="215" customFormat="1" ht="31.5" customHeight="1">
      <c r="A17" s="503" t="s">
        <v>316</v>
      </c>
      <c r="B17" s="213">
        <f t="shared" si="0"/>
        <v>74795</v>
      </c>
      <c r="C17" s="213">
        <f t="shared" si="2"/>
        <v>74795</v>
      </c>
      <c r="D17" s="213">
        <v>0</v>
      </c>
      <c r="E17" s="213">
        <v>0</v>
      </c>
      <c r="F17" s="213">
        <v>74795</v>
      </c>
      <c r="G17" s="213">
        <v>0</v>
      </c>
      <c r="H17" s="213">
        <v>0</v>
      </c>
      <c r="I17" s="213">
        <f t="shared" si="1"/>
        <v>0</v>
      </c>
      <c r="J17" s="213">
        <v>0</v>
      </c>
      <c r="K17" s="373">
        <v>0</v>
      </c>
      <c r="L17" s="214">
        <v>0</v>
      </c>
    </row>
    <row r="18" spans="1:12" s="209" customFormat="1" ht="28.2" customHeight="1">
      <c r="A18" s="502" t="s">
        <v>317</v>
      </c>
      <c r="B18" s="207">
        <f t="shared" ref="B18:B19" si="6">C18+L18+H18+I18</f>
        <v>1140</v>
      </c>
      <c r="C18" s="207">
        <f>SUM(D18:G18)</f>
        <v>0</v>
      </c>
      <c r="D18" s="207">
        <f>D19</f>
        <v>0</v>
      </c>
      <c r="E18" s="207">
        <f>E19</f>
        <v>0</v>
      </c>
      <c r="F18" s="207">
        <f>F19</f>
        <v>0</v>
      </c>
      <c r="G18" s="207">
        <f>G19</f>
        <v>0</v>
      </c>
      <c r="H18" s="207">
        <f>H19</f>
        <v>1140</v>
      </c>
      <c r="I18" s="207">
        <f t="shared" ref="I18:I19" si="7">SUM(J18:K18)</f>
        <v>0</v>
      </c>
      <c r="J18" s="207">
        <f>J19</f>
        <v>0</v>
      </c>
      <c r="K18" s="372">
        <f>K19</f>
        <v>0</v>
      </c>
      <c r="L18" s="208">
        <f>L19</f>
        <v>0</v>
      </c>
    </row>
    <row r="19" spans="1:12" s="215" customFormat="1" ht="27.6" customHeight="1">
      <c r="A19" s="503" t="s">
        <v>318</v>
      </c>
      <c r="B19" s="213">
        <f t="shared" si="6"/>
        <v>1140</v>
      </c>
      <c r="C19" s="213">
        <f t="shared" ref="C19" si="8">SUM(D19:G19)</f>
        <v>0</v>
      </c>
      <c r="D19" s="213">
        <v>0</v>
      </c>
      <c r="E19" s="213">
        <v>0</v>
      </c>
      <c r="F19" s="213">
        <v>0</v>
      </c>
      <c r="G19" s="213">
        <v>0</v>
      </c>
      <c r="H19" s="213">
        <v>1140</v>
      </c>
      <c r="I19" s="213">
        <f t="shared" si="7"/>
        <v>0</v>
      </c>
      <c r="J19" s="213">
        <v>0</v>
      </c>
      <c r="K19" s="373">
        <v>0</v>
      </c>
      <c r="L19" s="214">
        <v>0</v>
      </c>
    </row>
    <row r="20" spans="1:12" s="209" customFormat="1" ht="28.2" customHeight="1">
      <c r="A20" s="502" t="s">
        <v>319</v>
      </c>
      <c r="B20" s="207">
        <f t="shared" si="0"/>
        <v>651</v>
      </c>
      <c r="C20" s="207">
        <f>SUM(D20:G20)</f>
        <v>0</v>
      </c>
      <c r="D20" s="207">
        <f>SUM(D21:D23)</f>
        <v>0</v>
      </c>
      <c r="E20" s="207">
        <f>SUM(E21:E23)</f>
        <v>0</v>
      </c>
      <c r="F20" s="207">
        <f>SUM(F21:F23)</f>
        <v>0</v>
      </c>
      <c r="G20" s="207">
        <f>SUM(G21:G23)</f>
        <v>0</v>
      </c>
      <c r="H20" s="207">
        <f>SUM(H21:H23)</f>
        <v>651</v>
      </c>
      <c r="I20" s="207">
        <f t="shared" si="1"/>
        <v>0</v>
      </c>
      <c r="J20" s="207">
        <f>SUM(J21:J23)</f>
        <v>0</v>
      </c>
      <c r="K20" s="372">
        <f>SUM(K21:K23)</f>
        <v>0</v>
      </c>
      <c r="L20" s="208">
        <f>SUM(L21:L23)</f>
        <v>0</v>
      </c>
    </row>
    <row r="21" spans="1:12" s="215" customFormat="1" ht="28.2" customHeight="1">
      <c r="A21" s="503" t="s">
        <v>320</v>
      </c>
      <c r="B21" s="213">
        <f t="shared" si="0"/>
        <v>639</v>
      </c>
      <c r="C21" s="213">
        <f t="shared" si="2"/>
        <v>0</v>
      </c>
      <c r="D21" s="213">
        <v>0</v>
      </c>
      <c r="E21" s="213">
        <v>0</v>
      </c>
      <c r="F21" s="213">
        <v>0</v>
      </c>
      <c r="G21" s="213">
        <v>0</v>
      </c>
      <c r="H21" s="213">
        <v>639</v>
      </c>
      <c r="I21" s="213">
        <f t="shared" si="1"/>
        <v>0</v>
      </c>
      <c r="J21" s="213">
        <v>0</v>
      </c>
      <c r="K21" s="373">
        <v>0</v>
      </c>
      <c r="L21" s="214">
        <v>0</v>
      </c>
    </row>
    <row r="22" spans="1:12" s="215" customFormat="1" ht="31.5" customHeight="1">
      <c r="A22" s="503" t="s">
        <v>321</v>
      </c>
      <c r="B22" s="213">
        <f t="shared" si="0"/>
        <v>4</v>
      </c>
      <c r="C22" s="213">
        <f t="shared" si="2"/>
        <v>0</v>
      </c>
      <c r="D22" s="213">
        <v>0</v>
      </c>
      <c r="E22" s="213">
        <v>0</v>
      </c>
      <c r="F22" s="213">
        <v>0</v>
      </c>
      <c r="G22" s="213">
        <v>0</v>
      </c>
      <c r="H22" s="213">
        <v>4</v>
      </c>
      <c r="I22" s="213">
        <f t="shared" si="1"/>
        <v>0</v>
      </c>
      <c r="J22" s="213">
        <v>0</v>
      </c>
      <c r="K22" s="373">
        <v>0</v>
      </c>
      <c r="L22" s="214">
        <v>0</v>
      </c>
    </row>
    <row r="23" spans="1:12" s="215" customFormat="1" ht="24" customHeight="1">
      <c r="A23" s="503" t="s">
        <v>322</v>
      </c>
      <c r="B23" s="213">
        <f t="shared" si="0"/>
        <v>8</v>
      </c>
      <c r="C23" s="213">
        <f t="shared" si="2"/>
        <v>0</v>
      </c>
      <c r="D23" s="213">
        <v>0</v>
      </c>
      <c r="E23" s="213">
        <v>0</v>
      </c>
      <c r="F23" s="213">
        <v>0</v>
      </c>
      <c r="G23" s="213">
        <v>0</v>
      </c>
      <c r="H23" s="213">
        <v>8</v>
      </c>
      <c r="I23" s="213">
        <f t="shared" si="1"/>
        <v>0</v>
      </c>
      <c r="J23" s="213">
        <v>0</v>
      </c>
      <c r="K23" s="373">
        <v>0</v>
      </c>
      <c r="L23" s="214">
        <v>0</v>
      </c>
    </row>
    <row r="24" spans="1:12" s="209" customFormat="1" ht="25.8" customHeight="1">
      <c r="A24" s="502" t="s">
        <v>323</v>
      </c>
      <c r="B24" s="207">
        <f t="shared" si="0"/>
        <v>414987676</v>
      </c>
      <c r="C24" s="207">
        <f t="shared" si="2"/>
        <v>414364462</v>
      </c>
      <c r="D24" s="207">
        <f>SUM(D25:D27)</f>
        <v>0</v>
      </c>
      <c r="E24" s="207">
        <f>SUM(E25:E27)</f>
        <v>414364462</v>
      </c>
      <c r="F24" s="207">
        <f>SUM(F25:F27)</f>
        <v>0</v>
      </c>
      <c r="G24" s="207">
        <f>SUM(G25:G27)</f>
        <v>0</v>
      </c>
      <c r="H24" s="207">
        <f>SUM(H25:H27)</f>
        <v>17365</v>
      </c>
      <c r="I24" s="207">
        <f t="shared" si="1"/>
        <v>605849</v>
      </c>
      <c r="J24" s="207">
        <f>SUM(J25:J27)</f>
        <v>558909</v>
      </c>
      <c r="K24" s="372">
        <f>SUM(K25:K27)</f>
        <v>46940</v>
      </c>
      <c r="L24" s="208">
        <f>SUM(L25:L27)</f>
        <v>0</v>
      </c>
    </row>
    <row r="25" spans="1:12" s="215" customFormat="1" ht="24.6" customHeight="1">
      <c r="A25" s="503" t="s">
        <v>324</v>
      </c>
      <c r="B25" s="213">
        <f t="shared" si="0"/>
        <v>419658</v>
      </c>
      <c r="C25" s="213">
        <f t="shared" si="2"/>
        <v>401453</v>
      </c>
      <c r="D25" s="213">
        <v>0</v>
      </c>
      <c r="E25" s="213">
        <v>401453</v>
      </c>
      <c r="F25" s="213">
        <v>0</v>
      </c>
      <c r="G25" s="213">
        <v>0</v>
      </c>
      <c r="H25" s="213">
        <v>17365</v>
      </c>
      <c r="I25" s="213">
        <f t="shared" si="1"/>
        <v>840</v>
      </c>
      <c r="J25" s="213">
        <v>840</v>
      </c>
      <c r="K25" s="373">
        <v>0</v>
      </c>
      <c r="L25" s="214">
        <v>0</v>
      </c>
    </row>
    <row r="26" spans="1:12" s="215" customFormat="1" ht="28.2" customHeight="1">
      <c r="A26" s="503" t="s">
        <v>325</v>
      </c>
      <c r="B26" s="213">
        <f t="shared" si="0"/>
        <v>365121672</v>
      </c>
      <c r="C26" s="213">
        <f t="shared" si="2"/>
        <v>364516663</v>
      </c>
      <c r="D26" s="213">
        <v>0</v>
      </c>
      <c r="E26" s="213">
        <v>364516663</v>
      </c>
      <c r="F26" s="213">
        <v>0</v>
      </c>
      <c r="G26" s="213">
        <v>0</v>
      </c>
      <c r="H26" s="213">
        <v>0</v>
      </c>
      <c r="I26" s="213">
        <f t="shared" si="1"/>
        <v>605009</v>
      </c>
      <c r="J26" s="213">
        <v>558069</v>
      </c>
      <c r="K26" s="373">
        <v>46940</v>
      </c>
      <c r="L26" s="214">
        <v>0</v>
      </c>
    </row>
    <row r="27" spans="1:12" s="215" customFormat="1" ht="24" customHeight="1">
      <c r="A27" s="503" t="s">
        <v>326</v>
      </c>
      <c r="B27" s="213">
        <f t="shared" si="0"/>
        <v>49446346</v>
      </c>
      <c r="C27" s="213">
        <f t="shared" si="2"/>
        <v>49446346</v>
      </c>
      <c r="D27" s="213">
        <v>0</v>
      </c>
      <c r="E27" s="213">
        <v>49446346</v>
      </c>
      <c r="F27" s="213">
        <v>0</v>
      </c>
      <c r="G27" s="213">
        <v>0</v>
      </c>
      <c r="H27" s="213">
        <v>0</v>
      </c>
      <c r="I27" s="213">
        <f t="shared" si="1"/>
        <v>0</v>
      </c>
      <c r="J27" s="213">
        <v>0</v>
      </c>
      <c r="K27" s="373">
        <v>0</v>
      </c>
      <c r="L27" s="214">
        <v>0</v>
      </c>
    </row>
    <row r="28" spans="1:12" s="209" customFormat="1" ht="29.25" customHeight="1">
      <c r="A28" s="502" t="s">
        <v>327</v>
      </c>
      <c r="B28" s="207">
        <f t="shared" si="0"/>
        <v>2388954</v>
      </c>
      <c r="C28" s="207">
        <f t="shared" si="2"/>
        <v>90</v>
      </c>
      <c r="D28" s="207">
        <f>D29</f>
        <v>0</v>
      </c>
      <c r="E28" s="207">
        <f>E29</f>
        <v>0</v>
      </c>
      <c r="F28" s="207">
        <f>F29</f>
        <v>0</v>
      </c>
      <c r="G28" s="207">
        <f>G29</f>
        <v>90</v>
      </c>
      <c r="H28" s="207">
        <f>H29</f>
        <v>265</v>
      </c>
      <c r="I28" s="372">
        <f t="shared" si="1"/>
        <v>0</v>
      </c>
      <c r="J28" s="207">
        <f>J29</f>
        <v>0</v>
      </c>
      <c r="K28" s="406">
        <f>K29</f>
        <v>0</v>
      </c>
      <c r="L28" s="208">
        <f>L29</f>
        <v>2388599</v>
      </c>
    </row>
    <row r="29" spans="1:12" s="215" customFormat="1" ht="27" customHeight="1">
      <c r="A29" s="503" t="s">
        <v>328</v>
      </c>
      <c r="B29" s="213">
        <f t="shared" si="0"/>
        <v>2388954</v>
      </c>
      <c r="C29" s="213">
        <f t="shared" si="2"/>
        <v>90</v>
      </c>
      <c r="D29" s="213">
        <v>0</v>
      </c>
      <c r="E29" s="213">
        <v>0</v>
      </c>
      <c r="F29" s="213">
        <v>0</v>
      </c>
      <c r="G29" s="369">
        <v>90</v>
      </c>
      <c r="H29" s="213">
        <v>265</v>
      </c>
      <c r="I29" s="213">
        <f t="shared" si="1"/>
        <v>0</v>
      </c>
      <c r="J29" s="213">
        <v>0</v>
      </c>
      <c r="K29" s="373">
        <v>0</v>
      </c>
      <c r="L29" s="214">
        <v>2388599</v>
      </c>
    </row>
    <row r="30" spans="1:12" s="215" customFormat="1" ht="27" customHeight="1" thickBot="1">
      <c r="A30" s="504" t="s">
        <v>329</v>
      </c>
      <c r="B30" s="368">
        <f t="shared" si="0"/>
        <v>418534527</v>
      </c>
      <c r="C30" s="368">
        <f t="shared" si="2"/>
        <v>414507347</v>
      </c>
      <c r="D30" s="368">
        <f>D8+D16+D20+D24+D28</f>
        <v>68000</v>
      </c>
      <c r="E30" s="368">
        <f>E8+E16+E20+E24+E28</f>
        <v>414364462</v>
      </c>
      <c r="F30" s="368">
        <f>F8+F16+F20+F24+F28</f>
        <v>74795</v>
      </c>
      <c r="G30" s="368">
        <f>G8+G16+G20+G24+G28</f>
        <v>90</v>
      </c>
      <c r="H30" s="368">
        <f>H8+H16+H20+H24+H28+H18</f>
        <v>1032732</v>
      </c>
      <c r="I30" s="368">
        <f t="shared" si="1"/>
        <v>605849</v>
      </c>
      <c r="J30" s="368">
        <f>J8+J16+J20+J24+J28</f>
        <v>558909</v>
      </c>
      <c r="K30" s="374">
        <f>K8+K16+K20+K24+K28</f>
        <v>46940</v>
      </c>
      <c r="L30" s="370">
        <f>L8+L16+L20+L24+L28</f>
        <v>2388599</v>
      </c>
    </row>
  </sheetData>
  <mergeCells count="8">
    <mergeCell ref="I5:K5"/>
    <mergeCell ref="A1:L1"/>
    <mergeCell ref="A2:L2"/>
    <mergeCell ref="F4:H4"/>
    <mergeCell ref="B5:B6"/>
    <mergeCell ref="C5:G5"/>
    <mergeCell ref="A5:A6"/>
    <mergeCell ref="F3:H3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44" orientation="portrait" useFirstPageNumber="1" r:id="rId1"/>
  <headerFooter alignWithMargins="0">
    <oddFooter>&amp;C&amp;"Times New Roman,標準"&amp;P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opLeftCell="A31" workbookViewId="0">
      <selection activeCell="D9" sqref="D9"/>
    </sheetView>
  </sheetViews>
  <sheetFormatPr defaultColWidth="9" defaultRowHeight="15.6"/>
  <cols>
    <col min="1" max="1" width="36.77734375" style="6" customWidth="1"/>
    <col min="2" max="5" width="13.33203125" style="6" customWidth="1"/>
    <col min="6" max="16384" width="9" style="6"/>
  </cols>
  <sheetData>
    <row r="1" spans="1:5" s="2" customFormat="1" ht="22.2">
      <c r="A1" s="798" t="s">
        <v>109</v>
      </c>
      <c r="B1" s="798"/>
      <c r="C1" s="798"/>
      <c r="D1" s="798"/>
      <c r="E1" s="798"/>
    </row>
    <row r="2" spans="1:5" s="2" customFormat="1" ht="22.2">
      <c r="A2" s="798" t="s">
        <v>110</v>
      </c>
      <c r="B2" s="798"/>
      <c r="C2" s="798"/>
      <c r="D2" s="798"/>
      <c r="E2" s="798"/>
    </row>
    <row r="3" spans="1:5" s="2" customFormat="1" ht="24.75" customHeight="1">
      <c r="A3" s="800" t="s">
        <v>340</v>
      </c>
      <c r="B3" s="800"/>
      <c r="C3" s="800"/>
      <c r="D3" s="800"/>
      <c r="E3" s="800"/>
    </row>
    <row r="4" spans="1:5" s="2" customFormat="1" ht="24.9" customHeight="1" thickBot="1">
      <c r="A4" s="815" t="s">
        <v>341</v>
      </c>
      <c r="B4" s="815"/>
      <c r="C4" s="815"/>
      <c r="D4" s="815"/>
      <c r="E4" s="815"/>
    </row>
    <row r="5" spans="1:5">
      <c r="A5" s="920" t="s">
        <v>342</v>
      </c>
      <c r="B5" s="917" t="s">
        <v>343</v>
      </c>
      <c r="C5" s="917"/>
      <c r="D5" s="917"/>
      <c r="E5" s="918" t="s">
        <v>344</v>
      </c>
    </row>
    <row r="6" spans="1:5" ht="32.4">
      <c r="A6" s="921"/>
      <c r="B6" s="505" t="s">
        <v>345</v>
      </c>
      <c r="C6" s="505" t="s">
        <v>346</v>
      </c>
      <c r="D6" s="506" t="s">
        <v>347</v>
      </c>
      <c r="E6" s="919"/>
    </row>
    <row r="7" spans="1:5" ht="8.25" customHeight="1">
      <c r="A7" s="58"/>
      <c r="B7" s="59"/>
      <c r="C7" s="59"/>
      <c r="D7" s="59"/>
      <c r="E7" s="60"/>
    </row>
    <row r="8" spans="1:5" s="262" customFormat="1" ht="34.5" customHeight="1">
      <c r="A8" s="507" t="s">
        <v>348</v>
      </c>
      <c r="B8" s="63">
        <f>SUM(B9:B24)</f>
        <v>2162610</v>
      </c>
      <c r="C8" s="63"/>
      <c r="D8" s="63">
        <f>SUM(D9:D24)</f>
        <v>2162610</v>
      </c>
      <c r="E8" s="256">
        <f>SUM(E9:E24)</f>
        <v>214545</v>
      </c>
    </row>
    <row r="9" spans="1:5" ht="42.6" customHeight="1">
      <c r="A9" s="508" t="s">
        <v>349</v>
      </c>
      <c r="B9" s="61">
        <v>1688197</v>
      </c>
      <c r="C9" s="61"/>
      <c r="D9" s="61">
        <f>SUM(B9:C9)</f>
        <v>1688197</v>
      </c>
      <c r="E9" s="62">
        <v>147347</v>
      </c>
    </row>
    <row r="10" spans="1:5" s="31" customFormat="1" ht="32.25" customHeight="1">
      <c r="A10" s="508" t="s">
        <v>350</v>
      </c>
      <c r="B10" s="61"/>
      <c r="C10" s="61"/>
      <c r="D10" s="61"/>
      <c r="E10" s="62">
        <v>1288</v>
      </c>
    </row>
    <row r="11" spans="1:5" s="10" customFormat="1" ht="32.25" customHeight="1">
      <c r="A11" s="508" t="s">
        <v>351</v>
      </c>
      <c r="B11" s="61">
        <v>149250</v>
      </c>
      <c r="C11" s="61"/>
      <c r="D11" s="61">
        <f t="shared" ref="D11:D20" si="0">SUM(B11:C11)</f>
        <v>149250</v>
      </c>
      <c r="E11" s="62">
        <v>19506</v>
      </c>
    </row>
    <row r="12" spans="1:5" s="10" customFormat="1" ht="36.75" customHeight="1">
      <c r="A12" s="508" t="s">
        <v>352</v>
      </c>
      <c r="B12" s="61">
        <v>101728</v>
      </c>
      <c r="C12" s="61"/>
      <c r="D12" s="61">
        <f t="shared" si="0"/>
        <v>101728</v>
      </c>
      <c r="E12" s="62">
        <v>9737</v>
      </c>
    </row>
    <row r="13" spans="1:5" s="10" customFormat="1" ht="32.25" customHeight="1">
      <c r="A13" s="508" t="s">
        <v>353</v>
      </c>
      <c r="B13" s="61">
        <v>941</v>
      </c>
      <c r="C13" s="61"/>
      <c r="D13" s="61">
        <f t="shared" si="0"/>
        <v>941</v>
      </c>
      <c r="E13" s="441">
        <v>0</v>
      </c>
    </row>
    <row r="14" spans="1:5" s="10" customFormat="1" ht="32.25" customHeight="1">
      <c r="A14" s="508" t="s">
        <v>354</v>
      </c>
      <c r="B14" s="61">
        <v>1856</v>
      </c>
      <c r="C14" s="61"/>
      <c r="D14" s="61">
        <f t="shared" si="0"/>
        <v>1856</v>
      </c>
      <c r="E14" s="62">
        <v>359</v>
      </c>
    </row>
    <row r="15" spans="1:5" s="10" customFormat="1" ht="32.25" customHeight="1">
      <c r="A15" s="508" t="s">
        <v>355</v>
      </c>
      <c r="B15" s="61">
        <v>4059</v>
      </c>
      <c r="C15" s="61"/>
      <c r="D15" s="61">
        <f t="shared" si="0"/>
        <v>4059</v>
      </c>
      <c r="E15" s="62">
        <v>432</v>
      </c>
    </row>
    <row r="16" spans="1:5" ht="32.25" customHeight="1">
      <c r="A16" s="508" t="s">
        <v>356</v>
      </c>
      <c r="B16" s="61">
        <v>5425</v>
      </c>
      <c r="C16" s="63"/>
      <c r="D16" s="61">
        <f t="shared" si="0"/>
        <v>5425</v>
      </c>
      <c r="E16" s="441">
        <v>0</v>
      </c>
    </row>
    <row r="17" spans="1:5" ht="36.75" customHeight="1">
      <c r="A17" s="508" t="s">
        <v>357</v>
      </c>
      <c r="B17" s="61">
        <v>21246</v>
      </c>
      <c r="C17" s="61"/>
      <c r="D17" s="61">
        <f t="shared" si="0"/>
        <v>21246</v>
      </c>
      <c r="E17" s="441">
        <v>0</v>
      </c>
    </row>
    <row r="18" spans="1:5" ht="36.75" customHeight="1">
      <c r="A18" s="508" t="s">
        <v>358</v>
      </c>
      <c r="B18" s="61">
        <v>22185</v>
      </c>
      <c r="C18" s="61"/>
      <c r="D18" s="61">
        <f t="shared" si="0"/>
        <v>22185</v>
      </c>
      <c r="E18" s="62">
        <v>2135</v>
      </c>
    </row>
    <row r="19" spans="1:5" ht="36.75" customHeight="1">
      <c r="A19" s="508" t="s">
        <v>359</v>
      </c>
      <c r="B19" s="61">
        <v>1142</v>
      </c>
      <c r="C19" s="61"/>
      <c r="D19" s="61">
        <f t="shared" si="0"/>
        <v>1142</v>
      </c>
      <c r="E19" s="62">
        <v>94</v>
      </c>
    </row>
    <row r="20" spans="1:5" ht="37.5" customHeight="1">
      <c r="A20" s="508" t="s">
        <v>360</v>
      </c>
      <c r="B20" s="61">
        <v>166581</v>
      </c>
      <c r="C20" s="61"/>
      <c r="D20" s="61">
        <f t="shared" si="0"/>
        <v>166581</v>
      </c>
      <c r="E20" s="62">
        <v>33647</v>
      </c>
    </row>
    <row r="21" spans="1:5" s="10" customFormat="1" ht="36.75" customHeight="1">
      <c r="A21" s="508"/>
      <c r="B21" s="61"/>
      <c r="C21" s="61"/>
      <c r="D21" s="61"/>
      <c r="E21" s="62"/>
    </row>
    <row r="22" spans="1:5" ht="32.25" customHeight="1">
      <c r="A22" s="508"/>
      <c r="B22" s="61"/>
      <c r="C22" s="61"/>
      <c r="D22" s="61"/>
      <c r="E22" s="62"/>
    </row>
    <row r="23" spans="1:5" ht="25.8" customHeight="1">
      <c r="A23" s="508"/>
      <c r="B23" s="61"/>
      <c r="C23" s="61"/>
      <c r="D23" s="61"/>
      <c r="E23" s="62"/>
    </row>
    <row r="24" spans="1:5" ht="38.25" customHeight="1">
      <c r="A24" s="508"/>
      <c r="B24" s="61"/>
      <c r="C24" s="61"/>
      <c r="D24" s="61"/>
      <c r="E24" s="62"/>
    </row>
    <row r="25" spans="1:5" ht="31.5" customHeight="1" thickBot="1">
      <c r="A25" s="287"/>
      <c r="B25" s="288"/>
      <c r="C25" s="288"/>
      <c r="D25" s="288"/>
      <c r="E25" s="289"/>
    </row>
  </sheetData>
  <mergeCells count="7">
    <mergeCell ref="B5:D5"/>
    <mergeCell ref="E5:E6"/>
    <mergeCell ref="A4:E4"/>
    <mergeCell ref="A1:E1"/>
    <mergeCell ref="A2:E2"/>
    <mergeCell ref="A3:E3"/>
    <mergeCell ref="A5:A6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47" orientation="portrait" useFirstPageNumber="1" r:id="rId1"/>
  <headerFooter alignWithMargins="0">
    <oddFooter>&amp;C&amp;"Times New Roman,標準"&amp;P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topLeftCell="A40" zoomScale="91" zoomScaleNormal="91" workbookViewId="0">
      <selection activeCell="H18" sqref="H18:H24"/>
    </sheetView>
  </sheetViews>
  <sheetFormatPr defaultColWidth="9" defaultRowHeight="15.6"/>
  <cols>
    <col min="1" max="1" width="24.6640625" style="6" customWidth="1"/>
    <col min="2" max="2" width="10.88671875" style="6" customWidth="1"/>
    <col min="3" max="3" width="11" style="6" customWidth="1"/>
    <col min="4" max="4" width="9.109375" style="6" customWidth="1"/>
    <col min="5" max="5" width="12.21875" style="6" customWidth="1"/>
    <col min="6" max="6" width="2.33203125" style="6" customWidth="1"/>
    <col min="7" max="7" width="3.21875" style="6" customWidth="1"/>
    <col min="8" max="8" width="16.6640625" style="6" customWidth="1"/>
    <col min="9" max="9" width="9" style="6"/>
    <col min="10" max="10" width="26.33203125" style="6" customWidth="1"/>
    <col min="11" max="11" width="19.88671875" style="6" customWidth="1"/>
    <col min="12" max="16384" width="9" style="6"/>
  </cols>
  <sheetData>
    <row r="1" spans="1:10" s="2" customFormat="1" ht="22.2">
      <c r="A1" s="798" t="s">
        <v>109</v>
      </c>
      <c r="B1" s="798"/>
      <c r="C1" s="798"/>
      <c r="D1" s="798"/>
      <c r="E1" s="798"/>
      <c r="F1" s="798"/>
      <c r="G1" s="798"/>
      <c r="H1" s="798"/>
      <c r="I1" s="1"/>
      <c r="J1" s="1"/>
    </row>
    <row r="2" spans="1:10" s="2" customFormat="1" ht="22.2">
      <c r="A2" s="798" t="s">
        <v>110</v>
      </c>
      <c r="B2" s="798"/>
      <c r="C2" s="798"/>
      <c r="D2" s="798"/>
      <c r="E2" s="798"/>
      <c r="F2" s="798"/>
      <c r="G2" s="798"/>
      <c r="H2" s="798"/>
      <c r="I2" s="1"/>
      <c r="J2" s="1"/>
    </row>
    <row r="3" spans="1:10" s="2" customFormat="1" ht="24.75" customHeight="1">
      <c r="A3" s="800" t="s">
        <v>361</v>
      </c>
      <c r="B3" s="800"/>
      <c r="C3" s="800"/>
      <c r="D3" s="800"/>
      <c r="E3" s="800"/>
      <c r="F3" s="800"/>
      <c r="G3" s="800"/>
      <c r="H3" s="800"/>
      <c r="I3" s="3"/>
    </row>
    <row r="4" spans="1:10" s="2" customFormat="1" ht="24.75" customHeight="1" thickBot="1">
      <c r="A4" s="815" t="s">
        <v>362</v>
      </c>
      <c r="B4" s="815"/>
      <c r="C4" s="815"/>
      <c r="D4" s="815"/>
      <c r="E4" s="815"/>
      <c r="F4" s="815"/>
      <c r="G4" s="815"/>
      <c r="H4" s="815"/>
      <c r="I4" s="4"/>
      <c r="J4" s="4"/>
    </row>
    <row r="5" spans="1:10" ht="15.75" customHeight="1">
      <c r="A5" s="862" t="s">
        <v>515</v>
      </c>
      <c r="B5" s="852" t="s">
        <v>113</v>
      </c>
      <c r="C5" s="853"/>
      <c r="D5" s="853"/>
      <c r="E5" s="854"/>
      <c r="F5" s="836" t="s">
        <v>114</v>
      </c>
      <c r="G5" s="837"/>
      <c r="H5" s="838"/>
      <c r="I5" s="4"/>
      <c r="J5" s="4"/>
    </row>
    <row r="6" spans="1:10">
      <c r="A6" s="863"/>
      <c r="B6" s="927" t="s">
        <v>363</v>
      </c>
      <c r="C6" s="929" t="s">
        <v>364</v>
      </c>
      <c r="D6" s="931" t="s">
        <v>365</v>
      </c>
      <c r="E6" s="937" t="s">
        <v>366</v>
      </c>
      <c r="F6" s="839"/>
      <c r="G6" s="840"/>
      <c r="H6" s="841"/>
      <c r="I6" s="4"/>
      <c r="J6" s="4"/>
    </row>
    <row r="7" spans="1:10" ht="21.75" customHeight="1">
      <c r="A7" s="864"/>
      <c r="B7" s="928"/>
      <c r="C7" s="930"/>
      <c r="D7" s="931"/>
      <c r="E7" s="937"/>
      <c r="F7" s="842"/>
      <c r="G7" s="843"/>
      <c r="H7" s="844"/>
    </row>
    <row r="8" spans="1:10" ht="3" customHeight="1">
      <c r="A8" s="74"/>
      <c r="B8" s="82"/>
      <c r="C8" s="82"/>
      <c r="D8" s="83"/>
      <c r="E8" s="446"/>
      <c r="F8" s="86"/>
      <c r="G8" s="143"/>
      <c r="H8" s="89"/>
    </row>
    <row r="9" spans="1:10" s="31" customFormat="1" ht="18.600000000000001" customHeight="1">
      <c r="A9" s="544" t="s">
        <v>652</v>
      </c>
      <c r="B9" s="90"/>
      <c r="C9" s="90"/>
      <c r="D9" s="90"/>
      <c r="E9" s="21">
        <f>E10+E27+E38</f>
        <v>382434846</v>
      </c>
      <c r="F9" s="925"/>
      <c r="G9" s="922"/>
      <c r="H9" s="926"/>
    </row>
    <row r="10" spans="1:10" s="31" customFormat="1" ht="18" customHeight="1">
      <c r="A10" s="545" t="s">
        <v>41</v>
      </c>
      <c r="B10" s="90"/>
      <c r="C10" s="90"/>
      <c r="D10" s="90"/>
      <c r="E10" s="21">
        <f>E11+E26</f>
        <v>353442724</v>
      </c>
      <c r="F10" s="87"/>
      <c r="G10" s="276"/>
      <c r="H10" s="405"/>
    </row>
    <row r="11" spans="1:10" s="31" customFormat="1" ht="30.6" customHeight="1">
      <c r="A11" s="546" t="s">
        <v>653</v>
      </c>
      <c r="B11" s="21">
        <f>SUM(B12:B25)</f>
        <v>10030000</v>
      </c>
      <c r="C11" s="21">
        <v>30850</v>
      </c>
      <c r="D11" s="258">
        <v>9.7200000000000006</v>
      </c>
      <c r="E11" s="21">
        <f>SUM(E12:E25)</f>
        <v>353189196</v>
      </c>
      <c r="F11" s="88" t="s">
        <v>4</v>
      </c>
      <c r="G11" s="922" t="s">
        <v>367</v>
      </c>
      <c r="H11" s="878"/>
    </row>
    <row r="12" spans="1:10" s="10" customFormat="1" ht="36" customHeight="1">
      <c r="A12" s="149" t="s">
        <v>654</v>
      </c>
      <c r="B12" s="9">
        <v>2947300</v>
      </c>
      <c r="C12" s="9">
        <v>32940</v>
      </c>
      <c r="D12" s="84">
        <v>9.76</v>
      </c>
      <c r="E12" s="9">
        <v>113704853</v>
      </c>
      <c r="F12" s="88"/>
      <c r="G12" s="936"/>
      <c r="H12" s="878"/>
    </row>
    <row r="13" spans="1:10" s="10" customFormat="1" ht="33" customHeight="1">
      <c r="A13" s="149" t="s">
        <v>655</v>
      </c>
      <c r="B13" s="9">
        <v>3185800</v>
      </c>
      <c r="C13" s="9">
        <v>31310</v>
      </c>
      <c r="D13" s="84">
        <v>9.69</v>
      </c>
      <c r="E13" s="9">
        <v>115986274</v>
      </c>
      <c r="F13" s="88"/>
      <c r="G13" s="936"/>
      <c r="H13" s="878"/>
    </row>
    <row r="14" spans="1:10" s="10" customFormat="1" ht="42.75" customHeight="1">
      <c r="A14" s="149" t="s">
        <v>663</v>
      </c>
      <c r="B14" s="9">
        <v>285800</v>
      </c>
      <c r="C14" s="9">
        <v>35070</v>
      </c>
      <c r="D14" s="84">
        <v>9.6199999999999992</v>
      </c>
      <c r="E14" s="9">
        <v>11570558</v>
      </c>
      <c r="F14" s="290"/>
      <c r="G14" s="936"/>
      <c r="H14" s="878"/>
    </row>
    <row r="15" spans="1:10" s="10" customFormat="1" ht="31.5" customHeight="1">
      <c r="A15" s="149" t="s">
        <v>664</v>
      </c>
      <c r="B15" s="9">
        <v>382100</v>
      </c>
      <c r="C15" s="9">
        <v>34500</v>
      </c>
      <c r="D15" s="84">
        <v>9.6300000000000008</v>
      </c>
      <c r="E15" s="9">
        <v>15233639</v>
      </c>
      <c r="F15" s="88" t="s">
        <v>5</v>
      </c>
      <c r="G15" s="922" t="s">
        <v>368</v>
      </c>
      <c r="H15" s="923"/>
    </row>
    <row r="16" spans="1:10" s="10" customFormat="1" ht="33.75" customHeight="1">
      <c r="A16" s="149" t="s">
        <v>665</v>
      </c>
      <c r="B16" s="9">
        <v>14800</v>
      </c>
      <c r="C16" s="9">
        <v>14000</v>
      </c>
      <c r="D16" s="84">
        <v>9.61</v>
      </c>
      <c r="E16" s="9">
        <v>238943</v>
      </c>
      <c r="F16" s="88"/>
      <c r="G16" s="924"/>
      <c r="H16" s="923"/>
    </row>
    <row r="17" spans="1:8" s="10" customFormat="1" ht="33.75" customHeight="1">
      <c r="A17" s="540" t="s">
        <v>656</v>
      </c>
      <c r="B17" s="9">
        <v>286800</v>
      </c>
      <c r="C17" s="9">
        <v>26220</v>
      </c>
      <c r="D17" s="84">
        <v>9.69</v>
      </c>
      <c r="E17" s="9">
        <v>8744135</v>
      </c>
      <c r="F17" s="88" t="s">
        <v>40</v>
      </c>
      <c r="G17" s="922" t="s">
        <v>369</v>
      </c>
      <c r="H17" s="926"/>
    </row>
    <row r="18" spans="1:8" s="10" customFormat="1" ht="25.8" customHeight="1">
      <c r="A18" s="540" t="s">
        <v>657</v>
      </c>
      <c r="B18" s="9">
        <v>2251800</v>
      </c>
      <c r="C18" s="9">
        <v>27180</v>
      </c>
      <c r="D18" s="84">
        <v>9.76</v>
      </c>
      <c r="E18" s="9">
        <v>71682036</v>
      </c>
      <c r="F18" s="290"/>
      <c r="G18" s="277" t="s">
        <v>26</v>
      </c>
      <c r="H18" s="932" t="s">
        <v>370</v>
      </c>
    </row>
    <row r="19" spans="1:8" s="10" customFormat="1" ht="26.4" customHeight="1">
      <c r="A19" s="540" t="s">
        <v>658</v>
      </c>
      <c r="B19" s="9">
        <v>369200</v>
      </c>
      <c r="C19" s="9">
        <v>31100</v>
      </c>
      <c r="D19" s="84">
        <v>9.6300000000000008</v>
      </c>
      <c r="E19" s="9">
        <v>13268738</v>
      </c>
      <c r="F19" s="88"/>
      <c r="G19" s="509"/>
      <c r="H19" s="932"/>
    </row>
    <row r="20" spans="1:8" s="10" customFormat="1" ht="36.6" customHeight="1">
      <c r="A20" s="149" t="s">
        <v>666</v>
      </c>
      <c r="B20" s="9">
        <v>4650</v>
      </c>
      <c r="C20" s="9">
        <v>24000</v>
      </c>
      <c r="D20" s="84">
        <v>9.69</v>
      </c>
      <c r="E20" s="9">
        <v>129769</v>
      </c>
      <c r="F20" s="88"/>
      <c r="G20" s="277"/>
      <c r="H20" s="932"/>
    </row>
    <row r="21" spans="1:8" s="10" customFormat="1" ht="25.8" customHeight="1">
      <c r="A21" s="540" t="s">
        <v>659</v>
      </c>
      <c r="B21" s="9">
        <v>13000</v>
      </c>
      <c r="C21" s="9">
        <v>37300</v>
      </c>
      <c r="D21" s="84">
        <v>9.5</v>
      </c>
      <c r="E21" s="9">
        <v>552786</v>
      </c>
      <c r="F21" s="88"/>
      <c r="G21" s="277"/>
      <c r="H21" s="932"/>
    </row>
    <row r="22" spans="1:8" s="10" customFormat="1" ht="24.6" customHeight="1">
      <c r="A22" s="540" t="s">
        <v>660</v>
      </c>
      <c r="B22" s="9">
        <v>1600</v>
      </c>
      <c r="C22" s="9">
        <v>43760</v>
      </c>
      <c r="D22" s="84">
        <v>10.48</v>
      </c>
      <c r="E22" s="9">
        <v>88052</v>
      </c>
      <c r="F22" s="88"/>
      <c r="G22" s="261"/>
      <c r="H22" s="932"/>
    </row>
    <row r="23" spans="1:8" s="10" customFormat="1" ht="25.8" customHeight="1">
      <c r="A23" s="540" t="s">
        <v>661</v>
      </c>
      <c r="B23" s="9">
        <v>1350</v>
      </c>
      <c r="C23" s="9">
        <v>26660</v>
      </c>
      <c r="D23" s="84">
        <v>9.5</v>
      </c>
      <c r="E23" s="9">
        <v>41030</v>
      </c>
      <c r="F23" s="88"/>
      <c r="G23" s="261"/>
      <c r="H23" s="932"/>
    </row>
    <row r="24" spans="1:8" s="10" customFormat="1" ht="132.6" customHeight="1">
      <c r="A24" s="149" t="s">
        <v>667</v>
      </c>
      <c r="B24" s="9">
        <v>239700</v>
      </c>
      <c r="C24" s="9">
        <v>28020</v>
      </c>
      <c r="D24" s="84">
        <v>0.22</v>
      </c>
      <c r="E24" s="9">
        <v>177313</v>
      </c>
      <c r="F24" s="88"/>
      <c r="H24" s="932"/>
    </row>
    <row r="25" spans="1:8" s="10" customFormat="1" ht="22.2" customHeight="1">
      <c r="A25" s="540" t="s">
        <v>662</v>
      </c>
      <c r="B25" s="9">
        <v>46100</v>
      </c>
      <c r="C25" s="9">
        <v>33700</v>
      </c>
      <c r="D25" s="84">
        <v>9.5</v>
      </c>
      <c r="E25" s="9">
        <v>1771070</v>
      </c>
      <c r="F25" s="88"/>
      <c r="G25" s="933" t="s">
        <v>27</v>
      </c>
      <c r="H25" s="926" t="s">
        <v>371</v>
      </c>
    </row>
    <row r="26" spans="1:8" s="31" customFormat="1" ht="23.25" customHeight="1" thickBot="1">
      <c r="A26" s="573" t="s">
        <v>724</v>
      </c>
      <c r="B26" s="314"/>
      <c r="C26" s="375"/>
      <c r="D26" s="376"/>
      <c r="E26" s="314">
        <v>253528</v>
      </c>
      <c r="F26" s="377"/>
      <c r="G26" s="934"/>
      <c r="H26" s="935"/>
    </row>
    <row r="27" spans="1:8" s="31" customFormat="1" ht="30" customHeight="1">
      <c r="A27" s="545" t="s">
        <v>42</v>
      </c>
      <c r="B27" s="90"/>
      <c r="C27" s="90"/>
      <c r="D27" s="90"/>
      <c r="E27" s="21">
        <f>E28+E36</f>
        <v>25174600</v>
      </c>
      <c r="F27" s="925"/>
      <c r="G27" s="922"/>
      <c r="H27" s="926"/>
    </row>
    <row r="28" spans="1:8" s="31" customFormat="1" ht="30" customHeight="1">
      <c r="A28" s="546" t="s">
        <v>653</v>
      </c>
      <c r="B28" s="21">
        <f>SUM(B29:B35)</f>
        <v>6470000</v>
      </c>
      <c r="C28" s="21">
        <v>32400</v>
      </c>
      <c r="D28" s="258">
        <v>1</v>
      </c>
      <c r="E28" s="21">
        <f>SUM(E29:E35)</f>
        <v>25155171</v>
      </c>
      <c r="F28" s="88" t="s">
        <v>4</v>
      </c>
      <c r="G28" s="922" t="s">
        <v>372</v>
      </c>
      <c r="H28" s="926"/>
    </row>
    <row r="29" spans="1:8" s="10" customFormat="1" ht="48" customHeight="1">
      <c r="A29" s="149" t="s">
        <v>654</v>
      </c>
      <c r="B29" s="9">
        <v>2541000</v>
      </c>
      <c r="C29" s="9">
        <v>33740</v>
      </c>
      <c r="D29" s="84">
        <v>1</v>
      </c>
      <c r="E29" s="9">
        <v>10288001</v>
      </c>
      <c r="F29" s="88"/>
      <c r="G29" s="922"/>
      <c r="H29" s="926"/>
    </row>
    <row r="30" spans="1:8" s="10" customFormat="1" ht="36" customHeight="1">
      <c r="A30" s="149" t="s">
        <v>668</v>
      </c>
      <c r="B30" s="9">
        <v>2917000</v>
      </c>
      <c r="C30" s="9">
        <v>30875</v>
      </c>
      <c r="D30" s="84">
        <v>1</v>
      </c>
      <c r="E30" s="9">
        <v>10807485</v>
      </c>
      <c r="F30" s="88" t="s">
        <v>5</v>
      </c>
      <c r="G30" s="922" t="s">
        <v>368</v>
      </c>
      <c r="H30" s="926"/>
    </row>
    <row r="31" spans="1:8" s="10" customFormat="1" ht="41.25" customHeight="1">
      <c r="A31" s="149" t="s">
        <v>669</v>
      </c>
      <c r="B31" s="9">
        <v>269500</v>
      </c>
      <c r="C31" s="9">
        <v>35440</v>
      </c>
      <c r="D31" s="84">
        <v>1</v>
      </c>
      <c r="E31" s="9">
        <v>1146129</v>
      </c>
      <c r="G31" s="922"/>
      <c r="H31" s="926"/>
    </row>
    <row r="32" spans="1:8" s="10" customFormat="1" ht="36" customHeight="1">
      <c r="A32" s="149" t="s">
        <v>664</v>
      </c>
      <c r="B32" s="9">
        <v>368900</v>
      </c>
      <c r="C32" s="9">
        <v>34880</v>
      </c>
      <c r="D32" s="84">
        <v>1</v>
      </c>
      <c r="E32" s="9">
        <v>1544068</v>
      </c>
      <c r="F32" s="88"/>
      <c r="G32" s="922"/>
      <c r="H32" s="926"/>
    </row>
    <row r="33" spans="1:8" s="10" customFormat="1" ht="36" customHeight="1">
      <c r="A33" s="540" t="s">
        <v>658</v>
      </c>
      <c r="B33" s="9">
        <v>326500</v>
      </c>
      <c r="C33" s="9">
        <v>30070</v>
      </c>
      <c r="D33" s="84">
        <v>1</v>
      </c>
      <c r="E33" s="9">
        <v>1178143</v>
      </c>
      <c r="G33" s="922"/>
      <c r="H33" s="926"/>
    </row>
    <row r="34" spans="1:8" s="10" customFormat="1" ht="36" customHeight="1">
      <c r="A34" s="149" t="s">
        <v>666</v>
      </c>
      <c r="B34" s="9">
        <v>1000</v>
      </c>
      <c r="C34" s="9">
        <v>36360</v>
      </c>
      <c r="D34" s="84">
        <v>1</v>
      </c>
      <c r="E34" s="9">
        <v>4363</v>
      </c>
      <c r="G34" s="509"/>
      <c r="H34" s="511"/>
    </row>
    <row r="35" spans="1:8" s="10" customFormat="1" ht="30" customHeight="1">
      <c r="A35" s="540" t="s">
        <v>662</v>
      </c>
      <c r="B35" s="9">
        <v>46100</v>
      </c>
      <c r="C35" s="9">
        <v>33800</v>
      </c>
      <c r="D35" s="84">
        <v>1</v>
      </c>
      <c r="E35" s="9">
        <v>186982</v>
      </c>
      <c r="F35" s="88"/>
      <c r="G35" s="509"/>
      <c r="H35" s="511"/>
    </row>
    <row r="36" spans="1:8" s="31" customFormat="1" ht="25.8" customHeight="1">
      <c r="A36" s="545" t="s">
        <v>725</v>
      </c>
      <c r="B36" s="21"/>
      <c r="C36" s="259"/>
      <c r="D36" s="260"/>
      <c r="E36" s="21">
        <v>19429</v>
      </c>
      <c r="F36" s="88"/>
      <c r="G36" s="277"/>
      <c r="H36" s="511"/>
    </row>
    <row r="37" spans="1:8" s="261" customFormat="1" ht="19.2" customHeight="1">
      <c r="A37" s="574"/>
      <c r="B37" s="85"/>
      <c r="C37" s="91"/>
      <c r="D37" s="92"/>
      <c r="E37" s="9"/>
      <c r="F37" s="88"/>
      <c r="G37" s="277"/>
      <c r="H37" s="511"/>
    </row>
    <row r="38" spans="1:8" s="10" customFormat="1" ht="24" customHeight="1">
      <c r="A38" s="545" t="s">
        <v>43</v>
      </c>
      <c r="B38" s="90"/>
      <c r="C38" s="90"/>
      <c r="D38" s="90"/>
      <c r="E38" s="21">
        <f>E39+E45</f>
        <v>3817522</v>
      </c>
      <c r="F38" s="88"/>
      <c r="G38" s="277"/>
      <c r="H38" s="511"/>
    </row>
    <row r="39" spans="1:8" s="10" customFormat="1" ht="30" customHeight="1">
      <c r="A39" s="546" t="s">
        <v>653</v>
      </c>
      <c r="B39" s="21">
        <v>1218000</v>
      </c>
      <c r="C39" s="21">
        <v>10200</v>
      </c>
      <c r="D39" s="258">
        <v>2.5499999999999998</v>
      </c>
      <c r="E39" s="21">
        <v>3801622</v>
      </c>
      <c r="F39" s="925" t="s">
        <v>373</v>
      </c>
      <c r="G39" s="922"/>
      <c r="H39" s="926"/>
    </row>
    <row r="40" spans="1:8" s="10" customFormat="1" ht="30" customHeight="1">
      <c r="A40" s="545"/>
      <c r="B40" s="9"/>
      <c r="C40" s="91"/>
      <c r="D40" s="92"/>
      <c r="E40" s="9"/>
      <c r="F40" s="925"/>
      <c r="G40" s="922"/>
      <c r="H40" s="926"/>
    </row>
    <row r="41" spans="1:8" s="10" customFormat="1" ht="30" customHeight="1">
      <c r="A41" s="545"/>
      <c r="B41" s="9"/>
      <c r="C41" s="91"/>
      <c r="D41" s="92"/>
      <c r="E41" s="9"/>
      <c r="F41" s="925"/>
      <c r="G41" s="922"/>
      <c r="H41" s="926"/>
    </row>
    <row r="42" spans="1:8" s="10" customFormat="1" ht="30" customHeight="1">
      <c r="A42" s="545"/>
      <c r="B42" s="9"/>
      <c r="C42" s="91"/>
      <c r="D42" s="92"/>
      <c r="E42" s="9"/>
      <c r="F42" s="925"/>
      <c r="G42" s="922"/>
      <c r="H42" s="926"/>
    </row>
    <row r="43" spans="1:8" s="10" customFormat="1" ht="30" customHeight="1">
      <c r="A43" s="545"/>
      <c r="B43" s="9"/>
      <c r="C43" s="91"/>
      <c r="D43" s="92"/>
      <c r="E43" s="9"/>
      <c r="F43" s="925"/>
      <c r="G43" s="922"/>
      <c r="H43" s="926"/>
    </row>
    <row r="44" spans="1:8" s="10" customFormat="1" ht="46.2" customHeight="1">
      <c r="A44" s="545"/>
      <c r="B44" s="9"/>
      <c r="C44" s="91"/>
      <c r="D44" s="92"/>
      <c r="E44" s="9"/>
      <c r="F44" s="925"/>
      <c r="G44" s="922"/>
      <c r="H44" s="926"/>
    </row>
    <row r="45" spans="1:8" s="10" customFormat="1" ht="30" customHeight="1">
      <c r="A45" s="545" t="s">
        <v>724</v>
      </c>
      <c r="B45" s="21"/>
      <c r="C45" s="259"/>
      <c r="D45" s="260"/>
      <c r="E45" s="21">
        <v>15900</v>
      </c>
      <c r="F45" s="88"/>
      <c r="G45" s="277"/>
      <c r="H45" s="511"/>
    </row>
    <row r="46" spans="1:8" s="10" customFormat="1" ht="2.25" customHeight="1" thickBot="1">
      <c r="A46" s="510"/>
      <c r="B46" s="38"/>
      <c r="C46" s="93"/>
      <c r="D46" s="94"/>
      <c r="E46" s="38"/>
      <c r="F46" s="95"/>
      <c r="G46" s="278"/>
      <c r="H46" s="512"/>
    </row>
  </sheetData>
  <mergeCells count="23">
    <mergeCell ref="A1:H1"/>
    <mergeCell ref="A2:H2"/>
    <mergeCell ref="A3:H3"/>
    <mergeCell ref="A5:A7"/>
    <mergeCell ref="B5:E5"/>
    <mergeCell ref="F5:H7"/>
    <mergeCell ref="E6:E7"/>
    <mergeCell ref="A4:H4"/>
    <mergeCell ref="G15:H16"/>
    <mergeCell ref="F39:H44"/>
    <mergeCell ref="B6:B7"/>
    <mergeCell ref="C6:C7"/>
    <mergeCell ref="D6:D7"/>
    <mergeCell ref="F9:H9"/>
    <mergeCell ref="F27:H27"/>
    <mergeCell ref="G32:H33"/>
    <mergeCell ref="H18:H24"/>
    <mergeCell ref="G17:H17"/>
    <mergeCell ref="G28:H29"/>
    <mergeCell ref="G30:H31"/>
    <mergeCell ref="G25:G26"/>
    <mergeCell ref="H25:H26"/>
    <mergeCell ref="G11:H14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48" orientation="portrait" useFirstPageNumber="1" r:id="rId1"/>
  <headerFooter alignWithMargins="0">
    <oddFooter>&amp;C&amp;"Times New Roman,標準"&amp;P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4"/>
  <sheetViews>
    <sheetView showGridLines="0" topLeftCell="A151" zoomScaleSheetLayoutView="100" workbookViewId="0">
      <selection activeCell="A92" sqref="A92"/>
    </sheetView>
  </sheetViews>
  <sheetFormatPr defaultColWidth="12" defaultRowHeight="21"/>
  <cols>
    <col min="1" max="1" width="25.44140625" style="169" customWidth="1"/>
    <col min="2" max="2" width="14.77734375" style="169" customWidth="1"/>
    <col min="3" max="3" width="50" style="169" customWidth="1"/>
    <col min="4" max="16384" width="12" style="169"/>
  </cols>
  <sheetData>
    <row r="1" spans="1:17" s="2" customFormat="1" ht="22.2">
      <c r="A1" s="798" t="s">
        <v>109</v>
      </c>
      <c r="B1" s="798"/>
      <c r="C1" s="798"/>
    </row>
    <row r="2" spans="1:17" s="2" customFormat="1" ht="22.2">
      <c r="A2" s="798" t="s">
        <v>110</v>
      </c>
      <c r="B2" s="798"/>
      <c r="C2" s="798"/>
    </row>
    <row r="3" spans="1:17" s="2" customFormat="1" ht="24.75" customHeight="1">
      <c r="A3" s="800" t="s">
        <v>374</v>
      </c>
      <c r="B3" s="800"/>
      <c r="C3" s="800"/>
    </row>
    <row r="4" spans="1:17" s="2" customFormat="1" ht="24.9" customHeight="1" thickBot="1">
      <c r="A4" s="815" t="s">
        <v>375</v>
      </c>
      <c r="B4" s="815"/>
      <c r="C4" s="815"/>
    </row>
    <row r="5" spans="1:17" s="6" customFormat="1" ht="15.75" customHeight="1">
      <c r="A5" s="862" t="s">
        <v>515</v>
      </c>
      <c r="B5" s="911" t="s">
        <v>113</v>
      </c>
      <c r="C5" s="871" t="s">
        <v>114</v>
      </c>
      <c r="D5" s="4"/>
      <c r="E5" s="4"/>
    </row>
    <row r="6" spans="1:17" s="6" customFormat="1" ht="15.75" customHeight="1">
      <c r="A6" s="863"/>
      <c r="B6" s="942"/>
      <c r="C6" s="872"/>
      <c r="D6" s="4"/>
      <c r="E6" s="4"/>
    </row>
    <row r="7" spans="1:17" s="6" customFormat="1" ht="15.75" customHeight="1">
      <c r="A7" s="864"/>
      <c r="B7" s="943"/>
      <c r="C7" s="873"/>
    </row>
    <row r="8" spans="1:17" s="514" customFormat="1" ht="4.95" customHeight="1">
      <c r="A8" s="575"/>
      <c r="B8" s="170"/>
      <c r="C8" s="172"/>
    </row>
    <row r="9" spans="1:17" s="243" customFormat="1" ht="24.6" customHeight="1">
      <c r="A9" s="544" t="s">
        <v>652</v>
      </c>
      <c r="B9" s="233">
        <f>B10+B63+B95</f>
        <v>382434846</v>
      </c>
      <c r="C9" s="263"/>
    </row>
    <row r="10" spans="1:17" s="264" customFormat="1" ht="26.4" customHeight="1">
      <c r="A10" s="545" t="s">
        <v>41</v>
      </c>
      <c r="B10" s="233">
        <f>SUM(B11,B61)</f>
        <v>353442724</v>
      </c>
      <c r="C10" s="456"/>
    </row>
    <row r="11" spans="1:17" s="264" customFormat="1" ht="30" customHeight="1">
      <c r="A11" s="546" t="s">
        <v>653</v>
      </c>
      <c r="B11" s="237">
        <f>SUM(B12,B16,B20,B24,B28,B32,B35,B38,B42,B46,B49,B52,B55,B57)</f>
        <v>353189196</v>
      </c>
      <c r="C11" s="456" t="s">
        <v>376</v>
      </c>
    </row>
    <row r="12" spans="1:17" s="267" customFormat="1" ht="48.75" customHeight="1">
      <c r="A12" s="144" t="s">
        <v>654</v>
      </c>
      <c r="B12" s="237">
        <f>SUM(B13:B15)</f>
        <v>113704853</v>
      </c>
      <c r="C12" s="939" t="s">
        <v>377</v>
      </c>
    </row>
    <row r="13" spans="1:17" s="268" customFormat="1" ht="22.8" customHeight="1">
      <c r="A13" s="576" t="s">
        <v>671</v>
      </c>
      <c r="B13" s="236">
        <v>22135166</v>
      </c>
      <c r="C13" s="939"/>
    </row>
    <row r="14" spans="1:17" s="268" customFormat="1" ht="25.2" customHeight="1">
      <c r="A14" s="576" t="s">
        <v>672</v>
      </c>
      <c r="B14" s="236">
        <f>77473082+3029022</f>
        <v>80502104</v>
      </c>
      <c r="C14" s="939"/>
    </row>
    <row r="15" spans="1:17" s="268" customFormat="1" ht="25.2" customHeight="1">
      <c r="A15" s="576" t="s">
        <v>670</v>
      </c>
      <c r="B15" s="236">
        <v>11067583</v>
      </c>
      <c r="C15" s="939"/>
    </row>
    <row r="16" spans="1:17" s="267" customFormat="1" ht="43.5" customHeight="1">
      <c r="A16" s="144" t="s">
        <v>655</v>
      </c>
      <c r="B16" s="237">
        <f>SUM(B17:B19)</f>
        <v>115986274</v>
      </c>
      <c r="C16" s="939" t="s">
        <v>377</v>
      </c>
      <c r="D16" s="268"/>
      <c r="E16" s="268"/>
      <c r="F16" s="268"/>
      <c r="G16" s="268"/>
      <c r="H16" s="268"/>
      <c r="I16" s="268"/>
      <c r="J16" s="268"/>
      <c r="K16" s="268"/>
      <c r="L16" s="268"/>
      <c r="M16" s="268"/>
      <c r="N16" s="268"/>
      <c r="O16" s="268"/>
      <c r="P16" s="268"/>
      <c r="Q16" s="268"/>
    </row>
    <row r="17" spans="1:17" s="268" customFormat="1" ht="25.2" customHeight="1">
      <c r="A17" s="576" t="s">
        <v>673</v>
      </c>
      <c r="B17" s="236">
        <v>22742407</v>
      </c>
      <c r="C17" s="939"/>
    </row>
    <row r="18" spans="1:17" s="268" customFormat="1" ht="22.8" customHeight="1">
      <c r="A18" s="576" t="s">
        <v>672</v>
      </c>
      <c r="B18" s="236">
        <f>79598424+2274240</f>
        <v>81872664</v>
      </c>
      <c r="C18" s="939"/>
    </row>
    <row r="19" spans="1:17" s="268" customFormat="1" ht="21.6" customHeight="1">
      <c r="A19" s="576" t="s">
        <v>670</v>
      </c>
      <c r="B19" s="236">
        <v>11371203</v>
      </c>
      <c r="C19" s="939"/>
    </row>
    <row r="20" spans="1:17" s="268" customFormat="1" ht="50.25" customHeight="1">
      <c r="A20" s="144" t="s">
        <v>663</v>
      </c>
      <c r="B20" s="237">
        <f>SUM(B21:B23)</f>
        <v>11570558</v>
      </c>
      <c r="C20" s="939" t="s">
        <v>377</v>
      </c>
    </row>
    <row r="21" spans="1:17" s="268" customFormat="1" ht="25.2" customHeight="1">
      <c r="A21" s="576" t="s">
        <v>674</v>
      </c>
      <c r="B21" s="236">
        <v>2285245</v>
      </c>
      <c r="C21" s="939"/>
    </row>
    <row r="22" spans="1:17" s="268" customFormat="1" ht="25.2" customHeight="1">
      <c r="A22" s="576" t="s">
        <v>675</v>
      </c>
      <c r="B22" s="236">
        <f>7998359+144331</f>
        <v>8142690</v>
      </c>
      <c r="C22" s="939"/>
    </row>
    <row r="23" spans="1:17" s="268" customFormat="1" ht="21" customHeight="1">
      <c r="A23" s="576" t="s">
        <v>676</v>
      </c>
      <c r="B23" s="236">
        <v>1142623</v>
      </c>
      <c r="C23" s="939"/>
    </row>
    <row r="24" spans="1:17" s="268" customFormat="1" ht="54" customHeight="1">
      <c r="A24" s="144" t="s">
        <v>677</v>
      </c>
      <c r="B24" s="237">
        <f>SUM(B25:B27)</f>
        <v>15233639</v>
      </c>
      <c r="C24" s="939" t="s">
        <v>377</v>
      </c>
    </row>
    <row r="25" spans="1:17" s="268" customFormat="1" ht="25.2" customHeight="1">
      <c r="A25" s="576" t="s">
        <v>673</v>
      </c>
      <c r="B25" s="236">
        <v>3005599</v>
      </c>
      <c r="C25" s="939"/>
    </row>
    <row r="26" spans="1:17" s="268" customFormat="1" ht="25.2" customHeight="1">
      <c r="A26" s="576" t="s">
        <v>672</v>
      </c>
      <c r="B26" s="236">
        <f>10519595+205646</f>
        <v>10725241</v>
      </c>
      <c r="C26" s="939"/>
    </row>
    <row r="27" spans="1:17" s="268" customFormat="1" ht="24" customHeight="1">
      <c r="A27" s="576" t="s">
        <v>670</v>
      </c>
      <c r="B27" s="236">
        <v>1502799</v>
      </c>
      <c r="C27" s="939"/>
    </row>
    <row r="28" spans="1:17" s="267" customFormat="1" ht="59.25" customHeight="1" thickBot="1">
      <c r="A28" s="577" t="s">
        <v>678</v>
      </c>
      <c r="B28" s="242">
        <f>SUM(B29:B31)</f>
        <v>238943</v>
      </c>
      <c r="C28" s="515" t="s">
        <v>377</v>
      </c>
      <c r="D28" s="268"/>
      <c r="E28" s="268"/>
      <c r="F28" s="268"/>
      <c r="G28" s="268"/>
      <c r="H28" s="268"/>
      <c r="I28" s="268"/>
      <c r="J28" s="268"/>
      <c r="K28" s="268"/>
      <c r="L28" s="268"/>
      <c r="M28" s="268"/>
      <c r="N28" s="268"/>
      <c r="O28" s="268"/>
      <c r="P28" s="268"/>
      <c r="Q28" s="268"/>
    </row>
    <row r="29" spans="1:17" s="268" customFormat="1" ht="27" customHeight="1">
      <c r="A29" s="576" t="s">
        <v>674</v>
      </c>
      <c r="B29" s="236">
        <v>47242</v>
      </c>
      <c r="C29" s="269"/>
    </row>
    <row r="30" spans="1:17" s="268" customFormat="1" ht="27" customHeight="1">
      <c r="A30" s="576" t="s">
        <v>681</v>
      </c>
      <c r="B30" s="236">
        <f>165345+2735</f>
        <v>168080</v>
      </c>
      <c r="C30" s="269"/>
    </row>
    <row r="31" spans="1:17" s="268" customFormat="1" ht="27" customHeight="1">
      <c r="A31" s="576" t="s">
        <v>682</v>
      </c>
      <c r="B31" s="236">
        <v>23621</v>
      </c>
      <c r="C31" s="269"/>
    </row>
    <row r="32" spans="1:17" s="267" customFormat="1" ht="30" customHeight="1">
      <c r="A32" s="27" t="s">
        <v>656</v>
      </c>
      <c r="B32" s="237">
        <f>SUM(B33:B34)</f>
        <v>8744135</v>
      </c>
      <c r="C32" s="939" t="s">
        <v>378</v>
      </c>
      <c r="D32" s="268"/>
      <c r="E32" s="268"/>
      <c r="F32" s="268"/>
      <c r="G32" s="268"/>
      <c r="H32" s="268"/>
      <c r="I32" s="268"/>
      <c r="J32" s="268"/>
      <c r="K32" s="268"/>
      <c r="L32" s="268"/>
      <c r="M32" s="268"/>
      <c r="N32" s="268"/>
      <c r="O32" s="268"/>
      <c r="P32" s="268"/>
      <c r="Q32" s="268"/>
    </row>
    <row r="33" spans="1:17" s="268" customFormat="1" ht="28.2" customHeight="1">
      <c r="A33" s="576" t="s">
        <v>673</v>
      </c>
      <c r="B33" s="236">
        <f>1714536+34291</f>
        <v>1748827</v>
      </c>
      <c r="C33" s="939"/>
    </row>
    <row r="34" spans="1:17" s="268" customFormat="1" ht="28.2" customHeight="1">
      <c r="A34" s="576" t="s">
        <v>683</v>
      </c>
      <c r="B34" s="236">
        <f>6858145+137163</f>
        <v>6995308</v>
      </c>
      <c r="C34" s="939"/>
    </row>
    <row r="35" spans="1:17" s="267" customFormat="1" ht="30" customHeight="1">
      <c r="A35" s="27" t="s">
        <v>657</v>
      </c>
      <c r="B35" s="237">
        <f>SUM(B36:B37)</f>
        <v>71682036</v>
      </c>
      <c r="C35" s="939" t="s">
        <v>379</v>
      </c>
      <c r="D35" s="268"/>
      <c r="E35" s="268"/>
      <c r="F35" s="268"/>
      <c r="G35" s="268"/>
      <c r="H35" s="268"/>
      <c r="I35" s="268"/>
      <c r="J35" s="268"/>
      <c r="K35" s="268"/>
      <c r="L35" s="268"/>
      <c r="M35" s="268"/>
      <c r="N35" s="268"/>
      <c r="O35" s="268"/>
      <c r="P35" s="268"/>
      <c r="Q35" s="268"/>
    </row>
    <row r="36" spans="1:17" s="268" customFormat="1" ht="28.2" customHeight="1">
      <c r="A36" s="576" t="s">
        <v>684</v>
      </c>
      <c r="B36" s="236">
        <f>41863484+1145738</f>
        <v>43009222</v>
      </c>
      <c r="C36" s="939"/>
    </row>
    <row r="37" spans="1:17" s="268" customFormat="1" ht="28.2" customHeight="1">
      <c r="A37" s="576" t="s">
        <v>683</v>
      </c>
      <c r="B37" s="236">
        <f>27908989+763825</f>
        <v>28672814</v>
      </c>
      <c r="C37" s="939"/>
    </row>
    <row r="38" spans="1:17" s="267" customFormat="1" ht="30" customHeight="1">
      <c r="A38" s="27" t="s">
        <v>658</v>
      </c>
      <c r="B38" s="237">
        <f>SUM(B39:B41)</f>
        <v>13268738</v>
      </c>
      <c r="C38" s="939" t="s">
        <v>377</v>
      </c>
      <c r="D38" s="268"/>
      <c r="E38" s="268"/>
      <c r="F38" s="268"/>
      <c r="G38" s="268"/>
      <c r="H38" s="268"/>
      <c r="I38" s="268"/>
      <c r="J38" s="268"/>
      <c r="K38" s="268"/>
      <c r="L38" s="268"/>
      <c r="M38" s="268"/>
      <c r="N38" s="268"/>
      <c r="O38" s="268"/>
      <c r="P38" s="268"/>
      <c r="Q38" s="268"/>
    </row>
    <row r="39" spans="1:17" s="268" customFormat="1" ht="28.2" customHeight="1">
      <c r="A39" s="576" t="s">
        <v>673</v>
      </c>
      <c r="B39" s="236">
        <v>2617923</v>
      </c>
      <c r="C39" s="939"/>
    </row>
    <row r="40" spans="1:17" s="268" customFormat="1" ht="28.2" customHeight="1">
      <c r="A40" s="576" t="s">
        <v>675</v>
      </c>
      <c r="B40" s="236">
        <f>9162732+179121</f>
        <v>9341853</v>
      </c>
      <c r="C40" s="939"/>
    </row>
    <row r="41" spans="1:17" s="268" customFormat="1" ht="24" customHeight="1">
      <c r="A41" s="576" t="s">
        <v>685</v>
      </c>
      <c r="B41" s="236">
        <v>1308962</v>
      </c>
      <c r="C41" s="939"/>
    </row>
    <row r="42" spans="1:17" s="267" customFormat="1" ht="53.25" customHeight="1">
      <c r="A42" s="144" t="s">
        <v>666</v>
      </c>
      <c r="B42" s="237">
        <f>SUM(B43:B45)</f>
        <v>129769</v>
      </c>
      <c r="C42" s="939" t="s">
        <v>377</v>
      </c>
      <c r="D42" s="268"/>
      <c r="E42" s="268"/>
      <c r="F42" s="268"/>
      <c r="G42" s="268"/>
      <c r="H42" s="268"/>
      <c r="I42" s="268"/>
      <c r="J42" s="268"/>
      <c r="K42" s="268"/>
      <c r="L42" s="268"/>
      <c r="M42" s="268"/>
      <c r="N42" s="268"/>
      <c r="O42" s="268"/>
      <c r="P42" s="268"/>
      <c r="Q42" s="268"/>
    </row>
    <row r="43" spans="1:17" s="268" customFormat="1" ht="22.2" customHeight="1">
      <c r="A43" s="576" t="s">
        <v>686</v>
      </c>
      <c r="B43" s="236">
        <v>25445</v>
      </c>
      <c r="C43" s="939"/>
    </row>
    <row r="44" spans="1:17" s="268" customFormat="1" ht="25.2" customHeight="1">
      <c r="A44" s="576" t="s">
        <v>675</v>
      </c>
      <c r="B44" s="236">
        <f>89057+2545</f>
        <v>91602</v>
      </c>
      <c r="C44" s="939"/>
    </row>
    <row r="45" spans="1:17" s="268" customFormat="1" ht="28.2" customHeight="1">
      <c r="A45" s="576" t="s">
        <v>687</v>
      </c>
      <c r="B45" s="236">
        <v>12722</v>
      </c>
      <c r="C45" s="939"/>
    </row>
    <row r="46" spans="1:17" s="267" customFormat="1" ht="36" customHeight="1">
      <c r="A46" s="27" t="s">
        <v>659</v>
      </c>
      <c r="B46" s="237">
        <f>SUM(B47:B48)</f>
        <v>552786</v>
      </c>
      <c r="C46" s="939" t="s">
        <v>380</v>
      </c>
      <c r="D46" s="268"/>
      <c r="E46" s="268"/>
      <c r="F46" s="268"/>
      <c r="G46" s="268"/>
      <c r="H46" s="268"/>
      <c r="I46" s="268"/>
      <c r="J46" s="268"/>
      <c r="K46" s="268"/>
      <c r="L46" s="268"/>
      <c r="M46" s="268"/>
      <c r="N46" s="268"/>
      <c r="O46" s="268"/>
      <c r="P46" s="268"/>
      <c r="Q46" s="268"/>
    </row>
    <row r="47" spans="1:17" s="268" customFormat="1" ht="28.2" customHeight="1">
      <c r="A47" s="576" t="s">
        <v>688</v>
      </c>
      <c r="B47" s="236">
        <v>442229</v>
      </c>
      <c r="C47" s="940"/>
    </row>
    <row r="48" spans="1:17" s="268" customFormat="1" ht="27" customHeight="1">
      <c r="A48" s="576" t="s">
        <v>687</v>
      </c>
      <c r="B48" s="236">
        <v>110557</v>
      </c>
      <c r="C48" s="940"/>
    </row>
    <row r="49" spans="1:17" s="267" customFormat="1" ht="40.5" customHeight="1" thickBot="1">
      <c r="A49" s="578" t="s">
        <v>660</v>
      </c>
      <c r="B49" s="242">
        <f>SUM(B50:B51)</f>
        <v>88052</v>
      </c>
      <c r="C49" s="515" t="s">
        <v>381</v>
      </c>
      <c r="D49" s="268"/>
      <c r="E49" s="268"/>
      <c r="F49" s="268"/>
      <c r="G49" s="268"/>
      <c r="H49" s="268"/>
      <c r="I49" s="268"/>
      <c r="J49" s="268"/>
      <c r="K49" s="268"/>
      <c r="L49" s="268"/>
      <c r="M49" s="268"/>
      <c r="N49" s="268"/>
      <c r="O49" s="268"/>
      <c r="P49" s="268"/>
      <c r="Q49" s="268"/>
    </row>
    <row r="50" spans="1:17" s="268" customFormat="1" ht="25.2" customHeight="1">
      <c r="A50" s="576" t="s">
        <v>689</v>
      </c>
      <c r="B50" s="236">
        <f>63854+6587+1</f>
        <v>70442</v>
      </c>
      <c r="C50" s="269"/>
    </row>
    <row r="51" spans="1:17" s="268" customFormat="1" ht="25.2" customHeight="1">
      <c r="A51" s="576" t="s">
        <v>670</v>
      </c>
      <c r="B51" s="236">
        <f>15964+1647-1</f>
        <v>17610</v>
      </c>
      <c r="C51" s="269"/>
    </row>
    <row r="52" spans="1:17" s="267" customFormat="1" ht="30.75" customHeight="1">
      <c r="A52" s="27" t="s">
        <v>679</v>
      </c>
      <c r="B52" s="237">
        <f>SUM(B53:B54)</f>
        <v>41030</v>
      </c>
      <c r="C52" s="939" t="s">
        <v>382</v>
      </c>
      <c r="D52" s="268"/>
      <c r="E52" s="268"/>
      <c r="F52" s="268"/>
      <c r="G52" s="268"/>
      <c r="H52" s="268"/>
      <c r="I52" s="268"/>
      <c r="J52" s="268"/>
      <c r="K52" s="268"/>
      <c r="L52" s="268"/>
      <c r="M52" s="268"/>
      <c r="N52" s="268"/>
      <c r="O52" s="268"/>
      <c r="P52" s="268"/>
      <c r="Q52" s="268"/>
    </row>
    <row r="53" spans="1:17" s="268" customFormat="1" ht="25.2" customHeight="1">
      <c r="A53" s="576" t="s">
        <v>688</v>
      </c>
      <c r="B53" s="236">
        <v>14361</v>
      </c>
      <c r="C53" s="940"/>
    </row>
    <row r="54" spans="1:17" s="268" customFormat="1" ht="25.2" customHeight="1">
      <c r="A54" s="576" t="s">
        <v>690</v>
      </c>
      <c r="B54" s="236">
        <v>26669</v>
      </c>
      <c r="C54" s="940"/>
    </row>
    <row r="55" spans="1:17" s="267" customFormat="1" ht="64.2" customHeight="1">
      <c r="A55" s="144" t="s">
        <v>667</v>
      </c>
      <c r="B55" s="237">
        <f>SUM(B56)</f>
        <v>177313</v>
      </c>
      <c r="C55" s="939" t="s">
        <v>383</v>
      </c>
      <c r="D55" s="268"/>
      <c r="E55" s="268"/>
      <c r="F55" s="268"/>
      <c r="G55" s="268"/>
      <c r="H55" s="268"/>
      <c r="I55" s="268"/>
      <c r="J55" s="268"/>
      <c r="K55" s="268"/>
      <c r="L55" s="268"/>
      <c r="M55" s="268"/>
      <c r="N55" s="268"/>
      <c r="O55" s="268"/>
      <c r="P55" s="268"/>
      <c r="Q55" s="268"/>
    </row>
    <row r="56" spans="1:17" s="267" customFormat="1" ht="25.2" customHeight="1">
      <c r="A56" s="576" t="s">
        <v>675</v>
      </c>
      <c r="B56" s="236">
        <v>177313</v>
      </c>
      <c r="C56" s="939"/>
      <c r="D56" s="268"/>
      <c r="E56" s="268"/>
      <c r="F56" s="268"/>
      <c r="G56" s="268"/>
      <c r="H56" s="268"/>
      <c r="I56" s="268"/>
      <c r="J56" s="268"/>
      <c r="K56" s="268"/>
      <c r="L56" s="268"/>
      <c r="M56" s="268"/>
      <c r="N56" s="268"/>
      <c r="O56" s="268"/>
      <c r="P56" s="268"/>
      <c r="Q56" s="268"/>
    </row>
    <row r="57" spans="1:17" s="267" customFormat="1" ht="41.25" customHeight="1">
      <c r="A57" s="27" t="s">
        <v>662</v>
      </c>
      <c r="B57" s="237">
        <f>SUM(B58:B60)</f>
        <v>1771070</v>
      </c>
      <c r="C57" s="939" t="s">
        <v>384</v>
      </c>
      <c r="D57" s="268"/>
      <c r="E57" s="268"/>
      <c r="F57" s="268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</row>
    <row r="58" spans="1:17" s="267" customFormat="1" ht="25.2" customHeight="1">
      <c r="A58" s="576" t="s">
        <v>686</v>
      </c>
      <c r="B58" s="236">
        <v>354214</v>
      </c>
      <c r="C58" s="940"/>
      <c r="D58" s="268"/>
      <c r="E58" s="268"/>
      <c r="F58" s="268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</row>
    <row r="59" spans="1:17" s="267" customFormat="1" ht="25.2" customHeight="1">
      <c r="A59" s="576" t="s">
        <v>675</v>
      </c>
      <c r="B59" s="236">
        <v>1239749</v>
      </c>
      <c r="C59" s="940"/>
      <c r="D59" s="268"/>
      <c r="E59" s="268"/>
      <c r="F59" s="268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</row>
    <row r="60" spans="1:17" s="268" customFormat="1" ht="25.2" customHeight="1">
      <c r="A60" s="576" t="s">
        <v>682</v>
      </c>
      <c r="B60" s="236">
        <v>177107</v>
      </c>
      <c r="C60" s="456"/>
    </row>
    <row r="61" spans="1:17" s="267" customFormat="1" ht="49.5" customHeight="1">
      <c r="A61" s="545" t="s">
        <v>726</v>
      </c>
      <c r="B61" s="233">
        <v>253528</v>
      </c>
      <c r="C61" s="516" t="s">
        <v>385</v>
      </c>
      <c r="D61" s="268"/>
      <c r="E61" s="268"/>
      <c r="F61" s="268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</row>
    <row r="62" spans="1:17" s="267" customFormat="1" ht="7.8" customHeight="1">
      <c r="A62" s="576"/>
      <c r="B62" s="237"/>
      <c r="C62" s="456"/>
      <c r="D62" s="268"/>
      <c r="E62" s="268"/>
      <c r="F62" s="268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</row>
    <row r="63" spans="1:17" s="267" customFormat="1" ht="27.6" customHeight="1">
      <c r="A63" s="545" t="s">
        <v>42</v>
      </c>
      <c r="B63" s="233">
        <f>SUM(B64,B93)</f>
        <v>25174600</v>
      </c>
      <c r="C63" s="456"/>
    </row>
    <row r="64" spans="1:17" s="267" customFormat="1" ht="26.4" customHeight="1">
      <c r="A64" s="546" t="s">
        <v>653</v>
      </c>
      <c r="B64" s="233">
        <f>SUM(B65,B69,B73,B77,B81,B85,B89)</f>
        <v>25155171</v>
      </c>
      <c r="C64" s="456"/>
    </row>
    <row r="65" spans="1:17" s="267" customFormat="1" ht="49.2" customHeight="1">
      <c r="A65" s="144" t="s">
        <v>654</v>
      </c>
      <c r="B65" s="233">
        <f>SUM(B66:B68)</f>
        <v>10288001</v>
      </c>
      <c r="C65" s="939" t="s">
        <v>386</v>
      </c>
    </row>
    <row r="66" spans="1:17" s="268" customFormat="1" ht="25.95" customHeight="1">
      <c r="A66" s="576" t="s">
        <v>686</v>
      </c>
      <c r="B66" s="234">
        <v>2057600</v>
      </c>
      <c r="C66" s="939"/>
    </row>
    <row r="67" spans="1:17" s="268" customFormat="1" ht="25.95" customHeight="1">
      <c r="A67" s="576" t="s">
        <v>681</v>
      </c>
      <c r="B67" s="234">
        <v>7201601</v>
      </c>
      <c r="C67" s="939"/>
    </row>
    <row r="68" spans="1:17" s="268" customFormat="1" ht="25.95" customHeight="1">
      <c r="A68" s="576" t="s">
        <v>682</v>
      </c>
      <c r="B68" s="234">
        <v>1028800</v>
      </c>
      <c r="C68" s="939"/>
    </row>
    <row r="69" spans="1:17" s="267" customFormat="1" ht="48.75" customHeight="1" thickBot="1">
      <c r="A69" s="577" t="s">
        <v>691</v>
      </c>
      <c r="B69" s="240">
        <f>SUM(B70:B72)</f>
        <v>10807485</v>
      </c>
      <c r="C69" s="515" t="s">
        <v>386</v>
      </c>
      <c r="D69" s="268"/>
      <c r="E69" s="268"/>
      <c r="F69" s="268"/>
      <c r="G69" s="268"/>
      <c r="H69" s="268"/>
      <c r="I69" s="268"/>
      <c r="J69" s="268"/>
      <c r="K69" s="268"/>
      <c r="L69" s="268"/>
      <c r="M69" s="268"/>
      <c r="N69" s="268"/>
      <c r="O69" s="268"/>
      <c r="P69" s="268"/>
      <c r="Q69" s="268"/>
    </row>
    <row r="70" spans="1:17" s="268" customFormat="1" ht="25.2" customHeight="1">
      <c r="A70" s="576" t="s">
        <v>671</v>
      </c>
      <c r="B70" s="234">
        <v>2161497</v>
      </c>
      <c r="C70" s="265"/>
    </row>
    <row r="71" spans="1:17" s="268" customFormat="1" ht="25.2" customHeight="1">
      <c r="A71" s="576" t="s">
        <v>675</v>
      </c>
      <c r="B71" s="234">
        <v>7565239</v>
      </c>
      <c r="C71" s="265"/>
    </row>
    <row r="72" spans="1:17" s="268" customFormat="1" ht="25.2" customHeight="1">
      <c r="A72" s="576" t="s">
        <v>670</v>
      </c>
      <c r="B72" s="234">
        <v>1080749</v>
      </c>
      <c r="C72" s="265"/>
    </row>
    <row r="73" spans="1:17" s="268" customFormat="1" ht="39.75" customHeight="1">
      <c r="A73" s="144" t="s">
        <v>669</v>
      </c>
      <c r="B73" s="233">
        <f>SUM(B74:B76)</f>
        <v>1146129</v>
      </c>
      <c r="C73" s="939" t="s">
        <v>386</v>
      </c>
    </row>
    <row r="74" spans="1:17" s="268" customFormat="1" ht="25.2" customHeight="1">
      <c r="A74" s="576" t="s">
        <v>694</v>
      </c>
      <c r="B74" s="234">
        <v>229226</v>
      </c>
      <c r="C74" s="939"/>
    </row>
    <row r="75" spans="1:17" s="268" customFormat="1" ht="25.2" customHeight="1">
      <c r="A75" s="576" t="s">
        <v>675</v>
      </c>
      <c r="B75" s="234">
        <v>802290</v>
      </c>
      <c r="C75" s="939"/>
    </row>
    <row r="76" spans="1:17" s="268" customFormat="1" ht="26.25" customHeight="1">
      <c r="A76" s="576" t="s">
        <v>670</v>
      </c>
      <c r="B76" s="234">
        <v>114613</v>
      </c>
      <c r="C76" s="939"/>
    </row>
    <row r="77" spans="1:17" s="268" customFormat="1" ht="50.25" customHeight="1">
      <c r="A77" s="144" t="s">
        <v>664</v>
      </c>
      <c r="B77" s="233">
        <f>SUM(B78:B80)</f>
        <v>1544068</v>
      </c>
      <c r="C77" s="457" t="s">
        <v>386</v>
      </c>
    </row>
    <row r="78" spans="1:17" s="268" customFormat="1" ht="25.2" customHeight="1">
      <c r="A78" s="576" t="s">
        <v>673</v>
      </c>
      <c r="B78" s="234">
        <v>308814</v>
      </c>
      <c r="C78" s="265"/>
    </row>
    <row r="79" spans="1:17" s="268" customFormat="1" ht="25.2" customHeight="1">
      <c r="A79" s="576" t="s">
        <v>672</v>
      </c>
      <c r="B79" s="234">
        <v>1080847</v>
      </c>
      <c r="C79" s="265"/>
    </row>
    <row r="80" spans="1:17" s="268" customFormat="1" ht="25.2" customHeight="1">
      <c r="A80" s="576" t="s">
        <v>670</v>
      </c>
      <c r="B80" s="234">
        <v>154407</v>
      </c>
      <c r="C80" s="265"/>
    </row>
    <row r="81" spans="1:17" s="267" customFormat="1" ht="42.6" customHeight="1">
      <c r="A81" s="27" t="s">
        <v>658</v>
      </c>
      <c r="B81" s="233">
        <f>SUM(B82:B84)</f>
        <v>1178143</v>
      </c>
      <c r="C81" s="939" t="s">
        <v>386</v>
      </c>
      <c r="D81" s="268"/>
      <c r="E81" s="268"/>
      <c r="F81" s="268"/>
      <c r="G81" s="268"/>
      <c r="H81" s="268"/>
      <c r="I81" s="268"/>
      <c r="J81" s="268"/>
      <c r="K81" s="268"/>
      <c r="L81" s="268"/>
      <c r="M81" s="268"/>
      <c r="N81" s="268"/>
      <c r="O81" s="268"/>
      <c r="P81" s="268"/>
      <c r="Q81" s="268"/>
    </row>
    <row r="82" spans="1:17" s="268" customFormat="1" ht="25.2" customHeight="1">
      <c r="A82" s="576" t="s">
        <v>671</v>
      </c>
      <c r="B82" s="234">
        <v>235629</v>
      </c>
      <c r="C82" s="939"/>
    </row>
    <row r="83" spans="1:17" s="268" customFormat="1" ht="25.2" customHeight="1">
      <c r="A83" s="576" t="s">
        <v>672</v>
      </c>
      <c r="B83" s="234">
        <v>824700</v>
      </c>
      <c r="C83" s="939"/>
    </row>
    <row r="84" spans="1:17" s="268" customFormat="1" ht="24.75" customHeight="1">
      <c r="A84" s="576" t="s">
        <v>683</v>
      </c>
      <c r="B84" s="234">
        <v>117814</v>
      </c>
      <c r="C84" s="939"/>
    </row>
    <row r="85" spans="1:17" s="267" customFormat="1" ht="52.5" customHeight="1">
      <c r="A85" s="144" t="s">
        <v>666</v>
      </c>
      <c r="B85" s="233">
        <f>SUM(B86:B88)</f>
        <v>4363</v>
      </c>
      <c r="C85" s="939" t="s">
        <v>386</v>
      </c>
      <c r="D85" s="268"/>
      <c r="E85" s="268"/>
      <c r="F85" s="268"/>
      <c r="G85" s="268"/>
      <c r="H85" s="268"/>
      <c r="I85" s="268"/>
      <c r="J85" s="268"/>
      <c r="K85" s="268"/>
      <c r="L85" s="268"/>
      <c r="M85" s="268"/>
      <c r="N85" s="268"/>
      <c r="O85" s="268"/>
      <c r="P85" s="268"/>
      <c r="Q85" s="268"/>
    </row>
    <row r="86" spans="1:17" s="268" customFormat="1" ht="22.2" customHeight="1">
      <c r="A86" s="576" t="s">
        <v>686</v>
      </c>
      <c r="B86" s="234">
        <v>873</v>
      </c>
      <c r="C86" s="939"/>
    </row>
    <row r="87" spans="1:17" s="268" customFormat="1" ht="22.2" customHeight="1">
      <c r="A87" s="576" t="s">
        <v>695</v>
      </c>
      <c r="B87" s="234">
        <v>3054</v>
      </c>
      <c r="C87" s="939"/>
    </row>
    <row r="88" spans="1:17" s="268" customFormat="1" ht="19.8" customHeight="1">
      <c r="A88" s="576" t="s">
        <v>696</v>
      </c>
      <c r="B88" s="234">
        <v>436</v>
      </c>
      <c r="C88" s="939"/>
    </row>
    <row r="89" spans="1:17" s="268" customFormat="1" ht="45.75" customHeight="1">
      <c r="A89" s="27" t="s">
        <v>662</v>
      </c>
      <c r="B89" s="233">
        <f>SUM(B90:B92)</f>
        <v>186982</v>
      </c>
      <c r="C89" s="938" t="s">
        <v>387</v>
      </c>
    </row>
    <row r="90" spans="1:17" s="268" customFormat="1" ht="26.25" customHeight="1" thickBot="1">
      <c r="A90" s="579" t="s">
        <v>697</v>
      </c>
      <c r="B90" s="235">
        <v>37397</v>
      </c>
      <c r="C90" s="941"/>
    </row>
    <row r="91" spans="1:17" s="268" customFormat="1" ht="30" customHeight="1">
      <c r="A91" s="576" t="s">
        <v>675</v>
      </c>
      <c r="B91" s="234">
        <v>130887</v>
      </c>
      <c r="C91" s="269"/>
    </row>
    <row r="92" spans="1:17" s="268" customFormat="1" ht="30" customHeight="1">
      <c r="A92" s="576" t="s">
        <v>727</v>
      </c>
      <c r="B92" s="234">
        <v>18698</v>
      </c>
      <c r="C92" s="456"/>
    </row>
    <row r="93" spans="1:17" s="267" customFormat="1" ht="32.4">
      <c r="A93" s="545" t="s">
        <v>680</v>
      </c>
      <c r="B93" s="233">
        <v>19429</v>
      </c>
      <c r="C93" s="516" t="s">
        <v>388</v>
      </c>
      <c r="D93" s="268"/>
      <c r="E93" s="268"/>
      <c r="F93" s="268"/>
      <c r="G93" s="268"/>
      <c r="H93" s="268"/>
      <c r="I93" s="268"/>
      <c r="J93" s="268"/>
      <c r="K93" s="268"/>
      <c r="L93" s="268"/>
      <c r="M93" s="268"/>
      <c r="N93" s="268"/>
      <c r="O93" s="268"/>
      <c r="P93" s="268"/>
      <c r="Q93" s="268"/>
    </row>
    <row r="94" spans="1:17" s="267" customFormat="1" ht="30" customHeight="1">
      <c r="A94" s="576"/>
      <c r="B94" s="237"/>
      <c r="C94" s="456"/>
      <c r="D94" s="268"/>
      <c r="E94" s="268"/>
      <c r="F94" s="268"/>
      <c r="G94" s="268"/>
      <c r="H94" s="268"/>
      <c r="I94" s="268"/>
      <c r="J94" s="268"/>
      <c r="K94" s="268"/>
      <c r="L94" s="268"/>
      <c r="M94" s="268"/>
      <c r="N94" s="268"/>
      <c r="O94" s="268"/>
      <c r="P94" s="268"/>
      <c r="Q94" s="268"/>
    </row>
    <row r="95" spans="1:17" s="267" customFormat="1" ht="30" customHeight="1">
      <c r="A95" s="545" t="s">
        <v>43</v>
      </c>
      <c r="B95" s="233">
        <f>SUM(B96,B99)</f>
        <v>3817522</v>
      </c>
      <c r="C95" s="456"/>
      <c r="D95" s="268"/>
      <c r="E95" s="268"/>
      <c r="F95" s="268"/>
      <c r="G95" s="268"/>
      <c r="H95" s="268"/>
      <c r="I95" s="268"/>
      <c r="J95" s="268"/>
      <c r="K95" s="268"/>
      <c r="L95" s="268"/>
      <c r="M95" s="268"/>
      <c r="N95" s="268"/>
      <c r="O95" s="268"/>
      <c r="P95" s="268"/>
      <c r="Q95" s="268"/>
    </row>
    <row r="96" spans="1:17" s="267" customFormat="1" ht="30" customHeight="1">
      <c r="A96" s="546" t="s">
        <v>653</v>
      </c>
      <c r="B96" s="233">
        <f>SUM(B97:B98)</f>
        <v>3801622</v>
      </c>
      <c r="C96" s="938" t="s">
        <v>389</v>
      </c>
      <c r="D96" s="268"/>
      <c r="E96" s="268"/>
      <c r="F96" s="268"/>
      <c r="G96" s="268"/>
      <c r="H96" s="268"/>
      <c r="I96" s="268"/>
      <c r="J96" s="268"/>
      <c r="K96" s="268"/>
      <c r="L96" s="268"/>
      <c r="M96" s="268"/>
      <c r="N96" s="268"/>
      <c r="O96" s="268"/>
      <c r="P96" s="268"/>
      <c r="Q96" s="268"/>
    </row>
    <row r="97" spans="1:17" s="268" customFormat="1" ht="30" customHeight="1">
      <c r="A97" s="576" t="s">
        <v>692</v>
      </c>
      <c r="B97" s="236">
        <v>1140487</v>
      </c>
      <c r="C97" s="938"/>
    </row>
    <row r="98" spans="1:17" s="268" customFormat="1" ht="30" customHeight="1">
      <c r="A98" s="576" t="s">
        <v>693</v>
      </c>
      <c r="B98" s="236">
        <v>2661135</v>
      </c>
      <c r="C98" s="456"/>
    </row>
    <row r="99" spans="1:17" s="267" customFormat="1" ht="76.8" customHeight="1">
      <c r="A99" s="545" t="s">
        <v>680</v>
      </c>
      <c r="B99" s="233">
        <v>15900</v>
      </c>
      <c r="C99" s="938" t="s">
        <v>390</v>
      </c>
      <c r="D99" s="268"/>
      <c r="E99" s="268"/>
      <c r="F99" s="268"/>
      <c r="G99" s="268"/>
      <c r="H99" s="268"/>
      <c r="I99" s="268"/>
      <c r="J99" s="268"/>
      <c r="K99" s="268"/>
      <c r="L99" s="268"/>
      <c r="M99" s="268"/>
      <c r="N99" s="268"/>
      <c r="O99" s="268"/>
      <c r="P99" s="268"/>
      <c r="Q99" s="268"/>
    </row>
    <row r="100" spans="1:17" s="267" customFormat="1" ht="100.2" customHeight="1">
      <c r="A100" s="545"/>
      <c r="B100" s="233"/>
      <c r="C100" s="938"/>
      <c r="D100" s="268"/>
      <c r="E100" s="268"/>
      <c r="F100" s="268"/>
      <c r="G100" s="268"/>
      <c r="H100" s="268"/>
      <c r="I100" s="268"/>
      <c r="J100" s="268"/>
      <c r="K100" s="268"/>
      <c r="L100" s="268"/>
      <c r="M100" s="268"/>
      <c r="N100" s="268"/>
      <c r="O100" s="268"/>
      <c r="P100" s="268"/>
      <c r="Q100" s="268"/>
    </row>
    <row r="101" spans="1:17" s="267" customFormat="1" ht="204" customHeight="1" thickBot="1">
      <c r="A101" s="573"/>
      <c r="B101" s="240"/>
      <c r="C101" s="517"/>
      <c r="D101" s="268"/>
      <c r="E101" s="268"/>
      <c r="F101" s="268"/>
      <c r="G101" s="268"/>
      <c r="H101" s="268"/>
      <c r="I101" s="268"/>
      <c r="J101" s="268"/>
      <c r="K101" s="268"/>
      <c r="L101" s="268"/>
      <c r="M101" s="268"/>
      <c r="N101" s="268"/>
      <c r="O101" s="268"/>
      <c r="P101" s="268"/>
      <c r="Q101" s="268"/>
    </row>
    <row r="102" spans="1:17" ht="24.75" customHeight="1">
      <c r="B102" s="243"/>
    </row>
    <row r="103" spans="1:17" ht="24.75" customHeight="1"/>
    <row r="104" spans="1:17">
      <c r="A104" s="518"/>
    </row>
  </sheetData>
  <mergeCells count="26">
    <mergeCell ref="C35:C37"/>
    <mergeCell ref="A1:C1"/>
    <mergeCell ref="A2:C2"/>
    <mergeCell ref="A3:C3"/>
    <mergeCell ref="A4:C4"/>
    <mergeCell ref="A5:A7"/>
    <mergeCell ref="B5:B7"/>
    <mergeCell ref="C5:C7"/>
    <mergeCell ref="C12:C15"/>
    <mergeCell ref="C16:C19"/>
    <mergeCell ref="C20:C23"/>
    <mergeCell ref="C24:C27"/>
    <mergeCell ref="C32:C34"/>
    <mergeCell ref="C99:C100"/>
    <mergeCell ref="C96:C97"/>
    <mergeCell ref="C38:C41"/>
    <mergeCell ref="C42:C45"/>
    <mergeCell ref="C46:C48"/>
    <mergeCell ref="C52:C54"/>
    <mergeCell ref="C55:C56"/>
    <mergeCell ref="C57:C59"/>
    <mergeCell ref="C65:C68"/>
    <mergeCell ref="C73:C76"/>
    <mergeCell ref="C81:C84"/>
    <mergeCell ref="C85:C88"/>
    <mergeCell ref="C89:C90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50" orientation="portrait" useFirstPageNumber="1" r:id="rId1"/>
  <headerFooter alignWithMargins="0">
    <oddFooter>&amp;C&amp;"Times New Roman,標準"&amp;P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V136"/>
  <sheetViews>
    <sheetView showGridLines="0" view="pageBreakPreview" topLeftCell="A49" zoomScaleSheetLayoutView="100" workbookViewId="0">
      <selection activeCell="D16" sqref="D16"/>
    </sheetView>
  </sheetViews>
  <sheetFormatPr defaultColWidth="12" defaultRowHeight="21"/>
  <cols>
    <col min="1" max="1" width="35.21875" style="525" customWidth="1"/>
    <col min="2" max="2" width="10" style="525" customWidth="1"/>
    <col min="3" max="3" width="11.88671875" style="525" customWidth="1"/>
    <col min="4" max="4" width="12.44140625" style="525" customWidth="1"/>
    <col min="5" max="5" width="20.44140625" style="525" customWidth="1"/>
    <col min="6" max="16384" width="12" style="525"/>
  </cols>
  <sheetData>
    <row r="1" spans="1:5" s="2" customFormat="1" ht="22.2">
      <c r="A1" s="798" t="s">
        <v>109</v>
      </c>
      <c r="B1" s="798"/>
      <c r="C1" s="798"/>
      <c r="D1" s="798"/>
      <c r="E1" s="798"/>
    </row>
    <row r="2" spans="1:5" s="2" customFormat="1" ht="22.2">
      <c r="A2" s="798" t="s">
        <v>110</v>
      </c>
      <c r="B2" s="798"/>
      <c r="C2" s="798"/>
      <c r="D2" s="798"/>
      <c r="E2" s="798"/>
    </row>
    <row r="3" spans="1:5" s="2" customFormat="1" ht="24.75" customHeight="1">
      <c r="A3" s="800" t="s">
        <v>391</v>
      </c>
      <c r="B3" s="800"/>
      <c r="C3" s="800"/>
      <c r="D3" s="800"/>
      <c r="E3" s="800"/>
    </row>
    <row r="4" spans="1:5" s="2" customFormat="1" ht="24.75" customHeight="1" thickBot="1">
      <c r="A4" s="815" t="s">
        <v>392</v>
      </c>
      <c r="B4" s="815"/>
      <c r="C4" s="815"/>
      <c r="D4" s="815"/>
      <c r="E4" s="815"/>
    </row>
    <row r="5" spans="1:5" s="523" customFormat="1" ht="52.5" customHeight="1">
      <c r="A5" s="580" t="s">
        <v>698</v>
      </c>
      <c r="B5" s="519" t="s">
        <v>394</v>
      </c>
      <c r="C5" s="520" t="s">
        <v>395</v>
      </c>
      <c r="D5" s="521" t="s">
        <v>396</v>
      </c>
      <c r="E5" s="522" t="s">
        <v>397</v>
      </c>
    </row>
    <row r="6" spans="1:5" s="524" customFormat="1" ht="3.6" customHeight="1">
      <c r="A6" s="581"/>
      <c r="B6" s="305"/>
      <c r="C6" s="306"/>
      <c r="D6" s="306"/>
      <c r="E6" s="307"/>
    </row>
    <row r="7" spans="1:5" s="311" customFormat="1" ht="24" customHeight="1">
      <c r="A7" s="582" t="s">
        <v>699</v>
      </c>
      <c r="B7" s="308"/>
      <c r="C7" s="309"/>
      <c r="D7" s="408">
        <f>D8+D88+D95+D104</f>
        <v>365074732</v>
      </c>
      <c r="E7" s="310"/>
    </row>
    <row r="8" spans="1:5" s="31" customFormat="1" ht="20.399999999999999" customHeight="1">
      <c r="A8" s="544" t="s">
        <v>728</v>
      </c>
      <c r="B8" s="125"/>
      <c r="C8" s="241"/>
      <c r="D8" s="241">
        <f>SUM(D9:D10)</f>
        <v>338014904</v>
      </c>
      <c r="E8" s="409"/>
    </row>
    <row r="9" spans="1:5" s="10" customFormat="1" ht="24" customHeight="1">
      <c r="A9" s="548" t="s">
        <v>811</v>
      </c>
      <c r="B9" s="130"/>
      <c r="C9" s="238"/>
      <c r="D9" s="238">
        <f>D13</f>
        <v>330221806</v>
      </c>
      <c r="E9" s="274"/>
    </row>
    <row r="10" spans="1:5" s="10" customFormat="1" ht="20.399999999999999" customHeight="1">
      <c r="A10" s="548" t="s">
        <v>729</v>
      </c>
      <c r="B10" s="130"/>
      <c r="C10" s="238"/>
      <c r="D10" s="238">
        <f>D14+D77</f>
        <v>7793098</v>
      </c>
      <c r="E10" s="274"/>
    </row>
    <row r="11" spans="1:5" s="10" customFormat="1" ht="6.75" customHeight="1">
      <c r="A11" s="548"/>
      <c r="B11" s="130"/>
      <c r="C11" s="238"/>
      <c r="D11" s="238"/>
      <c r="E11" s="274"/>
    </row>
    <row r="12" spans="1:5" s="31" customFormat="1" ht="24" customHeight="1">
      <c r="A12" s="544" t="s">
        <v>730</v>
      </c>
      <c r="B12" s="125"/>
      <c r="C12" s="241"/>
      <c r="D12" s="241">
        <f>SUM(D13:D14)</f>
        <v>334685064</v>
      </c>
      <c r="E12" s="944" t="s">
        <v>101</v>
      </c>
    </row>
    <row r="13" spans="1:5" s="10" customFormat="1" ht="29.25" customHeight="1">
      <c r="A13" s="548" t="s">
        <v>731</v>
      </c>
      <c r="B13" s="130"/>
      <c r="C13" s="238"/>
      <c r="D13" s="238">
        <f>SUM(D17,D20,D26,D43,D50,D57)</f>
        <v>330221806</v>
      </c>
      <c r="E13" s="944"/>
    </row>
    <row r="14" spans="1:5" s="10" customFormat="1" ht="19.95" customHeight="1">
      <c r="A14" s="548" t="s">
        <v>747</v>
      </c>
      <c r="B14" s="130"/>
      <c r="C14" s="238"/>
      <c r="D14" s="238">
        <f>SUM(D21,D30,D44,D62,D73)</f>
        <v>4463258</v>
      </c>
      <c r="E14" s="944"/>
    </row>
    <row r="15" spans="1:5" s="10" customFormat="1" ht="6" customHeight="1">
      <c r="A15" s="548"/>
      <c r="B15" s="130"/>
      <c r="C15" s="238"/>
      <c r="D15" s="238"/>
      <c r="E15" s="944"/>
    </row>
    <row r="16" spans="1:5" s="10" customFormat="1" ht="26.4" customHeight="1">
      <c r="A16" s="548" t="s">
        <v>790</v>
      </c>
      <c r="B16" s="130"/>
      <c r="C16" s="238"/>
      <c r="D16" s="238">
        <f>SUM(D17)</f>
        <v>8234774</v>
      </c>
      <c r="E16" s="944"/>
    </row>
    <row r="17" spans="1:5" s="10" customFormat="1" ht="26.4" customHeight="1">
      <c r="A17" s="548" t="s">
        <v>791</v>
      </c>
      <c r="B17" s="130">
        <v>137650</v>
      </c>
      <c r="C17" s="238">
        <v>59824</v>
      </c>
      <c r="D17" s="238">
        <v>8234774</v>
      </c>
      <c r="E17" s="274" t="s">
        <v>398</v>
      </c>
    </row>
    <row r="18" spans="1:5" s="10" customFormat="1" ht="6" customHeight="1">
      <c r="A18" s="548"/>
      <c r="B18" s="130"/>
      <c r="C18" s="238"/>
      <c r="D18" s="238"/>
      <c r="E18" s="274"/>
    </row>
    <row r="19" spans="1:5" s="10" customFormat="1" ht="26.4" customHeight="1">
      <c r="A19" s="548" t="s">
        <v>792</v>
      </c>
      <c r="B19" s="130"/>
      <c r="C19" s="238"/>
      <c r="D19" s="238">
        <f>SUM(D20:D21)</f>
        <v>3705743</v>
      </c>
      <c r="E19" s="274"/>
    </row>
    <row r="20" spans="1:5" s="10" customFormat="1" ht="22.8" customHeight="1">
      <c r="A20" s="548" t="s">
        <v>793</v>
      </c>
      <c r="B20" s="130">
        <v>144701</v>
      </c>
      <c r="C20" s="238">
        <v>7650</v>
      </c>
      <c r="D20" s="238">
        <v>1106963</v>
      </c>
      <c r="E20" s="274" t="s">
        <v>399</v>
      </c>
    </row>
    <row r="21" spans="1:5" s="10" customFormat="1" ht="24" customHeight="1">
      <c r="A21" s="548" t="s">
        <v>794</v>
      </c>
      <c r="B21" s="130"/>
      <c r="C21" s="238"/>
      <c r="D21" s="238">
        <f>SUM(D22:D23)</f>
        <v>2598780</v>
      </c>
      <c r="E21" s="274"/>
    </row>
    <row r="22" spans="1:5" s="10" customFormat="1" ht="26.4" customHeight="1">
      <c r="A22" s="548" t="s">
        <v>795</v>
      </c>
      <c r="B22" s="130">
        <v>54042</v>
      </c>
      <c r="C22" s="238">
        <v>46472</v>
      </c>
      <c r="D22" s="238">
        <v>2511440</v>
      </c>
      <c r="E22" s="274" t="s">
        <v>400</v>
      </c>
    </row>
    <row r="23" spans="1:5" s="10" customFormat="1" ht="22.2" customHeight="1">
      <c r="A23" s="548" t="s">
        <v>796</v>
      </c>
      <c r="B23" s="130">
        <v>1891</v>
      </c>
      <c r="C23" s="238">
        <v>46187</v>
      </c>
      <c r="D23" s="238">
        <v>87340</v>
      </c>
      <c r="E23" s="274" t="s">
        <v>401</v>
      </c>
    </row>
    <row r="24" spans="1:5" s="10" customFormat="1" ht="3.6" customHeight="1">
      <c r="A24" s="548"/>
      <c r="B24" s="130"/>
      <c r="C24" s="238"/>
      <c r="D24" s="238"/>
      <c r="E24" s="274"/>
    </row>
    <row r="25" spans="1:5" s="10" customFormat="1" ht="24" customHeight="1">
      <c r="A25" s="548" t="s">
        <v>797</v>
      </c>
      <c r="B25" s="130"/>
      <c r="C25" s="238"/>
      <c r="D25" s="238">
        <f>SUM(D26,D30)</f>
        <v>6265717</v>
      </c>
      <c r="E25" s="274"/>
    </row>
    <row r="26" spans="1:5" s="10" customFormat="1" ht="24" customHeight="1">
      <c r="A26" s="548" t="s">
        <v>793</v>
      </c>
      <c r="B26" s="130"/>
      <c r="C26" s="238"/>
      <c r="D26" s="238">
        <f>SUM(D27:D29)</f>
        <v>5252130</v>
      </c>
      <c r="E26" s="274"/>
    </row>
    <row r="27" spans="1:5" s="10" customFormat="1" ht="21.6" customHeight="1">
      <c r="A27" s="548" t="s">
        <v>798</v>
      </c>
      <c r="B27" s="130">
        <v>18504</v>
      </c>
      <c r="C27" s="238">
        <v>262300</v>
      </c>
      <c r="D27" s="238">
        <v>4853599</v>
      </c>
      <c r="E27" s="274" t="s">
        <v>402</v>
      </c>
    </row>
    <row r="28" spans="1:5" s="10" customFormat="1" ht="24" customHeight="1">
      <c r="A28" s="548" t="s">
        <v>799</v>
      </c>
      <c r="B28" s="130">
        <v>46</v>
      </c>
      <c r="C28" s="238">
        <v>715132</v>
      </c>
      <c r="D28" s="238">
        <v>32896</v>
      </c>
      <c r="E28" s="274"/>
    </row>
    <row r="29" spans="1:5" s="10" customFormat="1" ht="24" customHeight="1">
      <c r="A29" s="548" t="s">
        <v>800</v>
      </c>
      <c r="B29" s="130">
        <v>3413</v>
      </c>
      <c r="C29" s="238">
        <v>107130</v>
      </c>
      <c r="D29" s="238">
        <v>365635</v>
      </c>
      <c r="E29" s="274"/>
    </row>
    <row r="30" spans="1:5" s="10" customFormat="1" ht="24" customHeight="1">
      <c r="A30" s="548" t="s">
        <v>801</v>
      </c>
      <c r="B30" s="130"/>
      <c r="C30" s="238"/>
      <c r="D30" s="238">
        <f>SUM(D31,D36)</f>
        <v>1013587</v>
      </c>
      <c r="E30" s="274"/>
    </row>
    <row r="31" spans="1:5" s="10" customFormat="1" ht="18.600000000000001" customHeight="1">
      <c r="A31" s="548" t="s">
        <v>802</v>
      </c>
      <c r="B31" s="130"/>
      <c r="C31" s="238"/>
      <c r="D31" s="238">
        <f>SUM(D32:D35)</f>
        <v>958920</v>
      </c>
      <c r="E31" s="274"/>
    </row>
    <row r="32" spans="1:5" s="10" customFormat="1" ht="24" customHeight="1">
      <c r="A32" s="548" t="s">
        <v>803</v>
      </c>
      <c r="B32" s="130">
        <v>3060</v>
      </c>
      <c r="C32" s="238">
        <v>270451</v>
      </c>
      <c r="D32" s="238">
        <v>827580</v>
      </c>
      <c r="E32" s="274" t="s">
        <v>403</v>
      </c>
    </row>
    <row r="33" spans="1:48" s="10" customFormat="1" ht="24" customHeight="1">
      <c r="A33" s="548" t="s">
        <v>804</v>
      </c>
      <c r="B33" s="130">
        <v>6</v>
      </c>
      <c r="C33" s="238">
        <v>718334</v>
      </c>
      <c r="D33" s="238">
        <v>4310</v>
      </c>
      <c r="E33" s="274"/>
    </row>
    <row r="34" spans="1:48" s="10" customFormat="1" ht="24" customHeight="1">
      <c r="A34" s="548" t="s">
        <v>805</v>
      </c>
      <c r="B34" s="130">
        <v>473</v>
      </c>
      <c r="C34" s="238">
        <v>143102</v>
      </c>
      <c r="D34" s="238">
        <v>67687</v>
      </c>
      <c r="E34" s="274"/>
    </row>
    <row r="35" spans="1:48" s="10" customFormat="1" ht="30" customHeight="1" thickBot="1">
      <c r="A35" s="550" t="s">
        <v>806</v>
      </c>
      <c r="B35" s="227">
        <v>96</v>
      </c>
      <c r="C35" s="239">
        <v>618157</v>
      </c>
      <c r="D35" s="239">
        <v>59343</v>
      </c>
      <c r="E35" s="275"/>
    </row>
    <row r="36" spans="1:48" s="10" customFormat="1" ht="24.6" customHeight="1">
      <c r="A36" s="548" t="s">
        <v>807</v>
      </c>
      <c r="B36" s="130"/>
      <c r="C36" s="238"/>
      <c r="D36" s="238">
        <f>SUM(D37:D40)</f>
        <v>54667</v>
      </c>
      <c r="E36" s="274"/>
    </row>
    <row r="37" spans="1:48" s="312" customFormat="1" ht="24.6" customHeight="1" thickBot="1">
      <c r="A37" s="548" t="s">
        <v>808</v>
      </c>
      <c r="B37" s="130">
        <v>135</v>
      </c>
      <c r="C37" s="238">
        <v>317720</v>
      </c>
      <c r="D37" s="238">
        <v>42892</v>
      </c>
      <c r="E37" s="274" t="s">
        <v>404</v>
      </c>
      <c r="F37" s="387"/>
      <c r="G37" s="261"/>
      <c r="H37" s="261"/>
      <c r="I37" s="261"/>
      <c r="J37" s="261"/>
      <c r="K37" s="261"/>
      <c r="L37" s="261"/>
      <c r="M37" s="261"/>
      <c r="N37" s="261"/>
      <c r="O37" s="261"/>
      <c r="P37" s="261"/>
      <c r="Q37" s="261"/>
      <c r="R37" s="261"/>
      <c r="S37" s="261"/>
      <c r="T37" s="261"/>
      <c r="U37" s="261"/>
      <c r="V37" s="261"/>
      <c r="W37" s="261"/>
      <c r="X37" s="261"/>
      <c r="Y37" s="261"/>
      <c r="Z37" s="261"/>
      <c r="AA37" s="261"/>
      <c r="AB37" s="261"/>
      <c r="AC37" s="261"/>
      <c r="AD37" s="261"/>
      <c r="AE37" s="261"/>
      <c r="AF37" s="261"/>
      <c r="AG37" s="261"/>
      <c r="AH37" s="261"/>
      <c r="AI37" s="261"/>
      <c r="AJ37" s="261"/>
      <c r="AK37" s="261"/>
      <c r="AL37" s="261"/>
      <c r="AM37" s="261"/>
      <c r="AN37" s="261"/>
      <c r="AO37" s="261"/>
      <c r="AP37" s="261"/>
      <c r="AQ37" s="261"/>
      <c r="AR37" s="261"/>
      <c r="AS37" s="261"/>
      <c r="AT37" s="261"/>
      <c r="AU37" s="261"/>
      <c r="AV37" s="261"/>
    </row>
    <row r="38" spans="1:48" s="10" customFormat="1" ht="24" customHeight="1">
      <c r="A38" s="548" t="s">
        <v>809</v>
      </c>
      <c r="B38" s="130">
        <v>5</v>
      </c>
      <c r="C38" s="238">
        <v>704979</v>
      </c>
      <c r="D38" s="238">
        <v>3525</v>
      </c>
      <c r="E38" s="274"/>
    </row>
    <row r="39" spans="1:48" s="10" customFormat="1" ht="24.6" customHeight="1">
      <c r="A39" s="548" t="s">
        <v>810</v>
      </c>
      <c r="B39" s="130">
        <v>31</v>
      </c>
      <c r="C39" s="238">
        <v>50903</v>
      </c>
      <c r="D39" s="238">
        <v>1578</v>
      </c>
      <c r="E39" s="274"/>
    </row>
    <row r="40" spans="1:48" s="10" customFormat="1" ht="19.95" customHeight="1">
      <c r="A40" s="548" t="s">
        <v>806</v>
      </c>
      <c r="B40" s="130">
        <v>12</v>
      </c>
      <c r="C40" s="238">
        <v>556000</v>
      </c>
      <c r="D40" s="238">
        <v>6672</v>
      </c>
      <c r="E40" s="274"/>
    </row>
    <row r="41" spans="1:48" s="10" customFormat="1" ht="6" customHeight="1">
      <c r="A41" s="548"/>
      <c r="B41" s="130"/>
      <c r="C41" s="238"/>
      <c r="D41" s="238"/>
      <c r="E41" s="274"/>
    </row>
    <row r="42" spans="1:48" s="10" customFormat="1" ht="24.6" customHeight="1">
      <c r="A42" s="548" t="s">
        <v>788</v>
      </c>
      <c r="B42" s="130"/>
      <c r="C42" s="238"/>
      <c r="D42" s="238">
        <f>SUM(D43:D44)</f>
        <v>798</v>
      </c>
      <c r="E42" s="274"/>
    </row>
    <row r="43" spans="1:48" s="10" customFormat="1" ht="24.6" customHeight="1">
      <c r="A43" s="548" t="s">
        <v>812</v>
      </c>
      <c r="B43" s="130">
        <v>216</v>
      </c>
      <c r="C43" s="238">
        <v>3000</v>
      </c>
      <c r="D43" s="238">
        <v>648</v>
      </c>
      <c r="E43" s="274" t="s">
        <v>98</v>
      </c>
    </row>
    <row r="44" spans="1:48" s="10" customFormat="1" ht="24.6" customHeight="1">
      <c r="A44" s="548" t="s">
        <v>794</v>
      </c>
      <c r="B44" s="130"/>
      <c r="C44" s="238"/>
      <c r="D44" s="238">
        <f>SUM(D45:D46)</f>
        <v>150</v>
      </c>
      <c r="E44" s="274"/>
    </row>
    <row r="45" spans="1:48" s="10" customFormat="1" ht="24.6" customHeight="1">
      <c r="A45" s="548" t="s">
        <v>802</v>
      </c>
      <c r="B45" s="130">
        <v>60</v>
      </c>
      <c r="C45" s="238">
        <v>2000</v>
      </c>
      <c r="D45" s="238">
        <v>120</v>
      </c>
      <c r="E45" s="274" t="s">
        <v>88</v>
      </c>
    </row>
    <row r="46" spans="1:48" s="10" customFormat="1" ht="22.2" customHeight="1">
      <c r="A46" s="548" t="s">
        <v>813</v>
      </c>
      <c r="B46" s="130">
        <v>10</v>
      </c>
      <c r="C46" s="238">
        <v>3000</v>
      </c>
      <c r="D46" s="238">
        <v>30</v>
      </c>
      <c r="E46" s="274" t="s">
        <v>99</v>
      </c>
    </row>
    <row r="47" spans="1:48" s="10" customFormat="1" ht="7.2" customHeight="1">
      <c r="A47" s="548"/>
      <c r="B47" s="130"/>
      <c r="C47" s="238"/>
      <c r="D47" s="238"/>
      <c r="E47" s="274"/>
    </row>
    <row r="48" spans="1:48" s="10" customFormat="1" ht="6.75" customHeight="1">
      <c r="A48" s="548"/>
      <c r="B48" s="130"/>
      <c r="C48" s="238"/>
      <c r="D48" s="238"/>
      <c r="E48" s="274"/>
    </row>
    <row r="49" spans="1:5" s="10" customFormat="1" ht="24.6" customHeight="1">
      <c r="A49" s="548" t="s">
        <v>814</v>
      </c>
      <c r="B49" s="130"/>
      <c r="C49" s="238"/>
      <c r="D49" s="238">
        <f>SUM(D50)</f>
        <v>291914589</v>
      </c>
      <c r="E49" s="274"/>
    </row>
    <row r="50" spans="1:5" s="10" customFormat="1" ht="24.6" customHeight="1">
      <c r="A50" s="548" t="s">
        <v>815</v>
      </c>
      <c r="B50" s="130"/>
      <c r="C50" s="238"/>
      <c r="D50" s="238">
        <f>SUM(D51:D54)</f>
        <v>291914589</v>
      </c>
      <c r="E50" s="274"/>
    </row>
    <row r="51" spans="1:5" s="10" customFormat="1" ht="33" customHeight="1">
      <c r="A51" s="548" t="s">
        <v>816</v>
      </c>
      <c r="B51" s="130">
        <v>77350</v>
      </c>
      <c r="C51" s="238">
        <v>1321200</v>
      </c>
      <c r="D51" s="238">
        <v>102194820</v>
      </c>
      <c r="E51" s="410" t="s">
        <v>405</v>
      </c>
    </row>
    <row r="52" spans="1:5" s="10" customFormat="1" ht="24.6" customHeight="1">
      <c r="A52" s="548" t="s">
        <v>817</v>
      </c>
      <c r="B52" s="130">
        <v>18700</v>
      </c>
      <c r="C52" s="238">
        <v>113800</v>
      </c>
      <c r="D52" s="238">
        <v>2128060</v>
      </c>
      <c r="E52" s="410" t="s">
        <v>406</v>
      </c>
    </row>
    <row r="53" spans="1:5" s="10" customFormat="1" ht="28.5" customHeight="1">
      <c r="A53" s="548" t="s">
        <v>818</v>
      </c>
      <c r="B53" s="130">
        <v>4900</v>
      </c>
      <c r="C53" s="238">
        <v>880000</v>
      </c>
      <c r="D53" s="238">
        <v>4312000</v>
      </c>
      <c r="E53" s="274"/>
    </row>
    <row r="54" spans="1:5" s="10" customFormat="1" ht="21.6" customHeight="1">
      <c r="A54" s="548" t="s">
        <v>819</v>
      </c>
      <c r="B54" s="130">
        <v>971600</v>
      </c>
      <c r="C54" s="238">
        <v>188637</v>
      </c>
      <c r="D54" s="238">
        <v>183279709</v>
      </c>
      <c r="E54" s="274"/>
    </row>
    <row r="55" spans="1:5" s="10" customFormat="1" ht="7.95" customHeight="1">
      <c r="A55" s="548"/>
      <c r="B55" s="130"/>
      <c r="C55" s="238"/>
      <c r="D55" s="238"/>
      <c r="E55" s="274"/>
    </row>
    <row r="56" spans="1:5" s="10" customFormat="1" ht="21.6" customHeight="1">
      <c r="A56" s="548" t="s">
        <v>820</v>
      </c>
      <c r="B56" s="130"/>
      <c r="C56" s="238"/>
      <c r="D56" s="238">
        <f>SUM(D57,D62)</f>
        <v>24552845</v>
      </c>
      <c r="E56" s="274"/>
    </row>
    <row r="57" spans="1:5" s="10" customFormat="1" ht="21.6" customHeight="1">
      <c r="A57" s="548" t="s">
        <v>793</v>
      </c>
      <c r="B57" s="130"/>
      <c r="C57" s="238"/>
      <c r="D57" s="238">
        <f>SUM(D58:D59)</f>
        <v>23712702</v>
      </c>
      <c r="E57" s="274"/>
    </row>
    <row r="58" spans="1:5" s="10" customFormat="1" ht="19.2" customHeight="1">
      <c r="A58" s="548" t="s">
        <v>821</v>
      </c>
      <c r="B58" s="130">
        <v>115232</v>
      </c>
      <c r="C58" s="238">
        <v>107220</v>
      </c>
      <c r="D58" s="238">
        <v>12355175</v>
      </c>
      <c r="E58" s="274" t="s">
        <v>407</v>
      </c>
    </row>
    <row r="59" spans="1:5" s="10" customFormat="1" ht="20.25" customHeight="1">
      <c r="A59" s="548" t="s">
        <v>822</v>
      </c>
      <c r="B59" s="130"/>
      <c r="C59" s="238"/>
      <c r="D59" s="238">
        <f>SUM(D60:D61)</f>
        <v>11357527</v>
      </c>
      <c r="E59" s="274"/>
    </row>
    <row r="60" spans="1:5" s="10" customFormat="1" ht="24.6" customHeight="1">
      <c r="A60" s="548" t="s">
        <v>823</v>
      </c>
      <c r="B60" s="130">
        <v>10965</v>
      </c>
      <c r="C60" s="238">
        <v>757583</v>
      </c>
      <c r="D60" s="238">
        <v>8306898</v>
      </c>
      <c r="E60" s="274" t="s">
        <v>408</v>
      </c>
    </row>
    <row r="61" spans="1:5" s="10" customFormat="1" ht="22.2" customHeight="1">
      <c r="A61" s="548" t="s">
        <v>824</v>
      </c>
      <c r="B61" s="130">
        <v>23919</v>
      </c>
      <c r="C61" s="238">
        <v>127540</v>
      </c>
      <c r="D61" s="238">
        <v>3050629</v>
      </c>
      <c r="E61" s="274"/>
    </row>
    <row r="62" spans="1:5" s="10" customFormat="1" ht="24.6" customHeight="1">
      <c r="A62" s="548" t="s">
        <v>825</v>
      </c>
      <c r="B62" s="130"/>
      <c r="C62" s="238"/>
      <c r="D62" s="238">
        <f>SUM(D63,D67)</f>
        <v>840143</v>
      </c>
      <c r="E62" s="274"/>
    </row>
    <row r="63" spans="1:5" s="10" customFormat="1" ht="19.8" customHeight="1">
      <c r="A63" s="548" t="s">
        <v>826</v>
      </c>
      <c r="B63" s="130"/>
      <c r="C63" s="238"/>
      <c r="D63" s="238">
        <f>SUM(D64:D66)</f>
        <v>777161</v>
      </c>
      <c r="E63" s="274"/>
    </row>
    <row r="64" spans="1:5" s="10" customFormat="1" ht="24" customHeight="1" thickBot="1">
      <c r="A64" s="550" t="s">
        <v>823</v>
      </c>
      <c r="B64" s="227">
        <v>587</v>
      </c>
      <c r="C64" s="239">
        <v>884711</v>
      </c>
      <c r="D64" s="239">
        <v>519325</v>
      </c>
      <c r="E64" s="275" t="s">
        <v>409</v>
      </c>
    </row>
    <row r="65" spans="1:5" s="10" customFormat="1" ht="22.95" customHeight="1">
      <c r="A65" s="548" t="s">
        <v>827</v>
      </c>
      <c r="B65" s="130">
        <v>1627</v>
      </c>
      <c r="C65" s="238">
        <v>136220</v>
      </c>
      <c r="D65" s="238">
        <v>221630</v>
      </c>
      <c r="E65" s="411"/>
    </row>
    <row r="66" spans="1:5" s="10" customFormat="1" ht="22.95" customHeight="1">
      <c r="A66" s="548" t="s">
        <v>828</v>
      </c>
      <c r="B66" s="130">
        <v>122</v>
      </c>
      <c r="C66" s="238">
        <v>296771</v>
      </c>
      <c r="D66" s="238">
        <v>36206</v>
      </c>
      <c r="E66" s="274"/>
    </row>
    <row r="67" spans="1:5" s="10" customFormat="1" ht="22.95" customHeight="1">
      <c r="A67" s="548" t="s">
        <v>807</v>
      </c>
      <c r="B67" s="130"/>
      <c r="C67" s="238"/>
      <c r="D67" s="238">
        <f>SUM(D68:D70)</f>
        <v>62982</v>
      </c>
      <c r="E67" s="274"/>
    </row>
    <row r="68" spans="1:5" s="10" customFormat="1" ht="26.25" customHeight="1">
      <c r="A68" s="548" t="s">
        <v>823</v>
      </c>
      <c r="B68" s="130">
        <v>58</v>
      </c>
      <c r="C68" s="238">
        <v>1079091</v>
      </c>
      <c r="D68" s="238">
        <v>62587</v>
      </c>
      <c r="E68" s="274" t="s">
        <v>410</v>
      </c>
    </row>
    <row r="69" spans="1:5" s="10" customFormat="1" ht="22.95" customHeight="1">
      <c r="A69" s="548" t="s">
        <v>824</v>
      </c>
      <c r="B69" s="130">
        <v>1</v>
      </c>
      <c r="C69" s="238">
        <v>83000</v>
      </c>
      <c r="D69" s="238">
        <v>83</v>
      </c>
      <c r="E69" s="411"/>
    </row>
    <row r="70" spans="1:5" s="10" customFormat="1" ht="22.95" customHeight="1">
      <c r="A70" s="548" t="s">
        <v>828</v>
      </c>
      <c r="B70" s="130">
        <v>1</v>
      </c>
      <c r="C70" s="238">
        <v>312000</v>
      </c>
      <c r="D70" s="238">
        <v>312</v>
      </c>
      <c r="E70" s="274"/>
    </row>
    <row r="71" spans="1:5" s="10" customFormat="1" ht="5.25" customHeight="1">
      <c r="A71" s="548"/>
      <c r="B71" s="130"/>
      <c r="C71" s="238"/>
      <c r="D71" s="238"/>
      <c r="E71" s="274"/>
    </row>
    <row r="72" spans="1:5" s="10" customFormat="1" ht="24" customHeight="1">
      <c r="A72" s="548" t="s">
        <v>829</v>
      </c>
      <c r="B72" s="130"/>
      <c r="C72" s="238"/>
      <c r="D72" s="238">
        <f>SUM(D73)</f>
        <v>10598</v>
      </c>
      <c r="E72" s="274"/>
    </row>
    <row r="73" spans="1:5" s="10" customFormat="1" ht="24" customHeight="1">
      <c r="A73" s="548" t="s">
        <v>830</v>
      </c>
      <c r="B73" s="130"/>
      <c r="C73" s="238"/>
      <c r="D73" s="238">
        <f>SUM(D74:D75)</f>
        <v>10598</v>
      </c>
      <c r="E73" s="274"/>
    </row>
    <row r="74" spans="1:5" s="10" customFormat="1" ht="24" customHeight="1">
      <c r="A74" s="548" t="s">
        <v>802</v>
      </c>
      <c r="B74" s="130">
        <v>11</v>
      </c>
      <c r="C74" s="238">
        <v>916727</v>
      </c>
      <c r="D74" s="238">
        <v>10084</v>
      </c>
      <c r="E74" s="410" t="s">
        <v>411</v>
      </c>
    </row>
    <row r="75" spans="1:5" s="10" customFormat="1" ht="24" customHeight="1">
      <c r="A75" s="548" t="s">
        <v>831</v>
      </c>
      <c r="B75" s="130">
        <v>3</v>
      </c>
      <c r="C75" s="238">
        <v>171375</v>
      </c>
      <c r="D75" s="238">
        <v>514</v>
      </c>
      <c r="E75" s="274" t="s">
        <v>412</v>
      </c>
    </row>
    <row r="76" spans="1:5" s="10" customFormat="1" ht="5.4" customHeight="1">
      <c r="A76" s="548"/>
      <c r="B76" s="130"/>
      <c r="C76" s="238"/>
      <c r="D76" s="238"/>
      <c r="E76" s="274"/>
    </row>
    <row r="77" spans="1:5" s="31" customFormat="1" ht="75.75" customHeight="1">
      <c r="A77" s="544" t="s">
        <v>733</v>
      </c>
      <c r="B77" s="125"/>
      <c r="C77" s="241"/>
      <c r="D77" s="241">
        <f>D78</f>
        <v>3329840</v>
      </c>
      <c r="E77" s="274" t="s">
        <v>101</v>
      </c>
    </row>
    <row r="78" spans="1:5" s="10" customFormat="1" ht="21" customHeight="1">
      <c r="A78" s="548" t="s">
        <v>747</v>
      </c>
      <c r="B78" s="130"/>
      <c r="C78" s="238"/>
      <c r="D78" s="238">
        <f>SUM(D79,D82)</f>
        <v>3329840</v>
      </c>
      <c r="E78" s="274"/>
    </row>
    <row r="79" spans="1:5" s="10" customFormat="1" ht="24" customHeight="1">
      <c r="A79" s="548" t="s">
        <v>748</v>
      </c>
      <c r="B79" s="130"/>
      <c r="C79" s="238"/>
      <c r="D79" s="238">
        <f>SUM(D80:D81)</f>
        <v>1789200</v>
      </c>
      <c r="E79" s="274" t="s">
        <v>413</v>
      </c>
    </row>
    <row r="80" spans="1:5" s="10" customFormat="1" ht="22.2" customHeight="1">
      <c r="A80" s="548" t="s">
        <v>749</v>
      </c>
      <c r="B80" s="130">
        <v>31097</v>
      </c>
      <c r="C80" s="238">
        <v>56000</v>
      </c>
      <c r="D80" s="238">
        <v>1741432</v>
      </c>
      <c r="E80" s="274"/>
    </row>
    <row r="81" spans="1:5" s="10" customFormat="1" ht="21" customHeight="1">
      <c r="A81" s="548" t="s">
        <v>750</v>
      </c>
      <c r="B81" s="130">
        <v>853</v>
      </c>
      <c r="C81" s="238">
        <v>56000</v>
      </c>
      <c r="D81" s="238">
        <v>47768</v>
      </c>
      <c r="E81" s="274"/>
    </row>
    <row r="82" spans="1:5" s="10" customFormat="1" ht="21" customHeight="1">
      <c r="A82" s="548" t="s">
        <v>751</v>
      </c>
      <c r="B82" s="130"/>
      <c r="C82" s="238"/>
      <c r="D82" s="238">
        <f>SUM(D83,D86)</f>
        <v>1540640</v>
      </c>
      <c r="E82" s="274"/>
    </row>
    <row r="83" spans="1:5" s="10" customFormat="1" ht="24" customHeight="1">
      <c r="A83" s="548" t="s">
        <v>752</v>
      </c>
      <c r="B83" s="130"/>
      <c r="C83" s="238"/>
      <c r="D83" s="238">
        <f>SUM(D84:D85)</f>
        <v>1230588</v>
      </c>
      <c r="E83" s="274" t="s">
        <v>414</v>
      </c>
    </row>
    <row r="84" spans="1:5" s="10" customFormat="1" ht="24" customHeight="1">
      <c r="A84" s="548" t="s">
        <v>732</v>
      </c>
      <c r="B84" s="130">
        <v>1200086</v>
      </c>
      <c r="C84" s="238">
        <v>1000</v>
      </c>
      <c r="D84" s="238">
        <v>1200086</v>
      </c>
      <c r="E84" s="274"/>
    </row>
    <row r="85" spans="1:5" s="10" customFormat="1" ht="24" customHeight="1">
      <c r="A85" s="548" t="s">
        <v>753</v>
      </c>
      <c r="B85" s="130">
        <v>30502</v>
      </c>
      <c r="C85" s="238">
        <v>1000</v>
      </c>
      <c r="D85" s="238">
        <v>30502</v>
      </c>
      <c r="E85" s="274"/>
    </row>
    <row r="86" spans="1:5" s="10" customFormat="1" ht="33.75" customHeight="1">
      <c r="A86" s="548" t="s">
        <v>754</v>
      </c>
      <c r="B86" s="130">
        <v>292502</v>
      </c>
      <c r="C86" s="238">
        <v>1060</v>
      </c>
      <c r="D86" s="238">
        <v>310052</v>
      </c>
      <c r="E86" s="274" t="s">
        <v>415</v>
      </c>
    </row>
    <row r="87" spans="1:5" s="10" customFormat="1" ht="2.4" customHeight="1">
      <c r="A87" s="548"/>
      <c r="B87" s="130"/>
      <c r="C87" s="238"/>
      <c r="D87" s="238"/>
      <c r="E87" s="274"/>
    </row>
    <row r="88" spans="1:5" s="31" customFormat="1" ht="25.2" customHeight="1">
      <c r="A88" s="544" t="s">
        <v>734</v>
      </c>
      <c r="B88" s="125"/>
      <c r="C88" s="241"/>
      <c r="D88" s="241">
        <f>SUM(D89:D93)</f>
        <v>18783045</v>
      </c>
      <c r="E88" s="274" t="s">
        <v>416</v>
      </c>
    </row>
    <row r="89" spans="1:5" s="10" customFormat="1" ht="30.75" customHeight="1">
      <c r="A89" s="548" t="s">
        <v>743</v>
      </c>
      <c r="B89" s="130">
        <v>72000</v>
      </c>
      <c r="C89" s="238"/>
      <c r="D89" s="238">
        <v>7466340</v>
      </c>
      <c r="E89" s="274" t="s">
        <v>417</v>
      </c>
    </row>
    <row r="90" spans="1:5" s="10" customFormat="1" ht="24.75" customHeight="1" thickBot="1">
      <c r="A90" s="550" t="s">
        <v>744</v>
      </c>
      <c r="B90" s="227">
        <v>30500</v>
      </c>
      <c r="C90" s="239">
        <v>48500</v>
      </c>
      <c r="D90" s="239">
        <v>1479250</v>
      </c>
      <c r="E90" s="275" t="s">
        <v>418</v>
      </c>
    </row>
    <row r="91" spans="1:5" s="10" customFormat="1" ht="24" customHeight="1">
      <c r="A91" s="548" t="s">
        <v>745</v>
      </c>
      <c r="B91" s="130">
        <v>7200</v>
      </c>
      <c r="C91" s="238"/>
      <c r="D91" s="238">
        <v>552096</v>
      </c>
      <c r="E91" s="274" t="s">
        <v>419</v>
      </c>
    </row>
    <row r="92" spans="1:5" s="10" customFormat="1" ht="24" customHeight="1">
      <c r="A92" s="548" t="s">
        <v>746</v>
      </c>
      <c r="B92" s="130">
        <v>88900</v>
      </c>
      <c r="C92" s="238">
        <v>99932</v>
      </c>
      <c r="D92" s="238">
        <v>8883910</v>
      </c>
      <c r="E92" s="274" t="s">
        <v>420</v>
      </c>
    </row>
    <row r="93" spans="1:5" s="10" customFormat="1" ht="195">
      <c r="A93" s="548" t="s">
        <v>735</v>
      </c>
      <c r="B93" s="130">
        <v>608256</v>
      </c>
      <c r="C93" s="238">
        <v>660</v>
      </c>
      <c r="D93" s="238">
        <v>401449</v>
      </c>
      <c r="E93" s="274" t="s">
        <v>421</v>
      </c>
    </row>
    <row r="94" spans="1:5" s="10" customFormat="1" ht="24" customHeight="1">
      <c r="A94" s="548"/>
      <c r="B94" s="130"/>
      <c r="C94" s="238"/>
      <c r="D94" s="238"/>
      <c r="E94" s="274"/>
    </row>
    <row r="95" spans="1:5" s="31" customFormat="1" ht="24" customHeight="1">
      <c r="A95" s="544" t="s">
        <v>736</v>
      </c>
      <c r="B95" s="125"/>
      <c r="C95" s="241"/>
      <c r="D95" s="241">
        <f>SUM(D96)</f>
        <v>7718714</v>
      </c>
      <c r="E95" s="274" t="s">
        <v>102</v>
      </c>
    </row>
    <row r="96" spans="1:5" s="31" customFormat="1" ht="24" customHeight="1">
      <c r="A96" s="544" t="s">
        <v>737</v>
      </c>
      <c r="B96" s="125"/>
      <c r="C96" s="241"/>
      <c r="D96" s="241">
        <f>SUM(D97,D100,D102,D101)</f>
        <v>7718714</v>
      </c>
      <c r="E96" s="274"/>
    </row>
    <row r="97" spans="1:7" s="10" customFormat="1" ht="24" customHeight="1">
      <c r="A97" s="548" t="s">
        <v>755</v>
      </c>
      <c r="B97" s="130"/>
      <c r="C97" s="238"/>
      <c r="D97" s="238">
        <f>SUM(D98:D99)</f>
        <v>75480</v>
      </c>
      <c r="E97" s="274"/>
    </row>
    <row r="98" spans="1:7" s="10" customFormat="1" ht="24" customHeight="1">
      <c r="A98" s="548" t="s">
        <v>756</v>
      </c>
      <c r="B98" s="130">
        <v>1100</v>
      </c>
      <c r="C98" s="238">
        <v>20400</v>
      </c>
      <c r="D98" s="238">
        <v>22440</v>
      </c>
      <c r="E98" s="274" t="s">
        <v>422</v>
      </c>
    </row>
    <row r="99" spans="1:7" s="10" customFormat="1" ht="24" customHeight="1">
      <c r="A99" s="548" t="s">
        <v>757</v>
      </c>
      <c r="B99" s="130">
        <v>2600</v>
      </c>
      <c r="C99" s="238">
        <v>20400</v>
      </c>
      <c r="D99" s="238">
        <v>53040</v>
      </c>
      <c r="E99" s="274" t="s">
        <v>100</v>
      </c>
    </row>
    <row r="100" spans="1:7" s="10" customFormat="1" ht="24" customHeight="1">
      <c r="A100" s="548" t="s">
        <v>758</v>
      </c>
      <c r="B100" s="130">
        <v>14500</v>
      </c>
      <c r="C100" s="238">
        <v>200000</v>
      </c>
      <c r="D100" s="238">
        <v>2900000</v>
      </c>
      <c r="E100" s="274" t="s">
        <v>423</v>
      </c>
    </row>
    <row r="101" spans="1:7" s="10" customFormat="1" ht="24" customHeight="1">
      <c r="A101" s="548" t="s">
        <v>775</v>
      </c>
      <c r="B101" s="130">
        <v>31000</v>
      </c>
      <c r="C101" s="238">
        <v>153000</v>
      </c>
      <c r="D101" s="238">
        <v>4743000</v>
      </c>
      <c r="E101" s="274" t="s">
        <v>424</v>
      </c>
    </row>
    <row r="102" spans="1:7" s="10" customFormat="1" ht="24" customHeight="1">
      <c r="A102" s="548" t="s">
        <v>776</v>
      </c>
      <c r="B102" s="130">
        <v>180</v>
      </c>
      <c r="C102" s="238">
        <v>1300</v>
      </c>
      <c r="D102" s="238">
        <v>234</v>
      </c>
      <c r="E102" s="274" t="s">
        <v>425</v>
      </c>
    </row>
    <row r="103" spans="1:7" s="10" customFormat="1" ht="7.8" customHeight="1">
      <c r="A103" s="544"/>
      <c r="B103" s="130"/>
      <c r="C103" s="238"/>
      <c r="D103" s="238"/>
      <c r="E103" s="274"/>
    </row>
    <row r="104" spans="1:7" s="10" customFormat="1" ht="24" customHeight="1">
      <c r="A104" s="544" t="s">
        <v>738</v>
      </c>
      <c r="B104" s="125"/>
      <c r="C104" s="241"/>
      <c r="D104" s="241">
        <f>D105+D137</f>
        <v>558069</v>
      </c>
      <c r="E104" s="274"/>
    </row>
    <row r="105" spans="1:7" s="10" customFormat="1" ht="24" customHeight="1">
      <c r="A105" s="544" t="s">
        <v>739</v>
      </c>
      <c r="B105" s="130"/>
      <c r="C105" s="238"/>
      <c r="D105" s="241">
        <f>SUM(D106,D111,D114,D115,D116,D117,D118,D123,D130,D131,D132,D133,D134)</f>
        <v>558069</v>
      </c>
      <c r="E105" s="274"/>
    </row>
    <row r="106" spans="1:7" s="10" customFormat="1" ht="22.8" customHeight="1">
      <c r="A106" s="548" t="s">
        <v>759</v>
      </c>
      <c r="B106" s="130"/>
      <c r="C106" s="238"/>
      <c r="D106" s="238">
        <f>SUM(D107:D110)</f>
        <v>6294</v>
      </c>
      <c r="E106" s="274"/>
    </row>
    <row r="107" spans="1:7" s="10" customFormat="1" ht="37.799999999999997" customHeight="1">
      <c r="A107" s="584" t="s">
        <v>778</v>
      </c>
      <c r="B107" s="130">
        <v>288</v>
      </c>
      <c r="C107" s="238">
        <v>8200</v>
      </c>
      <c r="D107" s="238">
        <v>2362</v>
      </c>
      <c r="E107" s="274" t="s">
        <v>426</v>
      </c>
    </row>
    <row r="108" spans="1:7" s="313" customFormat="1" ht="43.5" customHeight="1" thickBot="1">
      <c r="A108" s="585" t="s">
        <v>773</v>
      </c>
      <c r="B108" s="227">
        <v>540</v>
      </c>
      <c r="C108" s="239">
        <v>5850</v>
      </c>
      <c r="D108" s="239">
        <v>3159</v>
      </c>
      <c r="E108" s="275" t="s">
        <v>103</v>
      </c>
      <c r="G108" s="593"/>
    </row>
    <row r="109" spans="1:7" s="313" customFormat="1" ht="33.75" customHeight="1">
      <c r="A109" s="583" t="s">
        <v>774</v>
      </c>
      <c r="B109" s="130">
        <v>12</v>
      </c>
      <c r="C109" s="238">
        <v>2950</v>
      </c>
      <c r="D109" s="238">
        <v>35</v>
      </c>
      <c r="E109" s="274" t="s">
        <v>427</v>
      </c>
    </row>
    <row r="110" spans="1:7" s="313" customFormat="1" ht="49.5" customHeight="1">
      <c r="A110" s="583" t="s">
        <v>741</v>
      </c>
      <c r="B110" s="130">
        <v>410</v>
      </c>
      <c r="C110" s="238">
        <v>1800</v>
      </c>
      <c r="D110" s="238">
        <v>738</v>
      </c>
      <c r="E110" s="274" t="s">
        <v>428</v>
      </c>
    </row>
    <row r="111" spans="1:7" s="313" customFormat="1" ht="16.8" customHeight="1">
      <c r="A111" s="149" t="s">
        <v>760</v>
      </c>
      <c r="B111" s="130"/>
      <c r="C111" s="238"/>
      <c r="D111" s="238">
        <f>SUM(D112:D113)</f>
        <v>92940</v>
      </c>
      <c r="E111" s="274"/>
    </row>
    <row r="112" spans="1:7" s="313" customFormat="1" ht="31.5" customHeight="1">
      <c r="A112" s="586" t="s">
        <v>761</v>
      </c>
      <c r="B112" s="130">
        <v>4200</v>
      </c>
      <c r="C112" s="238">
        <v>8200</v>
      </c>
      <c r="D112" s="238">
        <v>34440</v>
      </c>
      <c r="E112" s="274" t="s">
        <v>429</v>
      </c>
    </row>
    <row r="113" spans="1:5" s="313" customFormat="1" ht="32.25" customHeight="1">
      <c r="A113" s="583" t="s">
        <v>762</v>
      </c>
      <c r="B113" s="130">
        <v>10000</v>
      </c>
      <c r="C113" s="238">
        <v>5850</v>
      </c>
      <c r="D113" s="238">
        <v>58500</v>
      </c>
      <c r="E113" s="274" t="s">
        <v>430</v>
      </c>
    </row>
    <row r="114" spans="1:5" s="313" customFormat="1" ht="21.75" customHeight="1">
      <c r="A114" s="548" t="s">
        <v>763</v>
      </c>
      <c r="B114" s="130">
        <v>24</v>
      </c>
      <c r="C114" s="238">
        <v>14050</v>
      </c>
      <c r="D114" s="238">
        <v>337</v>
      </c>
      <c r="E114" s="274" t="s">
        <v>431</v>
      </c>
    </row>
    <row r="115" spans="1:5" s="313" customFormat="1" ht="21.75" customHeight="1">
      <c r="A115" s="548" t="s">
        <v>764</v>
      </c>
      <c r="B115" s="130">
        <v>750</v>
      </c>
      <c r="C115" s="238">
        <v>10000</v>
      </c>
      <c r="D115" s="238">
        <v>7500</v>
      </c>
      <c r="E115" s="274" t="s">
        <v>104</v>
      </c>
    </row>
    <row r="116" spans="1:5" s="313" customFormat="1" ht="21.6" customHeight="1">
      <c r="A116" s="548" t="s">
        <v>765</v>
      </c>
      <c r="B116" s="130">
        <v>4000</v>
      </c>
      <c r="C116" s="238">
        <v>11700</v>
      </c>
      <c r="D116" s="238">
        <v>46800</v>
      </c>
      <c r="E116" s="274" t="s">
        <v>432</v>
      </c>
    </row>
    <row r="117" spans="1:5" ht="24" customHeight="1">
      <c r="A117" s="548" t="s">
        <v>766</v>
      </c>
      <c r="B117" s="130">
        <v>400</v>
      </c>
      <c r="C117" s="238">
        <v>100000</v>
      </c>
      <c r="D117" s="238">
        <v>40000</v>
      </c>
      <c r="E117" s="274" t="s">
        <v>433</v>
      </c>
    </row>
    <row r="118" spans="1:5" ht="31.5" customHeight="1">
      <c r="A118" s="548" t="s">
        <v>777</v>
      </c>
      <c r="B118" s="130"/>
      <c r="C118" s="238"/>
      <c r="D118" s="238">
        <f>SUM(D119:D122)</f>
        <v>226</v>
      </c>
      <c r="E118" s="274"/>
    </row>
    <row r="119" spans="1:5" ht="35.25" customHeight="1">
      <c r="A119" s="583" t="s">
        <v>767</v>
      </c>
      <c r="B119" s="130">
        <v>12</v>
      </c>
      <c r="C119" s="238">
        <v>8200</v>
      </c>
      <c r="D119" s="238">
        <v>98</v>
      </c>
      <c r="E119" s="274" t="s">
        <v>427</v>
      </c>
    </row>
    <row r="120" spans="1:5" ht="32.25" customHeight="1">
      <c r="A120" s="583" t="s">
        <v>740</v>
      </c>
      <c r="B120" s="130">
        <v>12</v>
      </c>
      <c r="C120" s="238">
        <v>5850</v>
      </c>
      <c r="D120" s="238">
        <v>70</v>
      </c>
      <c r="E120" s="274" t="s">
        <v>427</v>
      </c>
    </row>
    <row r="121" spans="1:5" ht="34.5" customHeight="1">
      <c r="A121" s="583" t="s">
        <v>768</v>
      </c>
      <c r="B121" s="130">
        <v>12</v>
      </c>
      <c r="C121" s="238">
        <v>2950</v>
      </c>
      <c r="D121" s="238">
        <v>36</v>
      </c>
      <c r="E121" s="274" t="s">
        <v>427</v>
      </c>
    </row>
    <row r="122" spans="1:5" ht="45" customHeight="1">
      <c r="A122" s="583" t="s">
        <v>769</v>
      </c>
      <c r="B122" s="130">
        <v>12</v>
      </c>
      <c r="C122" s="238">
        <v>1800</v>
      </c>
      <c r="D122" s="238">
        <v>22</v>
      </c>
      <c r="E122" s="274" t="s">
        <v>427</v>
      </c>
    </row>
    <row r="123" spans="1:5" ht="27" customHeight="1">
      <c r="A123" s="548" t="s">
        <v>770</v>
      </c>
      <c r="B123" s="130"/>
      <c r="C123" s="238"/>
      <c r="D123" s="238">
        <f>SUM(D124:D129)</f>
        <v>316490</v>
      </c>
      <c r="E123" s="274"/>
    </row>
    <row r="124" spans="1:5" ht="83.25" customHeight="1">
      <c r="A124" s="548" t="s">
        <v>771</v>
      </c>
      <c r="B124" s="130"/>
      <c r="C124" s="238"/>
      <c r="D124" s="238">
        <v>146500</v>
      </c>
      <c r="E124" s="274" t="s">
        <v>779</v>
      </c>
    </row>
    <row r="125" spans="1:5" ht="79.8" customHeight="1" thickBot="1">
      <c r="A125" s="550" t="s">
        <v>742</v>
      </c>
      <c r="B125" s="227"/>
      <c r="C125" s="239"/>
      <c r="D125" s="239">
        <v>22420</v>
      </c>
      <c r="E125" s="275" t="s">
        <v>434</v>
      </c>
    </row>
    <row r="126" spans="1:5" ht="121.5" customHeight="1">
      <c r="A126" s="548" t="s">
        <v>780</v>
      </c>
      <c r="B126" s="130"/>
      <c r="C126" s="238"/>
      <c r="D126" s="238">
        <v>39500</v>
      </c>
      <c r="E126" s="274" t="s">
        <v>435</v>
      </c>
    </row>
    <row r="127" spans="1:5" ht="130.5" customHeight="1">
      <c r="A127" s="548" t="s">
        <v>772</v>
      </c>
      <c r="B127" s="130"/>
      <c r="C127" s="238"/>
      <c r="D127" s="238">
        <v>44570</v>
      </c>
      <c r="E127" s="274" t="s">
        <v>436</v>
      </c>
    </row>
    <row r="128" spans="1:5" ht="120.75" customHeight="1">
      <c r="A128" s="548" t="s">
        <v>783</v>
      </c>
      <c r="B128" s="130"/>
      <c r="C128" s="238"/>
      <c r="D128" s="238">
        <v>43500</v>
      </c>
      <c r="E128" s="274" t="s">
        <v>437</v>
      </c>
    </row>
    <row r="129" spans="1:5" ht="58.5" customHeight="1">
      <c r="A129" s="548" t="s">
        <v>784</v>
      </c>
      <c r="B129" s="130"/>
      <c r="C129" s="238"/>
      <c r="D129" s="238">
        <v>20000</v>
      </c>
      <c r="E129" s="274" t="s">
        <v>438</v>
      </c>
    </row>
    <row r="130" spans="1:5" ht="51" customHeight="1">
      <c r="A130" s="548" t="s">
        <v>785</v>
      </c>
      <c r="B130" s="130"/>
      <c r="C130" s="238"/>
      <c r="D130" s="238">
        <v>20000</v>
      </c>
      <c r="E130" s="274" t="s">
        <v>439</v>
      </c>
    </row>
    <row r="131" spans="1:5" ht="19.5" customHeight="1">
      <c r="A131" s="548" t="s">
        <v>786</v>
      </c>
      <c r="B131" s="130">
        <v>5</v>
      </c>
      <c r="C131" s="238">
        <v>200000</v>
      </c>
      <c r="D131" s="238">
        <v>1000</v>
      </c>
      <c r="E131" s="274" t="s">
        <v>440</v>
      </c>
    </row>
    <row r="132" spans="1:5" ht="55.8" customHeight="1">
      <c r="A132" s="548" t="s">
        <v>787</v>
      </c>
      <c r="B132" s="130">
        <v>17000</v>
      </c>
      <c r="C132" s="238">
        <v>1556</v>
      </c>
      <c r="D132" s="238">
        <v>26452</v>
      </c>
      <c r="E132" s="274" t="s">
        <v>105</v>
      </c>
    </row>
    <row r="133" spans="1:5" ht="19.5" customHeight="1">
      <c r="A133" s="548" t="s">
        <v>788</v>
      </c>
      <c r="B133" s="130">
        <v>4</v>
      </c>
      <c r="C133" s="238">
        <v>2500</v>
      </c>
      <c r="D133" s="238">
        <v>10</v>
      </c>
      <c r="E133" s="274" t="s">
        <v>441</v>
      </c>
    </row>
    <row r="134" spans="1:5" ht="21" customHeight="1">
      <c r="A134" s="548" t="s">
        <v>789</v>
      </c>
      <c r="B134" s="130">
        <v>2</v>
      </c>
      <c r="C134" s="238">
        <v>10000</v>
      </c>
      <c r="D134" s="238">
        <v>20</v>
      </c>
      <c r="E134" s="274" t="s">
        <v>442</v>
      </c>
    </row>
    <row r="135" spans="1:5" ht="3" customHeight="1">
      <c r="A135" s="548"/>
      <c r="B135" s="130"/>
      <c r="C135" s="238"/>
      <c r="D135" s="238"/>
      <c r="E135" s="274"/>
    </row>
    <row r="136" spans="1:5" ht="18.75" customHeight="1" thickBot="1">
      <c r="A136" s="550"/>
      <c r="B136" s="227"/>
      <c r="C136" s="239"/>
      <c r="D136" s="239"/>
      <c r="E136" s="275"/>
    </row>
  </sheetData>
  <mergeCells count="5">
    <mergeCell ref="A1:E1"/>
    <mergeCell ref="A2:E2"/>
    <mergeCell ref="A3:E3"/>
    <mergeCell ref="A4:E4"/>
    <mergeCell ref="E12:E16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55" orientation="portrait" useFirstPageNumber="1" r:id="rId1"/>
  <headerFooter alignWithMargins="0">
    <oddFooter>&amp;C&amp;"Times New Roman,標準"&amp;P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1"/>
  <dimension ref="A1:E28"/>
  <sheetViews>
    <sheetView showGridLines="0" topLeftCell="A16" zoomScaleSheetLayoutView="100" workbookViewId="0">
      <selection activeCell="B22" sqref="B22"/>
    </sheetView>
  </sheetViews>
  <sheetFormatPr defaultColWidth="12" defaultRowHeight="21"/>
  <cols>
    <col min="1" max="1" width="36.33203125" style="169" customWidth="1"/>
    <col min="2" max="2" width="10.77734375" style="169" customWidth="1"/>
    <col min="3" max="4" width="11.44140625" style="169" customWidth="1"/>
    <col min="5" max="5" width="20" style="169" customWidth="1"/>
    <col min="6" max="10" width="12" style="169" customWidth="1"/>
    <col min="11" max="11" width="11.44140625" style="169" customWidth="1"/>
    <col min="12" max="16384" width="12" style="169"/>
  </cols>
  <sheetData>
    <row r="1" spans="1:5" s="2" customFormat="1" ht="22.2">
      <c r="A1" s="798" t="s">
        <v>109</v>
      </c>
      <c r="B1" s="798"/>
      <c r="C1" s="798"/>
      <c r="D1" s="798"/>
      <c r="E1" s="798"/>
    </row>
    <row r="2" spans="1:5" s="2" customFormat="1" ht="22.2">
      <c r="A2" s="798" t="s">
        <v>110</v>
      </c>
      <c r="B2" s="798"/>
      <c r="C2" s="798"/>
      <c r="D2" s="798"/>
      <c r="E2" s="798"/>
    </row>
    <row r="3" spans="1:5" s="2" customFormat="1" ht="24.75" customHeight="1">
      <c r="A3" s="800" t="s">
        <v>443</v>
      </c>
      <c r="B3" s="800"/>
      <c r="C3" s="800"/>
      <c r="D3" s="800"/>
      <c r="E3" s="800"/>
    </row>
    <row r="4" spans="1:5" s="2" customFormat="1" ht="24.75" customHeight="1" thickBot="1">
      <c r="A4" s="815" t="s">
        <v>444</v>
      </c>
      <c r="B4" s="815"/>
      <c r="C4" s="815"/>
      <c r="D4" s="815"/>
      <c r="E4" s="815"/>
    </row>
    <row r="5" spans="1:5" s="531" customFormat="1" ht="52.5" customHeight="1">
      <c r="A5" s="526" t="s">
        <v>393</v>
      </c>
      <c r="B5" s="527" t="s">
        <v>394</v>
      </c>
      <c r="C5" s="528" t="s">
        <v>395</v>
      </c>
      <c r="D5" s="529" t="s">
        <v>396</v>
      </c>
      <c r="E5" s="530" t="s">
        <v>397</v>
      </c>
    </row>
    <row r="6" spans="1:5" s="514" customFormat="1" ht="8.25" customHeight="1">
      <c r="A6" s="513"/>
      <c r="B6" s="170"/>
      <c r="C6" s="171"/>
      <c r="D6" s="171"/>
      <c r="E6" s="172"/>
    </row>
    <row r="7" spans="1:5" s="273" customFormat="1" ht="30" customHeight="1">
      <c r="A7" s="266" t="s">
        <v>445</v>
      </c>
      <c r="B7" s="125"/>
      <c r="C7" s="241"/>
      <c r="D7" s="241">
        <f>D8</f>
        <v>46940</v>
      </c>
      <c r="E7" s="274"/>
    </row>
    <row r="8" spans="1:5" s="264" customFormat="1" ht="30" customHeight="1">
      <c r="A8" s="266" t="s">
        <v>67</v>
      </c>
      <c r="B8" s="63"/>
      <c r="C8" s="229"/>
      <c r="D8" s="230">
        <f>SUM(D9,D10,D11,D16,D19,D20,D21,D22,D23,D24)</f>
        <v>46940</v>
      </c>
      <c r="E8" s="272"/>
    </row>
    <row r="9" spans="1:5" s="243" customFormat="1" ht="30" customHeight="1">
      <c r="A9" s="271" t="s">
        <v>68</v>
      </c>
      <c r="B9" s="232">
        <v>25</v>
      </c>
      <c r="C9" s="232">
        <v>550000</v>
      </c>
      <c r="D9" s="232">
        <v>13750</v>
      </c>
      <c r="E9" s="270" t="s">
        <v>446</v>
      </c>
    </row>
    <row r="10" spans="1:5" s="243" customFormat="1" ht="30" customHeight="1">
      <c r="A10" s="271" t="s">
        <v>69</v>
      </c>
      <c r="B10" s="232">
        <v>15</v>
      </c>
      <c r="C10" s="232">
        <v>520000</v>
      </c>
      <c r="D10" s="232">
        <v>7800</v>
      </c>
      <c r="E10" s="270" t="s">
        <v>447</v>
      </c>
    </row>
    <row r="11" spans="1:5" s="243" customFormat="1" ht="30" customHeight="1">
      <c r="A11" s="47" t="s">
        <v>70</v>
      </c>
      <c r="B11" s="232"/>
      <c r="C11" s="232"/>
      <c r="D11" s="232">
        <f>SUM(D12:D15)</f>
        <v>225</v>
      </c>
      <c r="E11" s="270"/>
    </row>
    <row r="12" spans="1:5" s="243" customFormat="1" ht="48.75" customHeight="1">
      <c r="A12" s="331" t="s">
        <v>78</v>
      </c>
      <c r="B12" s="232">
        <v>12</v>
      </c>
      <c r="C12" s="232">
        <v>8200</v>
      </c>
      <c r="D12" s="232">
        <v>98</v>
      </c>
      <c r="E12" s="270" t="s">
        <v>448</v>
      </c>
    </row>
    <row r="13" spans="1:5" s="243" customFormat="1" ht="42" customHeight="1">
      <c r="A13" s="47" t="s">
        <v>79</v>
      </c>
      <c r="B13" s="232">
        <v>12</v>
      </c>
      <c r="C13" s="232">
        <v>5850</v>
      </c>
      <c r="D13" s="232">
        <v>70</v>
      </c>
      <c r="E13" s="270" t="s">
        <v>448</v>
      </c>
    </row>
    <row r="14" spans="1:5" s="243" customFormat="1" ht="42" customHeight="1">
      <c r="A14" s="47" t="s">
        <v>80</v>
      </c>
      <c r="B14" s="232">
        <v>12</v>
      </c>
      <c r="C14" s="232">
        <v>2950</v>
      </c>
      <c r="D14" s="232">
        <v>35</v>
      </c>
      <c r="E14" s="270" t="s">
        <v>448</v>
      </c>
    </row>
    <row r="15" spans="1:5" s="243" customFormat="1" ht="45" customHeight="1">
      <c r="A15" s="47" t="s">
        <v>81</v>
      </c>
      <c r="B15" s="232">
        <v>12</v>
      </c>
      <c r="C15" s="232">
        <v>1800</v>
      </c>
      <c r="D15" s="232">
        <v>22</v>
      </c>
      <c r="E15" s="270" t="s">
        <v>448</v>
      </c>
    </row>
    <row r="16" spans="1:5" s="243" customFormat="1" ht="30" customHeight="1">
      <c r="A16" s="47" t="s">
        <v>71</v>
      </c>
      <c r="B16" s="61"/>
      <c r="C16" s="231"/>
      <c r="D16" s="232">
        <f>SUM(D17:D18)</f>
        <v>7493</v>
      </c>
      <c r="E16" s="270"/>
    </row>
    <row r="17" spans="1:5" s="243" customFormat="1" ht="43.5" customHeight="1">
      <c r="A17" s="47" t="s">
        <v>82</v>
      </c>
      <c r="B17" s="232">
        <v>450</v>
      </c>
      <c r="C17" s="232">
        <v>8200</v>
      </c>
      <c r="D17" s="232">
        <v>3690</v>
      </c>
      <c r="E17" s="270" t="s">
        <v>449</v>
      </c>
    </row>
    <row r="18" spans="1:5" s="243" customFormat="1" ht="44.25" customHeight="1">
      <c r="A18" s="47" t="s">
        <v>83</v>
      </c>
      <c r="B18" s="232">
        <v>650</v>
      </c>
      <c r="C18" s="232">
        <v>5850</v>
      </c>
      <c r="D18" s="232">
        <v>3803</v>
      </c>
      <c r="E18" s="270" t="s">
        <v>450</v>
      </c>
    </row>
    <row r="19" spans="1:5" s="243" customFormat="1" ht="30" customHeight="1">
      <c r="A19" s="47" t="s">
        <v>72</v>
      </c>
      <c r="B19" s="232">
        <v>2</v>
      </c>
      <c r="C19" s="232">
        <v>14050</v>
      </c>
      <c r="D19" s="232">
        <v>28</v>
      </c>
      <c r="E19" s="270" t="s">
        <v>451</v>
      </c>
    </row>
    <row r="20" spans="1:5" s="243" customFormat="1" ht="27.6" customHeight="1">
      <c r="A20" s="47" t="s">
        <v>73</v>
      </c>
      <c r="B20" s="232">
        <v>13</v>
      </c>
      <c r="C20" s="232">
        <v>17000</v>
      </c>
      <c r="D20" s="232">
        <v>221</v>
      </c>
      <c r="E20" s="270" t="s">
        <v>452</v>
      </c>
    </row>
    <row r="21" spans="1:5" s="243" customFormat="1" ht="25.2" customHeight="1">
      <c r="A21" s="47" t="s">
        <v>74</v>
      </c>
      <c r="B21" s="232">
        <v>453</v>
      </c>
      <c r="C21" s="232">
        <v>11700</v>
      </c>
      <c r="D21" s="232">
        <v>5300</v>
      </c>
      <c r="E21" s="270" t="s">
        <v>453</v>
      </c>
    </row>
    <row r="22" spans="1:5" s="243" customFormat="1" ht="27" customHeight="1">
      <c r="A22" s="47" t="s">
        <v>75</v>
      </c>
      <c r="B22" s="232">
        <v>121</v>
      </c>
      <c r="C22" s="232">
        <v>100000</v>
      </c>
      <c r="D22" s="232">
        <v>12100</v>
      </c>
      <c r="E22" s="270" t="s">
        <v>454</v>
      </c>
    </row>
    <row r="23" spans="1:5" s="243" customFormat="1" ht="24.6" customHeight="1">
      <c r="A23" s="47" t="s">
        <v>76</v>
      </c>
      <c r="B23" s="232">
        <v>1</v>
      </c>
      <c r="C23" s="232">
        <v>2500</v>
      </c>
      <c r="D23" s="232">
        <v>3</v>
      </c>
      <c r="E23" s="270" t="s">
        <v>455</v>
      </c>
    </row>
    <row r="24" spans="1:5" s="243" customFormat="1" ht="30" customHeight="1">
      <c r="A24" s="47" t="s">
        <v>77</v>
      </c>
      <c r="B24" s="232">
        <v>2</v>
      </c>
      <c r="C24" s="232">
        <v>10000</v>
      </c>
      <c r="D24" s="232">
        <v>20</v>
      </c>
      <c r="E24" s="270" t="s">
        <v>456</v>
      </c>
    </row>
    <row r="25" spans="1:5" s="243" customFormat="1" ht="6.75" customHeight="1" thickBot="1">
      <c r="A25" s="251"/>
      <c r="B25" s="257"/>
      <c r="C25" s="257"/>
      <c r="D25" s="257"/>
      <c r="E25" s="366"/>
    </row>
    <row r="28" spans="1:5">
      <c r="A28" s="518"/>
    </row>
  </sheetData>
  <mergeCells count="4">
    <mergeCell ref="A1:E1"/>
    <mergeCell ref="A2:E2"/>
    <mergeCell ref="A3:E3"/>
    <mergeCell ref="A4:E4"/>
  </mergeCells>
  <phoneticPr fontId="19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61" orientation="portrait" useFirstPageNumber="1" r:id="rId1"/>
  <headerFooter alignWithMargins="0">
    <oddFooter>&amp;C&amp;"Times New Roman,標準"&amp;P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111"/>
  <sheetViews>
    <sheetView zoomScale="75" zoomScaleNormal="75" zoomScaleSheetLayoutView="125" workbookViewId="0">
      <pane xSplit="5" ySplit="7" topLeftCell="F93" activePane="bottomRight" state="frozen"/>
      <selection activeCell="D8" sqref="D8"/>
      <selection pane="topRight" activeCell="D8" sqref="D8"/>
      <selection pane="bottomLeft" activeCell="D8" sqref="D8"/>
      <selection pane="bottomRight" activeCell="A103" sqref="A103"/>
    </sheetView>
  </sheetViews>
  <sheetFormatPr defaultColWidth="9" defaultRowHeight="16.2"/>
  <cols>
    <col min="1" max="1" width="10.44140625" style="2" customWidth="1"/>
    <col min="2" max="2" width="6.6640625" style="2" customWidth="1"/>
    <col min="3" max="3" width="21.77734375" style="742" customWidth="1"/>
    <col min="4" max="4" width="10.44140625" style="167" customWidth="1"/>
    <col min="5" max="5" width="6.6640625" style="320" customWidth="1"/>
    <col min="6" max="6" width="10.44140625" style="2" customWidth="1"/>
    <col min="7" max="7" width="6.6640625" style="2" customWidth="1"/>
    <col min="8" max="8" width="10.44140625" style="2" customWidth="1"/>
    <col min="9" max="9" width="6.6640625" style="2" customWidth="1"/>
    <col min="10" max="10" width="9" style="2" customWidth="1"/>
    <col min="11" max="13" width="10.33203125" style="2" hidden="1" customWidth="1"/>
    <col min="14" max="16384" width="9" style="2"/>
  </cols>
  <sheetData>
    <row r="1" spans="1:13" ht="21" customHeight="1">
      <c r="A1" s="798" t="s">
        <v>109</v>
      </c>
      <c r="B1" s="798"/>
      <c r="C1" s="798"/>
      <c r="D1" s="798"/>
      <c r="E1" s="798"/>
      <c r="F1" s="798"/>
      <c r="G1" s="798"/>
      <c r="H1" s="798"/>
      <c r="I1" s="798"/>
    </row>
    <row r="2" spans="1:13" ht="21" customHeight="1">
      <c r="A2" s="798" t="s">
        <v>110</v>
      </c>
      <c r="B2" s="798"/>
      <c r="C2" s="798"/>
      <c r="D2" s="798"/>
      <c r="E2" s="798"/>
      <c r="F2" s="798"/>
      <c r="G2" s="798"/>
      <c r="H2" s="798"/>
      <c r="I2" s="798"/>
    </row>
    <row r="3" spans="1:13" ht="24.9" customHeight="1">
      <c r="A3" s="800" t="s">
        <v>878</v>
      </c>
      <c r="B3" s="800"/>
      <c r="C3" s="800"/>
      <c r="D3" s="800"/>
      <c r="E3" s="800"/>
      <c r="F3" s="800"/>
      <c r="G3" s="800"/>
      <c r="H3" s="800"/>
      <c r="I3" s="800"/>
    </row>
    <row r="4" spans="1:13" ht="24.9" customHeight="1" thickBot="1">
      <c r="A4" s="802" t="s">
        <v>879</v>
      </c>
      <c r="B4" s="802"/>
      <c r="C4" s="802"/>
      <c r="D4" s="802"/>
      <c r="E4" s="802"/>
      <c r="F4" s="802"/>
      <c r="G4" s="802"/>
      <c r="H4" s="802"/>
      <c r="I4" s="802"/>
    </row>
    <row r="5" spans="1:13" ht="21" customHeight="1">
      <c r="A5" s="945" t="s">
        <v>880</v>
      </c>
      <c r="B5" s="793"/>
      <c r="C5" s="792" t="s">
        <v>18</v>
      </c>
      <c r="D5" s="793" t="s">
        <v>881</v>
      </c>
      <c r="E5" s="793"/>
      <c r="F5" s="793" t="s">
        <v>882</v>
      </c>
      <c r="G5" s="793"/>
      <c r="H5" s="793" t="s">
        <v>883</v>
      </c>
      <c r="I5" s="803"/>
    </row>
    <row r="6" spans="1:13" ht="19.5" customHeight="1">
      <c r="A6" s="682" t="s">
        <v>884</v>
      </c>
      <c r="B6" s="666" t="s">
        <v>885</v>
      </c>
      <c r="C6" s="946"/>
      <c r="D6" s="683" t="s">
        <v>884</v>
      </c>
      <c r="E6" s="684" t="s">
        <v>885</v>
      </c>
      <c r="F6" s="666" t="s">
        <v>884</v>
      </c>
      <c r="G6" s="666" t="s">
        <v>885</v>
      </c>
      <c r="H6" s="666" t="s">
        <v>884</v>
      </c>
      <c r="I6" s="685" t="s">
        <v>885</v>
      </c>
    </row>
    <row r="7" spans="1:13" ht="8.25" customHeight="1">
      <c r="A7" s="686"/>
      <c r="B7" s="177"/>
      <c r="C7" s="176"/>
      <c r="D7" s="687"/>
      <c r="E7" s="688"/>
      <c r="F7" s="177"/>
      <c r="G7" s="177"/>
      <c r="H7" s="177"/>
      <c r="I7" s="689"/>
    </row>
    <row r="8" spans="1:13" s="33" customFormat="1" ht="27.6" customHeight="1">
      <c r="A8" s="344">
        <v>424681321</v>
      </c>
      <c r="B8" s="690">
        <v>100</v>
      </c>
      <c r="C8" s="691" t="s">
        <v>19</v>
      </c>
      <c r="D8" s="692">
        <f>D28+D9+D35</f>
        <v>383220426</v>
      </c>
      <c r="E8" s="690">
        <v>100</v>
      </c>
      <c r="F8" s="692">
        <f>F28+F9+F35</f>
        <v>349557475</v>
      </c>
      <c r="G8" s="690">
        <v>100</v>
      </c>
      <c r="H8" s="693">
        <f t="shared" ref="H8:H71" si="0">D8-F8</f>
        <v>33662951</v>
      </c>
      <c r="I8" s="360">
        <f>ROUND(H8/F8*100,2)</f>
        <v>9.6300000000000008</v>
      </c>
      <c r="K8" s="694">
        <f t="shared" ref="K8:K71" si="1">ROUND(A8/$A$8*100,4)</f>
        <v>100</v>
      </c>
      <c r="L8" s="694">
        <f t="shared" ref="L8:L71" si="2">ROUND(D8/$D$8*100,4)</f>
        <v>100</v>
      </c>
      <c r="M8" s="694">
        <f t="shared" ref="M8:M71" si="3">ROUND(F8/$F$8*100,4)</f>
        <v>100</v>
      </c>
    </row>
    <row r="9" spans="1:13" s="33" customFormat="1" ht="28.95" customHeight="1">
      <c r="A9" s="344">
        <v>97582811</v>
      </c>
      <c r="B9" s="690">
        <f t="shared" ref="B9:B74" si="4">ROUND(A9/$A$8*100,2)</f>
        <v>22.98</v>
      </c>
      <c r="C9" s="691" t="s">
        <v>886</v>
      </c>
      <c r="D9" s="692">
        <f>D10+D12+D14+D16+D18+D20+D25+D23</f>
        <v>29777702</v>
      </c>
      <c r="E9" s="695">
        <f t="shared" ref="E9:E10" si="5">ROUND(D9/$D$8*100,2)</f>
        <v>7.77</v>
      </c>
      <c r="F9" s="692">
        <f>F10+F12+F14+F16+F18+F20+F25+F23</f>
        <v>27320990</v>
      </c>
      <c r="G9" s="695">
        <f t="shared" ref="G9:G74" si="6">ROUND(F9/$F$8*100,2)</f>
        <v>7.82</v>
      </c>
      <c r="H9" s="693">
        <f t="shared" si="0"/>
        <v>2456712</v>
      </c>
      <c r="I9" s="360">
        <f>ROUND(H9/F9*100,2)</f>
        <v>8.99</v>
      </c>
      <c r="K9" s="694">
        <f>ROUND(A9/$A$8*100,4)</f>
        <v>22.977900000000002</v>
      </c>
      <c r="L9" s="694">
        <f t="shared" si="2"/>
        <v>7.7704000000000004</v>
      </c>
      <c r="M9" s="694">
        <f t="shared" si="3"/>
        <v>7.8159000000000001</v>
      </c>
    </row>
    <row r="10" spans="1:13" s="261" customFormat="1" ht="28.95" customHeight="1">
      <c r="A10" s="696">
        <v>8163194</v>
      </c>
      <c r="B10" s="697">
        <f t="shared" si="4"/>
        <v>1.92</v>
      </c>
      <c r="C10" s="698" t="s">
        <v>887</v>
      </c>
      <c r="D10" s="699">
        <f>D11</f>
        <v>0</v>
      </c>
      <c r="E10" s="412">
        <f t="shared" si="5"/>
        <v>0</v>
      </c>
      <c r="F10" s="699">
        <f>F11</f>
        <v>0</v>
      </c>
      <c r="G10" s="412">
        <f t="shared" si="6"/>
        <v>0</v>
      </c>
      <c r="H10" s="699">
        <f t="shared" si="0"/>
        <v>0</v>
      </c>
      <c r="I10" s="700">
        <v>0</v>
      </c>
      <c r="K10" s="701">
        <f>ROUND(A10/$A$8*100,4)</f>
        <v>1.9221999999999999</v>
      </c>
      <c r="L10" s="701">
        <f t="shared" si="2"/>
        <v>0</v>
      </c>
      <c r="M10" s="701">
        <f t="shared" si="3"/>
        <v>0</v>
      </c>
    </row>
    <row r="11" spans="1:13" s="261" customFormat="1" ht="28.95" customHeight="1">
      <c r="A11" s="696">
        <v>8163194</v>
      </c>
      <c r="B11" s="697">
        <f t="shared" si="4"/>
        <v>1.92</v>
      </c>
      <c r="C11" s="698" t="s">
        <v>888</v>
      </c>
      <c r="D11" s="699">
        <v>0</v>
      </c>
      <c r="E11" s="412">
        <f>ROUND(D11/$D$8*100,2)</f>
        <v>0</v>
      </c>
      <c r="F11" s="699">
        <v>0</v>
      </c>
      <c r="G11" s="412">
        <f t="shared" si="6"/>
        <v>0</v>
      </c>
      <c r="H11" s="699">
        <f t="shared" si="0"/>
        <v>0</v>
      </c>
      <c r="I11" s="700">
        <v>0</v>
      </c>
      <c r="K11" s="701">
        <f t="shared" si="1"/>
        <v>1.9221999999999999</v>
      </c>
      <c r="L11" s="701">
        <f t="shared" si="2"/>
        <v>0</v>
      </c>
      <c r="M11" s="701">
        <f t="shared" si="3"/>
        <v>0</v>
      </c>
    </row>
    <row r="12" spans="1:13" s="261" customFormat="1" ht="28.2" customHeight="1">
      <c r="A12" s="696">
        <v>529430</v>
      </c>
      <c r="B12" s="697">
        <f t="shared" si="4"/>
        <v>0.12</v>
      </c>
      <c r="C12" s="698" t="s">
        <v>889</v>
      </c>
      <c r="D12" s="702">
        <f>D13</f>
        <v>572435</v>
      </c>
      <c r="E12" s="412">
        <f t="shared" ref="E12:E77" si="7">ROUND(D12/$D$8*100,2)</f>
        <v>0.15</v>
      </c>
      <c r="F12" s="702">
        <f>F13</f>
        <v>672744</v>
      </c>
      <c r="G12" s="412">
        <f t="shared" si="6"/>
        <v>0.19</v>
      </c>
      <c r="H12" s="703">
        <f t="shared" si="0"/>
        <v>-100309</v>
      </c>
      <c r="I12" s="355">
        <f>ROUND(H12/F12*100,2)</f>
        <v>-14.91</v>
      </c>
      <c r="K12" s="701">
        <f t="shared" si="1"/>
        <v>0.12470000000000001</v>
      </c>
      <c r="L12" s="701">
        <f>ROUND(D12/$D$8*100,4)</f>
        <v>0.14940000000000001</v>
      </c>
      <c r="M12" s="701">
        <f t="shared" si="3"/>
        <v>0.1925</v>
      </c>
    </row>
    <row r="13" spans="1:13" s="261" customFormat="1" ht="28.2" customHeight="1">
      <c r="A13" s="696">
        <v>529430</v>
      </c>
      <c r="B13" s="697">
        <f t="shared" si="4"/>
        <v>0.12</v>
      </c>
      <c r="C13" s="698" t="s">
        <v>888</v>
      </c>
      <c r="D13" s="702">
        <v>572435</v>
      </c>
      <c r="E13" s="412">
        <f t="shared" si="7"/>
        <v>0.15</v>
      </c>
      <c r="F13" s="702">
        <v>672744</v>
      </c>
      <c r="G13" s="412">
        <f t="shared" si="6"/>
        <v>0.19</v>
      </c>
      <c r="H13" s="703">
        <f t="shared" si="0"/>
        <v>-100309</v>
      </c>
      <c r="I13" s="355">
        <f>ROUND(H13/F13*100,2)</f>
        <v>-14.91</v>
      </c>
      <c r="K13" s="701">
        <f t="shared" si="1"/>
        <v>0.12470000000000001</v>
      </c>
      <c r="L13" s="701">
        <f t="shared" si="2"/>
        <v>0.14940000000000001</v>
      </c>
      <c r="M13" s="701">
        <f>ROUND(F13/$F$8*100,4)</f>
        <v>0.1925</v>
      </c>
    </row>
    <row r="14" spans="1:13" s="261" customFormat="1" ht="28.2" customHeight="1">
      <c r="A14" s="696">
        <v>23198900</v>
      </c>
      <c r="B14" s="697">
        <f t="shared" si="4"/>
        <v>5.46</v>
      </c>
      <c r="C14" s="698" t="s">
        <v>890</v>
      </c>
      <c r="D14" s="699">
        <f>D15</f>
        <v>0</v>
      </c>
      <c r="E14" s="412">
        <f t="shared" si="7"/>
        <v>0</v>
      </c>
      <c r="F14" s="699">
        <f>F15</f>
        <v>0</v>
      </c>
      <c r="G14" s="412">
        <f t="shared" si="6"/>
        <v>0</v>
      </c>
      <c r="H14" s="699">
        <f t="shared" si="0"/>
        <v>0</v>
      </c>
      <c r="I14" s="700">
        <v>0</v>
      </c>
      <c r="K14" s="701">
        <f t="shared" si="1"/>
        <v>5.4626999999999999</v>
      </c>
      <c r="L14" s="701">
        <f t="shared" si="2"/>
        <v>0</v>
      </c>
      <c r="M14" s="701">
        <f t="shared" si="3"/>
        <v>0</v>
      </c>
    </row>
    <row r="15" spans="1:13" s="261" customFormat="1" ht="28.2" customHeight="1">
      <c r="A15" s="696">
        <v>23198900</v>
      </c>
      <c r="B15" s="697">
        <f t="shared" si="4"/>
        <v>5.46</v>
      </c>
      <c r="C15" s="698" t="s">
        <v>888</v>
      </c>
      <c r="D15" s="699">
        <v>0</v>
      </c>
      <c r="E15" s="412">
        <f t="shared" si="7"/>
        <v>0</v>
      </c>
      <c r="F15" s="699">
        <v>0</v>
      </c>
      <c r="G15" s="412">
        <f t="shared" si="6"/>
        <v>0</v>
      </c>
      <c r="H15" s="699">
        <f t="shared" si="0"/>
        <v>0</v>
      </c>
      <c r="I15" s="700">
        <v>0</v>
      </c>
      <c r="K15" s="701">
        <f t="shared" si="1"/>
        <v>5.4626999999999999</v>
      </c>
      <c r="L15" s="701">
        <f t="shared" si="2"/>
        <v>0</v>
      </c>
      <c r="M15" s="701">
        <f t="shared" si="3"/>
        <v>0</v>
      </c>
    </row>
    <row r="16" spans="1:13" s="261" customFormat="1" ht="30" customHeight="1">
      <c r="A16" s="696">
        <v>193392</v>
      </c>
      <c r="B16" s="697">
        <f t="shared" si="4"/>
        <v>0.05</v>
      </c>
      <c r="C16" s="698" t="s">
        <v>891</v>
      </c>
      <c r="D16" s="702">
        <f>D17</f>
        <v>214545</v>
      </c>
      <c r="E16" s="412">
        <f t="shared" si="7"/>
        <v>0.06</v>
      </c>
      <c r="F16" s="702">
        <f>F17</f>
        <v>203159</v>
      </c>
      <c r="G16" s="412">
        <f t="shared" si="6"/>
        <v>0.06</v>
      </c>
      <c r="H16" s="703">
        <f t="shared" si="0"/>
        <v>11386</v>
      </c>
      <c r="I16" s="355">
        <f t="shared" ref="I16:I32" si="8">ROUND(H16/F16*100,2)</f>
        <v>5.6</v>
      </c>
      <c r="K16" s="701">
        <f t="shared" si="1"/>
        <v>4.5499999999999999E-2</v>
      </c>
      <c r="L16" s="701">
        <f t="shared" si="2"/>
        <v>5.6000000000000001E-2</v>
      </c>
      <c r="M16" s="701">
        <f t="shared" si="3"/>
        <v>5.8099999999999999E-2</v>
      </c>
    </row>
    <row r="17" spans="1:13" s="261" customFormat="1" ht="30" customHeight="1">
      <c r="A17" s="696">
        <v>193392</v>
      </c>
      <c r="B17" s="697">
        <f t="shared" si="4"/>
        <v>0.05</v>
      </c>
      <c r="C17" s="698" t="s">
        <v>888</v>
      </c>
      <c r="D17" s="702">
        <v>214545</v>
      </c>
      <c r="E17" s="412">
        <f t="shared" si="7"/>
        <v>0.06</v>
      </c>
      <c r="F17" s="702">
        <v>203159</v>
      </c>
      <c r="G17" s="412">
        <f t="shared" si="6"/>
        <v>0.06</v>
      </c>
      <c r="H17" s="703">
        <f t="shared" si="0"/>
        <v>11386</v>
      </c>
      <c r="I17" s="355">
        <f t="shared" si="8"/>
        <v>5.6</v>
      </c>
      <c r="K17" s="701">
        <f t="shared" si="1"/>
        <v>4.5499999999999999E-2</v>
      </c>
      <c r="L17" s="701">
        <f t="shared" si="2"/>
        <v>5.6000000000000001E-2</v>
      </c>
      <c r="M17" s="701">
        <f t="shared" si="3"/>
        <v>5.8099999999999999E-2</v>
      </c>
    </row>
    <row r="18" spans="1:13" s="261" customFormat="1" ht="30" customHeight="1">
      <c r="A18" s="696">
        <v>18130139</v>
      </c>
      <c r="B18" s="697">
        <f t="shared" si="4"/>
        <v>4.2699999999999996</v>
      </c>
      <c r="C18" s="698" t="s">
        <v>892</v>
      </c>
      <c r="D18" s="702">
        <f>D19</f>
        <v>23771458</v>
      </c>
      <c r="E18" s="412">
        <f t="shared" si="7"/>
        <v>6.2</v>
      </c>
      <c r="F18" s="702">
        <f>F19</f>
        <v>20445480</v>
      </c>
      <c r="G18" s="412">
        <f t="shared" si="6"/>
        <v>5.85</v>
      </c>
      <c r="H18" s="703">
        <f t="shared" si="0"/>
        <v>3325978</v>
      </c>
      <c r="I18" s="355">
        <f t="shared" si="8"/>
        <v>16.27</v>
      </c>
      <c r="K18" s="701">
        <f t="shared" si="1"/>
        <v>4.2690999999999999</v>
      </c>
      <c r="L18" s="701">
        <f t="shared" si="2"/>
        <v>6.2031000000000001</v>
      </c>
      <c r="M18" s="701">
        <f t="shared" si="3"/>
        <v>5.8490000000000002</v>
      </c>
    </row>
    <row r="19" spans="1:13" s="261" customFormat="1" ht="30" customHeight="1">
      <c r="A19" s="696">
        <v>18130139</v>
      </c>
      <c r="B19" s="697">
        <f t="shared" si="4"/>
        <v>4.2699999999999996</v>
      </c>
      <c r="C19" s="698" t="s">
        <v>888</v>
      </c>
      <c r="D19" s="702">
        <v>23771458</v>
      </c>
      <c r="E19" s="412">
        <f t="shared" si="7"/>
        <v>6.2</v>
      </c>
      <c r="F19" s="702">
        <v>20445480</v>
      </c>
      <c r="G19" s="412">
        <f t="shared" si="6"/>
        <v>5.85</v>
      </c>
      <c r="H19" s="703">
        <f t="shared" si="0"/>
        <v>3325978</v>
      </c>
      <c r="I19" s="355">
        <f t="shared" si="8"/>
        <v>16.27</v>
      </c>
      <c r="K19" s="701">
        <f t="shared" si="1"/>
        <v>4.2690999999999999</v>
      </c>
      <c r="L19" s="701">
        <f t="shared" si="2"/>
        <v>6.2031000000000001</v>
      </c>
      <c r="M19" s="701">
        <f t="shared" si="3"/>
        <v>5.8490000000000002</v>
      </c>
    </row>
    <row r="20" spans="1:13" s="261" customFormat="1" ht="27" customHeight="1">
      <c r="A20" s="696">
        <v>1281860</v>
      </c>
      <c r="B20" s="697">
        <f t="shared" si="4"/>
        <v>0.3</v>
      </c>
      <c r="C20" s="698" t="s">
        <v>893</v>
      </c>
      <c r="D20" s="702">
        <f>SUM(D21:D22)</f>
        <v>992256</v>
      </c>
      <c r="E20" s="412">
        <f t="shared" si="7"/>
        <v>0.26</v>
      </c>
      <c r="F20" s="702">
        <f>SUM(F21:F22)</f>
        <v>607983</v>
      </c>
      <c r="G20" s="412">
        <f t="shared" si="6"/>
        <v>0.17</v>
      </c>
      <c r="H20" s="703">
        <f t="shared" si="0"/>
        <v>384273</v>
      </c>
      <c r="I20" s="355">
        <f t="shared" si="8"/>
        <v>63.2</v>
      </c>
      <c r="K20" s="701">
        <f t="shared" si="1"/>
        <v>0.30180000000000001</v>
      </c>
      <c r="L20" s="701">
        <f t="shared" si="2"/>
        <v>0.25890000000000002</v>
      </c>
      <c r="M20" s="701">
        <f t="shared" si="3"/>
        <v>0.1739</v>
      </c>
    </row>
    <row r="21" spans="1:13" s="261" customFormat="1" ht="23.25" customHeight="1">
      <c r="A21" s="696">
        <v>1144962</v>
      </c>
      <c r="B21" s="697">
        <f t="shared" si="4"/>
        <v>0.27</v>
      </c>
      <c r="C21" s="698" t="s">
        <v>888</v>
      </c>
      <c r="D21" s="702">
        <v>887200</v>
      </c>
      <c r="E21" s="412">
        <f t="shared" si="7"/>
        <v>0.23</v>
      </c>
      <c r="F21" s="702">
        <v>501021</v>
      </c>
      <c r="G21" s="412">
        <f t="shared" si="6"/>
        <v>0.14000000000000001</v>
      </c>
      <c r="H21" s="703">
        <f t="shared" si="0"/>
        <v>386179</v>
      </c>
      <c r="I21" s="355">
        <f t="shared" si="8"/>
        <v>77.08</v>
      </c>
      <c r="K21" s="701">
        <f t="shared" si="1"/>
        <v>0.26960000000000001</v>
      </c>
      <c r="L21" s="701">
        <f t="shared" si="2"/>
        <v>0.23150000000000001</v>
      </c>
      <c r="M21" s="701">
        <f t="shared" si="3"/>
        <v>0.14330000000000001</v>
      </c>
    </row>
    <row r="22" spans="1:13" s="261" customFormat="1" ht="20.399999999999999" customHeight="1">
      <c r="A22" s="696">
        <v>136898</v>
      </c>
      <c r="B22" s="697">
        <f t="shared" si="4"/>
        <v>0.03</v>
      </c>
      <c r="C22" s="698" t="s">
        <v>894</v>
      </c>
      <c r="D22" s="702">
        <v>105056</v>
      </c>
      <c r="E22" s="412">
        <f t="shared" si="7"/>
        <v>0.03</v>
      </c>
      <c r="F22" s="702">
        <v>106962</v>
      </c>
      <c r="G22" s="412">
        <f t="shared" si="6"/>
        <v>0.03</v>
      </c>
      <c r="H22" s="703">
        <f t="shared" si="0"/>
        <v>-1906</v>
      </c>
      <c r="I22" s="355">
        <f t="shared" si="8"/>
        <v>-1.78</v>
      </c>
      <c r="K22" s="701">
        <f t="shared" si="1"/>
        <v>3.2199999999999999E-2</v>
      </c>
      <c r="L22" s="701">
        <f t="shared" si="2"/>
        <v>2.7400000000000001E-2</v>
      </c>
      <c r="M22" s="701">
        <f t="shared" si="3"/>
        <v>3.0599999999999999E-2</v>
      </c>
    </row>
    <row r="23" spans="1:13" s="261" customFormat="1" ht="19.8" customHeight="1">
      <c r="A23" s="696">
        <v>652</v>
      </c>
      <c r="B23" s="699">
        <f t="shared" si="4"/>
        <v>0</v>
      </c>
      <c r="C23" s="698" t="s">
        <v>895</v>
      </c>
      <c r="D23" s="704">
        <f>+D24</f>
        <v>0</v>
      </c>
      <c r="E23" s="412">
        <f t="shared" si="7"/>
        <v>0</v>
      </c>
      <c r="F23" s="705">
        <f>+F24</f>
        <v>0</v>
      </c>
      <c r="G23" s="412">
        <f t="shared" si="6"/>
        <v>0</v>
      </c>
      <c r="H23" s="704">
        <f t="shared" si="0"/>
        <v>0</v>
      </c>
      <c r="I23" s="706">
        <v>0</v>
      </c>
      <c r="K23" s="701">
        <f t="shared" si="1"/>
        <v>2.0000000000000001E-4</v>
      </c>
      <c r="L23" s="701">
        <f t="shared" si="2"/>
        <v>0</v>
      </c>
      <c r="M23" s="701">
        <f t="shared" si="3"/>
        <v>0</v>
      </c>
    </row>
    <row r="24" spans="1:13" s="261" customFormat="1" ht="18.600000000000001" customHeight="1">
      <c r="A24" s="696">
        <v>652</v>
      </c>
      <c r="B24" s="699">
        <f t="shared" si="4"/>
        <v>0</v>
      </c>
      <c r="C24" s="698" t="s">
        <v>896</v>
      </c>
      <c r="D24" s="704">
        <v>0</v>
      </c>
      <c r="E24" s="412">
        <f t="shared" si="7"/>
        <v>0</v>
      </c>
      <c r="F24" s="705">
        <v>0</v>
      </c>
      <c r="G24" s="412">
        <f t="shared" si="6"/>
        <v>0</v>
      </c>
      <c r="H24" s="704">
        <f t="shared" si="0"/>
        <v>0</v>
      </c>
      <c r="I24" s="706">
        <v>0</v>
      </c>
      <c r="K24" s="701">
        <f t="shared" si="1"/>
        <v>2.0000000000000001E-4</v>
      </c>
      <c r="L24" s="701">
        <f t="shared" si="2"/>
        <v>0</v>
      </c>
      <c r="M24" s="701">
        <f t="shared" si="3"/>
        <v>0</v>
      </c>
    </row>
    <row r="25" spans="1:13" s="261" customFormat="1" ht="28.95" customHeight="1">
      <c r="A25" s="696">
        <v>46085245</v>
      </c>
      <c r="B25" s="697">
        <f t="shared" si="4"/>
        <v>10.85</v>
      </c>
      <c r="C25" s="698" t="s">
        <v>897</v>
      </c>
      <c r="D25" s="702">
        <f>SUM(D26:D27)</f>
        <v>4227008</v>
      </c>
      <c r="E25" s="412">
        <f t="shared" si="7"/>
        <v>1.1000000000000001</v>
      </c>
      <c r="F25" s="702">
        <f>SUM(F26:F27)</f>
        <v>5391624</v>
      </c>
      <c r="G25" s="412">
        <f t="shared" si="6"/>
        <v>1.54</v>
      </c>
      <c r="H25" s="703">
        <f t="shared" si="0"/>
        <v>-1164616</v>
      </c>
      <c r="I25" s="355">
        <f t="shared" si="8"/>
        <v>-21.6</v>
      </c>
      <c r="K25" s="701">
        <f t="shared" si="1"/>
        <v>10.851699999999999</v>
      </c>
      <c r="L25" s="701">
        <f t="shared" si="2"/>
        <v>1.103</v>
      </c>
      <c r="M25" s="701">
        <f t="shared" si="3"/>
        <v>1.5424</v>
      </c>
    </row>
    <row r="26" spans="1:13" s="261" customFormat="1" ht="22.5" customHeight="1">
      <c r="A26" s="696">
        <v>46053037</v>
      </c>
      <c r="B26" s="697">
        <f t="shared" si="4"/>
        <v>10.84</v>
      </c>
      <c r="C26" s="698" t="s">
        <v>896</v>
      </c>
      <c r="D26" s="702">
        <v>4196408</v>
      </c>
      <c r="E26" s="412">
        <f t="shared" si="7"/>
        <v>1.1000000000000001</v>
      </c>
      <c r="F26" s="702">
        <v>5341869</v>
      </c>
      <c r="G26" s="412">
        <f t="shared" si="6"/>
        <v>1.53</v>
      </c>
      <c r="H26" s="703">
        <f t="shared" si="0"/>
        <v>-1145461</v>
      </c>
      <c r="I26" s="355">
        <f t="shared" si="8"/>
        <v>-21.44</v>
      </c>
      <c r="K26" s="701">
        <f t="shared" si="1"/>
        <v>10.844099999999999</v>
      </c>
      <c r="L26" s="701">
        <f t="shared" si="2"/>
        <v>1.095</v>
      </c>
      <c r="M26" s="701">
        <f t="shared" si="3"/>
        <v>1.5282</v>
      </c>
    </row>
    <row r="27" spans="1:13" s="261" customFormat="1" ht="19.5" customHeight="1">
      <c r="A27" s="696">
        <v>32208</v>
      </c>
      <c r="B27" s="697">
        <f t="shared" si="4"/>
        <v>0.01</v>
      </c>
      <c r="C27" s="698" t="s">
        <v>898</v>
      </c>
      <c r="D27" s="702">
        <v>30600</v>
      </c>
      <c r="E27" s="412">
        <f t="shared" si="7"/>
        <v>0.01</v>
      </c>
      <c r="F27" s="702">
        <v>49755</v>
      </c>
      <c r="G27" s="412">
        <f t="shared" si="6"/>
        <v>0.01</v>
      </c>
      <c r="H27" s="703">
        <f t="shared" si="0"/>
        <v>-19155</v>
      </c>
      <c r="I27" s="355">
        <f t="shared" si="8"/>
        <v>-38.5</v>
      </c>
      <c r="K27" s="701">
        <f t="shared" si="1"/>
        <v>7.6E-3</v>
      </c>
      <c r="L27" s="701">
        <f t="shared" si="2"/>
        <v>8.0000000000000002E-3</v>
      </c>
      <c r="M27" s="701">
        <f t="shared" si="3"/>
        <v>1.4200000000000001E-2</v>
      </c>
    </row>
    <row r="28" spans="1:13" s="33" customFormat="1" ht="24" customHeight="1">
      <c r="A28" s="344">
        <v>327079051</v>
      </c>
      <c r="B28" s="690">
        <f t="shared" si="4"/>
        <v>77.02</v>
      </c>
      <c r="C28" s="691" t="s">
        <v>899</v>
      </c>
      <c r="D28" s="692">
        <f>D29+D32</f>
        <v>353442724</v>
      </c>
      <c r="E28" s="695">
        <f t="shared" si="7"/>
        <v>92.23</v>
      </c>
      <c r="F28" s="692">
        <f>F29+F32</f>
        <v>322236485</v>
      </c>
      <c r="G28" s="695">
        <f t="shared" si="6"/>
        <v>92.18</v>
      </c>
      <c r="H28" s="693">
        <f t="shared" si="0"/>
        <v>31206239</v>
      </c>
      <c r="I28" s="360">
        <f t="shared" si="8"/>
        <v>9.68</v>
      </c>
      <c r="K28" s="694">
        <f t="shared" si="1"/>
        <v>77.017499999999998</v>
      </c>
      <c r="L28" s="694">
        <f t="shared" si="2"/>
        <v>92.229600000000005</v>
      </c>
      <c r="M28" s="694">
        <f t="shared" si="3"/>
        <v>92.184100000000001</v>
      </c>
    </row>
    <row r="29" spans="1:13" s="261" customFormat="1" ht="28.2" customHeight="1">
      <c r="A29" s="696">
        <v>327079051</v>
      </c>
      <c r="B29" s="697">
        <f t="shared" si="4"/>
        <v>77.02</v>
      </c>
      <c r="C29" s="698" t="s">
        <v>900</v>
      </c>
      <c r="D29" s="702">
        <f>SUM(D30:D31)</f>
        <v>353442724</v>
      </c>
      <c r="E29" s="412">
        <f t="shared" si="7"/>
        <v>92.23</v>
      </c>
      <c r="F29" s="702">
        <f>SUM(F30:F31)</f>
        <v>321927733</v>
      </c>
      <c r="G29" s="412">
        <f t="shared" si="6"/>
        <v>92.1</v>
      </c>
      <c r="H29" s="703">
        <f t="shared" si="0"/>
        <v>31514991</v>
      </c>
      <c r="I29" s="355">
        <f t="shared" si="8"/>
        <v>9.7899999999999991</v>
      </c>
      <c r="K29" s="701">
        <f t="shared" si="1"/>
        <v>77.017499999999998</v>
      </c>
      <c r="L29" s="701">
        <f t="shared" si="2"/>
        <v>92.229600000000005</v>
      </c>
      <c r="M29" s="701">
        <f t="shared" si="3"/>
        <v>92.095799999999997</v>
      </c>
    </row>
    <row r="30" spans="1:13" s="261" customFormat="1" ht="28.2" customHeight="1">
      <c r="A30" s="696">
        <v>319729033</v>
      </c>
      <c r="B30" s="697">
        <f t="shared" si="4"/>
        <v>75.290000000000006</v>
      </c>
      <c r="C30" s="698" t="s">
        <v>896</v>
      </c>
      <c r="D30" s="702">
        <v>345332086</v>
      </c>
      <c r="E30" s="412">
        <f t="shared" si="7"/>
        <v>90.11</v>
      </c>
      <c r="F30" s="702">
        <v>314471710</v>
      </c>
      <c r="G30" s="412">
        <f t="shared" si="6"/>
        <v>89.96</v>
      </c>
      <c r="H30" s="703">
        <f t="shared" si="0"/>
        <v>30860376</v>
      </c>
      <c r="I30" s="355">
        <f t="shared" si="8"/>
        <v>9.81</v>
      </c>
      <c r="K30" s="701">
        <f t="shared" si="1"/>
        <v>75.286799999999999</v>
      </c>
      <c r="L30" s="701">
        <f t="shared" si="2"/>
        <v>90.113200000000006</v>
      </c>
      <c r="M30" s="701">
        <f t="shared" si="3"/>
        <v>89.962800000000001</v>
      </c>
    </row>
    <row r="31" spans="1:13" s="261" customFormat="1" ht="22.95" customHeight="1" thickBot="1">
      <c r="A31" s="707">
        <v>7350018</v>
      </c>
      <c r="B31" s="708">
        <f t="shared" si="4"/>
        <v>1.73</v>
      </c>
      <c r="C31" s="709" t="s">
        <v>898</v>
      </c>
      <c r="D31" s="710">
        <v>8110638</v>
      </c>
      <c r="E31" s="439">
        <f t="shared" si="7"/>
        <v>2.12</v>
      </c>
      <c r="F31" s="710">
        <v>7456023</v>
      </c>
      <c r="G31" s="439">
        <f t="shared" si="6"/>
        <v>2.13</v>
      </c>
      <c r="H31" s="711">
        <f t="shared" si="0"/>
        <v>654615</v>
      </c>
      <c r="I31" s="379">
        <f t="shared" si="8"/>
        <v>8.7799999999999994</v>
      </c>
      <c r="K31" s="701">
        <f t="shared" si="1"/>
        <v>1.7306999999999999</v>
      </c>
      <c r="L31" s="701">
        <f t="shared" si="2"/>
        <v>2.1164000000000001</v>
      </c>
      <c r="M31" s="701">
        <f t="shared" si="3"/>
        <v>2.133</v>
      </c>
    </row>
    <row r="32" spans="1:13" s="261" customFormat="1" ht="28.95" customHeight="1">
      <c r="A32" s="712">
        <v>0</v>
      </c>
      <c r="B32" s="704">
        <f t="shared" si="4"/>
        <v>0</v>
      </c>
      <c r="C32" s="713" t="s">
        <v>901</v>
      </c>
      <c r="D32" s="699">
        <f>SUM(D33:D34)</f>
        <v>0</v>
      </c>
      <c r="E32" s="412">
        <f t="shared" si="7"/>
        <v>0</v>
      </c>
      <c r="F32" s="702">
        <f>SUM(F33:F34)</f>
        <v>308752</v>
      </c>
      <c r="G32" s="412">
        <f t="shared" si="6"/>
        <v>0.09</v>
      </c>
      <c r="H32" s="703">
        <f t="shared" si="0"/>
        <v>-308752</v>
      </c>
      <c r="I32" s="355">
        <f t="shared" si="8"/>
        <v>-100</v>
      </c>
      <c r="K32" s="701">
        <f t="shared" si="1"/>
        <v>0</v>
      </c>
      <c r="L32" s="701">
        <f t="shared" si="2"/>
        <v>0</v>
      </c>
      <c r="M32" s="701">
        <f t="shared" si="3"/>
        <v>8.8300000000000003E-2</v>
      </c>
    </row>
    <row r="33" spans="1:13" s="261" customFormat="1" ht="28.95" hidden="1" customHeight="1">
      <c r="A33" s="714">
        <v>0</v>
      </c>
      <c r="B33" s="704">
        <f t="shared" si="4"/>
        <v>0</v>
      </c>
      <c r="C33" s="698" t="s">
        <v>896</v>
      </c>
      <c r="D33" s="699">
        <v>0</v>
      </c>
      <c r="E33" s="412">
        <f t="shared" si="7"/>
        <v>0</v>
      </c>
      <c r="F33" s="699">
        <v>0</v>
      </c>
      <c r="G33" s="412">
        <f t="shared" si="6"/>
        <v>0</v>
      </c>
      <c r="H33" s="699">
        <f t="shared" si="0"/>
        <v>0</v>
      </c>
      <c r="I33" s="700">
        <v>0</v>
      </c>
      <c r="K33" s="701">
        <f t="shared" si="1"/>
        <v>0</v>
      </c>
      <c r="L33" s="701">
        <f t="shared" si="2"/>
        <v>0</v>
      </c>
      <c r="M33" s="701">
        <f t="shared" si="3"/>
        <v>0</v>
      </c>
    </row>
    <row r="34" spans="1:13" s="261" customFormat="1" ht="28.95" customHeight="1">
      <c r="A34" s="714">
        <v>0</v>
      </c>
      <c r="B34" s="704">
        <f t="shared" si="4"/>
        <v>0</v>
      </c>
      <c r="C34" s="698" t="s">
        <v>898</v>
      </c>
      <c r="D34" s="699">
        <v>0</v>
      </c>
      <c r="E34" s="412">
        <f t="shared" si="7"/>
        <v>0</v>
      </c>
      <c r="F34" s="702">
        <v>308752</v>
      </c>
      <c r="G34" s="412">
        <f t="shared" si="6"/>
        <v>0.09</v>
      </c>
      <c r="H34" s="703">
        <f t="shared" si="0"/>
        <v>-308752</v>
      </c>
      <c r="I34" s="355">
        <f>ROUND(H34/F34*100,2)</f>
        <v>-100</v>
      </c>
      <c r="K34" s="701">
        <f t="shared" si="1"/>
        <v>0</v>
      </c>
      <c r="L34" s="701">
        <f t="shared" si="2"/>
        <v>0</v>
      </c>
      <c r="M34" s="701">
        <f t="shared" si="3"/>
        <v>8.8300000000000003E-2</v>
      </c>
    </row>
    <row r="35" spans="1:13" s="33" customFormat="1" ht="28.95" customHeight="1">
      <c r="A35" s="344">
        <v>19459</v>
      </c>
      <c r="B35" s="704">
        <f t="shared" si="4"/>
        <v>0</v>
      </c>
      <c r="C35" s="691" t="s">
        <v>902</v>
      </c>
      <c r="D35" s="704">
        <f t="shared" ref="D35:F36" si="9">D36</f>
        <v>0</v>
      </c>
      <c r="E35" s="695">
        <f t="shared" si="7"/>
        <v>0</v>
      </c>
      <c r="F35" s="704">
        <f t="shared" si="9"/>
        <v>0</v>
      </c>
      <c r="G35" s="695">
        <f t="shared" si="6"/>
        <v>0</v>
      </c>
      <c r="H35" s="704">
        <f t="shared" si="0"/>
        <v>0</v>
      </c>
      <c r="I35" s="715">
        <v>0</v>
      </c>
      <c r="K35" s="694">
        <f t="shared" si="1"/>
        <v>4.5999999999999999E-3</v>
      </c>
      <c r="L35" s="694">
        <f t="shared" si="2"/>
        <v>0</v>
      </c>
      <c r="M35" s="694">
        <f t="shared" si="3"/>
        <v>0</v>
      </c>
    </row>
    <row r="36" spans="1:13" s="261" customFormat="1" ht="28.95" customHeight="1">
      <c r="A36" s="714">
        <v>19459</v>
      </c>
      <c r="B36" s="704">
        <f t="shared" si="4"/>
        <v>0</v>
      </c>
      <c r="C36" s="716" t="s">
        <v>903</v>
      </c>
      <c r="D36" s="699">
        <f t="shared" si="9"/>
        <v>0</v>
      </c>
      <c r="E36" s="412">
        <f t="shared" si="7"/>
        <v>0</v>
      </c>
      <c r="F36" s="699">
        <f t="shared" si="9"/>
        <v>0</v>
      </c>
      <c r="G36" s="412">
        <f t="shared" si="6"/>
        <v>0</v>
      </c>
      <c r="H36" s="699">
        <f t="shared" si="0"/>
        <v>0</v>
      </c>
      <c r="I36" s="700">
        <v>0</v>
      </c>
      <c r="K36" s="701">
        <f t="shared" si="1"/>
        <v>4.5999999999999999E-3</v>
      </c>
      <c r="L36" s="701">
        <f t="shared" si="2"/>
        <v>0</v>
      </c>
      <c r="M36" s="701">
        <f t="shared" si="3"/>
        <v>0</v>
      </c>
    </row>
    <row r="37" spans="1:13" s="261" customFormat="1" ht="28.95" customHeight="1">
      <c r="A37" s="696">
        <v>19459</v>
      </c>
      <c r="B37" s="704">
        <f t="shared" si="4"/>
        <v>0</v>
      </c>
      <c r="C37" s="698" t="s">
        <v>896</v>
      </c>
      <c r="D37" s="699">
        <v>0</v>
      </c>
      <c r="E37" s="412">
        <f t="shared" si="7"/>
        <v>0</v>
      </c>
      <c r="F37" s="699">
        <v>0</v>
      </c>
      <c r="G37" s="412">
        <f t="shared" si="6"/>
        <v>0</v>
      </c>
      <c r="H37" s="699">
        <f t="shared" si="0"/>
        <v>0</v>
      </c>
      <c r="I37" s="700">
        <v>0</v>
      </c>
      <c r="K37" s="701">
        <f t="shared" si="1"/>
        <v>4.5999999999999999E-3</v>
      </c>
      <c r="L37" s="701">
        <f t="shared" si="2"/>
        <v>0</v>
      </c>
      <c r="M37" s="701">
        <f t="shared" si="3"/>
        <v>0</v>
      </c>
    </row>
    <row r="38" spans="1:13" s="33" customFormat="1" ht="28.95" customHeight="1">
      <c r="A38" s="344">
        <v>424790660</v>
      </c>
      <c r="B38" s="690">
        <f t="shared" si="4"/>
        <v>100.03</v>
      </c>
      <c r="C38" s="691" t="s">
        <v>904</v>
      </c>
      <c r="D38" s="692">
        <f>D53+D39</f>
        <v>383311227</v>
      </c>
      <c r="E38" s="695">
        <f t="shared" si="7"/>
        <v>100.02</v>
      </c>
      <c r="F38" s="692">
        <f>F53+F39</f>
        <v>349642119</v>
      </c>
      <c r="G38" s="695">
        <f t="shared" si="6"/>
        <v>100.02</v>
      </c>
      <c r="H38" s="693">
        <f t="shared" si="0"/>
        <v>33669108</v>
      </c>
      <c r="I38" s="360">
        <f>ROUND(H38/F38*100,2)</f>
        <v>9.6300000000000008</v>
      </c>
      <c r="K38" s="694">
        <f t="shared" si="1"/>
        <v>100.0257</v>
      </c>
      <c r="L38" s="694">
        <f t="shared" si="2"/>
        <v>100.02370000000001</v>
      </c>
      <c r="M38" s="694">
        <f t="shared" si="3"/>
        <v>100.02419999999999</v>
      </c>
    </row>
    <row r="39" spans="1:13" s="33" customFormat="1" ht="28.95" customHeight="1">
      <c r="A39" s="344">
        <v>101102494</v>
      </c>
      <c r="B39" s="690">
        <f t="shared" si="4"/>
        <v>23.81</v>
      </c>
      <c r="C39" s="691" t="s">
        <v>905</v>
      </c>
      <c r="D39" s="692">
        <f>D40+D42+D44+D46+D48+D50</f>
        <v>1099375</v>
      </c>
      <c r="E39" s="695">
        <f t="shared" si="7"/>
        <v>0.28999999999999998</v>
      </c>
      <c r="F39" s="692">
        <f>F40+F42+F44+F46+F48+F50</f>
        <v>954782</v>
      </c>
      <c r="G39" s="695">
        <f t="shared" si="6"/>
        <v>0.27</v>
      </c>
      <c r="H39" s="693">
        <f t="shared" si="0"/>
        <v>144593</v>
      </c>
      <c r="I39" s="360">
        <f>ROUND(H39/F39*100,2)</f>
        <v>15.14</v>
      </c>
      <c r="K39" s="694">
        <f t="shared" si="1"/>
        <v>23.806699999999999</v>
      </c>
      <c r="L39" s="694">
        <f t="shared" si="2"/>
        <v>0.28689999999999999</v>
      </c>
      <c r="M39" s="694">
        <f t="shared" si="3"/>
        <v>0.27310000000000001</v>
      </c>
    </row>
    <row r="40" spans="1:13" s="261" customFormat="1" ht="30" hidden="1" customHeight="1">
      <c r="A40" s="696">
        <f>A41</f>
        <v>0</v>
      </c>
      <c r="B40" s="697">
        <f t="shared" si="4"/>
        <v>0</v>
      </c>
      <c r="C40" s="698" t="s">
        <v>906</v>
      </c>
      <c r="D40" s="717">
        <f>D41</f>
        <v>0</v>
      </c>
      <c r="E40" s="412">
        <f t="shared" si="7"/>
        <v>0</v>
      </c>
      <c r="F40" s="717">
        <f>F41</f>
        <v>0</v>
      </c>
      <c r="G40" s="412">
        <f t="shared" si="6"/>
        <v>0</v>
      </c>
      <c r="H40" s="699">
        <f t="shared" si="0"/>
        <v>0</v>
      </c>
      <c r="I40" s="700">
        <v>0</v>
      </c>
      <c r="K40" s="701">
        <f t="shared" si="1"/>
        <v>0</v>
      </c>
      <c r="L40" s="701">
        <f t="shared" si="2"/>
        <v>0</v>
      </c>
      <c r="M40" s="701">
        <f t="shared" si="3"/>
        <v>0</v>
      </c>
    </row>
    <row r="41" spans="1:13" s="261" customFormat="1" ht="30" hidden="1" customHeight="1">
      <c r="A41" s="696"/>
      <c r="B41" s="697">
        <f t="shared" si="4"/>
        <v>0</v>
      </c>
      <c r="C41" s="698" t="s">
        <v>896</v>
      </c>
      <c r="D41" s="699">
        <v>0</v>
      </c>
      <c r="E41" s="412">
        <f t="shared" si="7"/>
        <v>0</v>
      </c>
      <c r="F41" s="699">
        <v>0</v>
      </c>
      <c r="G41" s="412">
        <f t="shared" si="6"/>
        <v>0</v>
      </c>
      <c r="H41" s="699">
        <f t="shared" si="0"/>
        <v>0</v>
      </c>
      <c r="I41" s="700">
        <v>0</v>
      </c>
      <c r="K41" s="701">
        <f t="shared" si="1"/>
        <v>0</v>
      </c>
      <c r="L41" s="701">
        <f t="shared" si="2"/>
        <v>0</v>
      </c>
      <c r="M41" s="701">
        <f t="shared" si="3"/>
        <v>0</v>
      </c>
    </row>
    <row r="42" spans="1:13" s="261" customFormat="1" ht="28.95" customHeight="1">
      <c r="A42" s="696">
        <v>57326</v>
      </c>
      <c r="B42" s="697">
        <f t="shared" si="4"/>
        <v>0.01</v>
      </c>
      <c r="C42" s="698" t="s">
        <v>907</v>
      </c>
      <c r="D42" s="718">
        <f>D43</f>
        <v>68000</v>
      </c>
      <c r="E42" s="412">
        <f t="shared" si="7"/>
        <v>0.02</v>
      </c>
      <c r="F42" s="718">
        <f>F43</f>
        <v>72000</v>
      </c>
      <c r="G42" s="412">
        <f t="shared" si="6"/>
        <v>0.02</v>
      </c>
      <c r="H42" s="703">
        <f t="shared" si="0"/>
        <v>-4000</v>
      </c>
      <c r="I42" s="355">
        <f>ROUND(H42/F42*100,2)</f>
        <v>-5.56</v>
      </c>
      <c r="K42" s="701">
        <f t="shared" si="1"/>
        <v>1.35E-2</v>
      </c>
      <c r="L42" s="701">
        <f t="shared" si="2"/>
        <v>1.77E-2</v>
      </c>
      <c r="M42" s="701">
        <f t="shared" si="3"/>
        <v>2.06E-2</v>
      </c>
    </row>
    <row r="43" spans="1:13" s="261" customFormat="1" ht="28.95" customHeight="1">
      <c r="A43" s="696">
        <v>57326</v>
      </c>
      <c r="B43" s="697">
        <f t="shared" si="4"/>
        <v>0.01</v>
      </c>
      <c r="C43" s="698" t="s">
        <v>896</v>
      </c>
      <c r="D43" s="702">
        <v>68000</v>
      </c>
      <c r="E43" s="412">
        <f t="shared" si="7"/>
        <v>0.02</v>
      </c>
      <c r="F43" s="702">
        <f>80000-8000</f>
        <v>72000</v>
      </c>
      <c r="G43" s="412">
        <f t="shared" si="6"/>
        <v>0.02</v>
      </c>
      <c r="H43" s="703">
        <f t="shared" si="0"/>
        <v>-4000</v>
      </c>
      <c r="I43" s="355">
        <f>ROUND(H43/F43*100,2)</f>
        <v>-5.56</v>
      </c>
      <c r="K43" s="701">
        <f t="shared" si="1"/>
        <v>1.35E-2</v>
      </c>
      <c r="L43" s="701">
        <f t="shared" si="2"/>
        <v>1.77E-2</v>
      </c>
      <c r="M43" s="701">
        <f t="shared" si="3"/>
        <v>2.06E-2</v>
      </c>
    </row>
    <row r="44" spans="1:13" s="261" customFormat="1" ht="28.95" customHeight="1">
      <c r="A44" s="696">
        <v>26095445</v>
      </c>
      <c r="B44" s="697">
        <f t="shared" si="4"/>
        <v>6.14</v>
      </c>
      <c r="C44" s="698" t="s">
        <v>908</v>
      </c>
      <c r="D44" s="699">
        <f>D45</f>
        <v>0</v>
      </c>
      <c r="E44" s="412">
        <f t="shared" si="7"/>
        <v>0</v>
      </c>
      <c r="F44" s="699">
        <f>F45</f>
        <v>0</v>
      </c>
      <c r="G44" s="412">
        <f t="shared" si="6"/>
        <v>0</v>
      </c>
      <c r="H44" s="699">
        <f t="shared" si="0"/>
        <v>0</v>
      </c>
      <c r="I44" s="700">
        <v>0</v>
      </c>
      <c r="K44" s="701">
        <f t="shared" si="1"/>
        <v>6.1447000000000003</v>
      </c>
      <c r="L44" s="701">
        <f t="shared" si="2"/>
        <v>0</v>
      </c>
      <c r="M44" s="701">
        <f t="shared" si="3"/>
        <v>0</v>
      </c>
    </row>
    <row r="45" spans="1:13" s="261" customFormat="1" ht="28.95" customHeight="1">
      <c r="A45" s="696">
        <v>26095445</v>
      </c>
      <c r="B45" s="697">
        <f t="shared" si="4"/>
        <v>6.14</v>
      </c>
      <c r="C45" s="698" t="s">
        <v>896</v>
      </c>
      <c r="D45" s="699">
        <v>0</v>
      </c>
      <c r="E45" s="412">
        <f t="shared" si="7"/>
        <v>0</v>
      </c>
      <c r="F45" s="699">
        <v>0</v>
      </c>
      <c r="G45" s="412">
        <f t="shared" si="6"/>
        <v>0</v>
      </c>
      <c r="H45" s="699">
        <f t="shared" si="0"/>
        <v>0</v>
      </c>
      <c r="I45" s="700">
        <v>0</v>
      </c>
      <c r="K45" s="701">
        <f t="shared" si="1"/>
        <v>6.1447000000000003</v>
      </c>
      <c r="L45" s="701">
        <f t="shared" si="2"/>
        <v>0</v>
      </c>
      <c r="M45" s="701">
        <f t="shared" si="3"/>
        <v>0</v>
      </c>
    </row>
    <row r="46" spans="1:13" s="261" customFormat="1" ht="28.95" customHeight="1">
      <c r="A46" s="696">
        <v>19625</v>
      </c>
      <c r="B46" s="699">
        <f t="shared" si="4"/>
        <v>0</v>
      </c>
      <c r="C46" s="698" t="s">
        <v>909</v>
      </c>
      <c r="D46" s="702">
        <f>D47</f>
        <v>20670</v>
      </c>
      <c r="E46" s="412">
        <f t="shared" si="7"/>
        <v>0.01</v>
      </c>
      <c r="F46" s="702">
        <f>F47</f>
        <v>20587</v>
      </c>
      <c r="G46" s="412">
        <f t="shared" si="6"/>
        <v>0.01</v>
      </c>
      <c r="H46" s="703">
        <f t="shared" si="0"/>
        <v>83</v>
      </c>
      <c r="I46" s="355">
        <f>ROUND(H46/F46*100,2)</f>
        <v>0.4</v>
      </c>
      <c r="K46" s="701">
        <f t="shared" si="1"/>
        <v>4.5999999999999999E-3</v>
      </c>
      <c r="L46" s="701">
        <f t="shared" si="2"/>
        <v>5.4000000000000003E-3</v>
      </c>
      <c r="M46" s="701">
        <f t="shared" si="3"/>
        <v>5.8999999999999999E-3</v>
      </c>
    </row>
    <row r="47" spans="1:13" s="261" customFormat="1" ht="28.95" customHeight="1">
      <c r="A47" s="696">
        <v>19625</v>
      </c>
      <c r="B47" s="699">
        <f t="shared" si="4"/>
        <v>0</v>
      </c>
      <c r="C47" s="698" t="s">
        <v>896</v>
      </c>
      <c r="D47" s="702">
        <v>20670</v>
      </c>
      <c r="E47" s="412">
        <f t="shared" si="7"/>
        <v>0.01</v>
      </c>
      <c r="F47" s="702">
        <v>20587</v>
      </c>
      <c r="G47" s="412">
        <f t="shared" si="6"/>
        <v>0.01</v>
      </c>
      <c r="H47" s="703">
        <f t="shared" si="0"/>
        <v>83</v>
      </c>
      <c r="I47" s="355">
        <f>ROUND(H47/F47*100,2)</f>
        <v>0.4</v>
      </c>
      <c r="K47" s="701">
        <f t="shared" si="1"/>
        <v>4.5999999999999999E-3</v>
      </c>
      <c r="L47" s="701">
        <f t="shared" si="2"/>
        <v>5.4000000000000003E-3</v>
      </c>
      <c r="M47" s="701">
        <f t="shared" si="3"/>
        <v>5.8999999999999999E-3</v>
      </c>
    </row>
    <row r="48" spans="1:13" s="261" customFormat="1" ht="33.75" customHeight="1">
      <c r="A48" s="696">
        <v>10742268</v>
      </c>
      <c r="B48" s="697">
        <f t="shared" si="4"/>
        <v>2.5299999999999998</v>
      </c>
      <c r="C48" s="698" t="s">
        <v>910</v>
      </c>
      <c r="D48" s="699">
        <f>D49</f>
        <v>0</v>
      </c>
      <c r="E48" s="412">
        <f t="shared" si="7"/>
        <v>0</v>
      </c>
      <c r="F48" s="699">
        <f>F49</f>
        <v>0</v>
      </c>
      <c r="G48" s="412">
        <f t="shared" si="6"/>
        <v>0</v>
      </c>
      <c r="H48" s="699">
        <f t="shared" si="0"/>
        <v>0</v>
      </c>
      <c r="I48" s="700">
        <v>0</v>
      </c>
      <c r="K48" s="701">
        <f t="shared" si="1"/>
        <v>2.5295000000000001</v>
      </c>
      <c r="L48" s="701">
        <f t="shared" si="2"/>
        <v>0</v>
      </c>
      <c r="M48" s="701">
        <f t="shared" si="3"/>
        <v>0</v>
      </c>
    </row>
    <row r="49" spans="1:13" s="261" customFormat="1" ht="28.95" customHeight="1">
      <c r="A49" s="696">
        <v>10742268</v>
      </c>
      <c r="B49" s="697">
        <f t="shared" si="4"/>
        <v>2.5299999999999998</v>
      </c>
      <c r="C49" s="698" t="s">
        <v>896</v>
      </c>
      <c r="D49" s="699">
        <v>0</v>
      </c>
      <c r="E49" s="412">
        <f t="shared" si="7"/>
        <v>0</v>
      </c>
      <c r="F49" s="699">
        <v>0</v>
      </c>
      <c r="G49" s="412">
        <f t="shared" si="6"/>
        <v>0</v>
      </c>
      <c r="H49" s="699">
        <f t="shared" si="0"/>
        <v>0</v>
      </c>
      <c r="I49" s="700">
        <v>0</v>
      </c>
      <c r="K49" s="701">
        <f t="shared" si="1"/>
        <v>2.5295000000000001</v>
      </c>
      <c r="L49" s="701">
        <f t="shared" si="2"/>
        <v>0</v>
      </c>
      <c r="M49" s="701">
        <f t="shared" si="3"/>
        <v>0</v>
      </c>
    </row>
    <row r="50" spans="1:13" s="261" customFormat="1" ht="34.5" customHeight="1">
      <c r="A50" s="696">
        <v>64187829</v>
      </c>
      <c r="B50" s="697">
        <f t="shared" si="4"/>
        <v>15.11</v>
      </c>
      <c r="C50" s="698" t="s">
        <v>911</v>
      </c>
      <c r="D50" s="702">
        <f>D51+D52</f>
        <v>1010705</v>
      </c>
      <c r="E50" s="412">
        <f t="shared" si="7"/>
        <v>0.26</v>
      </c>
      <c r="F50" s="702">
        <f>F51+F52</f>
        <v>862195</v>
      </c>
      <c r="G50" s="412">
        <f t="shared" si="6"/>
        <v>0.25</v>
      </c>
      <c r="H50" s="703">
        <f t="shared" si="0"/>
        <v>148510</v>
      </c>
      <c r="I50" s="355">
        <f>ROUND(H50/F50*100,2)</f>
        <v>17.22</v>
      </c>
      <c r="K50" s="701">
        <f t="shared" si="1"/>
        <v>15.1144</v>
      </c>
      <c r="L50" s="701">
        <f t="shared" si="2"/>
        <v>0.26369999999999999</v>
      </c>
      <c r="M50" s="701">
        <f t="shared" si="3"/>
        <v>0.2467</v>
      </c>
    </row>
    <row r="51" spans="1:13" s="261" customFormat="1" ht="28.95" customHeight="1">
      <c r="A51" s="696">
        <v>64187805</v>
      </c>
      <c r="B51" s="697">
        <f t="shared" si="4"/>
        <v>15.11</v>
      </c>
      <c r="C51" s="698" t="s">
        <v>896</v>
      </c>
      <c r="D51" s="702">
        <v>1010705</v>
      </c>
      <c r="E51" s="412">
        <f t="shared" si="7"/>
        <v>0.26</v>
      </c>
      <c r="F51" s="702">
        <v>862115</v>
      </c>
      <c r="G51" s="412">
        <f t="shared" si="6"/>
        <v>0.25</v>
      </c>
      <c r="H51" s="703">
        <f t="shared" si="0"/>
        <v>148590</v>
      </c>
      <c r="I51" s="355">
        <f>ROUND(H51/F51*100,2)</f>
        <v>17.239999999999998</v>
      </c>
      <c r="K51" s="701">
        <f t="shared" si="1"/>
        <v>15.1143</v>
      </c>
      <c r="L51" s="701">
        <f t="shared" si="2"/>
        <v>0.26369999999999999</v>
      </c>
      <c r="M51" s="701">
        <f t="shared" si="3"/>
        <v>0.24660000000000001</v>
      </c>
    </row>
    <row r="52" spans="1:13" s="261" customFormat="1" ht="21.6" customHeight="1">
      <c r="A52" s="696">
        <v>24</v>
      </c>
      <c r="B52" s="704">
        <f t="shared" si="4"/>
        <v>0</v>
      </c>
      <c r="C52" s="698" t="s">
        <v>898</v>
      </c>
      <c r="D52" s="699">
        <v>0</v>
      </c>
      <c r="E52" s="412">
        <f t="shared" si="7"/>
        <v>0</v>
      </c>
      <c r="F52" s="699">
        <v>80</v>
      </c>
      <c r="G52" s="412">
        <f t="shared" si="6"/>
        <v>0</v>
      </c>
      <c r="H52" s="719">
        <f t="shared" si="0"/>
        <v>-80</v>
      </c>
      <c r="I52" s="700">
        <v>0</v>
      </c>
      <c r="K52" s="701">
        <f t="shared" si="1"/>
        <v>0</v>
      </c>
      <c r="L52" s="701">
        <f t="shared" si="2"/>
        <v>0</v>
      </c>
      <c r="M52" s="701">
        <f t="shared" si="3"/>
        <v>0</v>
      </c>
    </row>
    <row r="53" spans="1:13" s="33" customFormat="1" ht="24" customHeight="1">
      <c r="A53" s="344">
        <v>323688166</v>
      </c>
      <c r="B53" s="690">
        <f t="shared" si="4"/>
        <v>76.22</v>
      </c>
      <c r="C53" s="691" t="s">
        <v>912</v>
      </c>
      <c r="D53" s="692">
        <f>D54+D57+D60</f>
        <v>382211852</v>
      </c>
      <c r="E53" s="695">
        <f t="shared" si="7"/>
        <v>99.74</v>
      </c>
      <c r="F53" s="692">
        <f>F54+F57+F60</f>
        <v>348687337</v>
      </c>
      <c r="G53" s="695">
        <f t="shared" si="6"/>
        <v>99.75</v>
      </c>
      <c r="H53" s="693">
        <f t="shared" si="0"/>
        <v>33524515</v>
      </c>
      <c r="I53" s="360">
        <f t="shared" ref="I53:I87" si="10">ROUND(H53/F53*100,2)</f>
        <v>9.61</v>
      </c>
      <c r="K53" s="694">
        <f t="shared" si="1"/>
        <v>76.219099999999997</v>
      </c>
      <c r="L53" s="694">
        <f t="shared" si="2"/>
        <v>99.736800000000002</v>
      </c>
      <c r="M53" s="694">
        <f t="shared" si="3"/>
        <v>99.751099999999994</v>
      </c>
    </row>
    <row r="54" spans="1:13" s="261" customFormat="1" ht="24" customHeight="1">
      <c r="A54" s="696">
        <v>282473116</v>
      </c>
      <c r="B54" s="697">
        <f t="shared" si="4"/>
        <v>66.510000000000005</v>
      </c>
      <c r="C54" s="698" t="s">
        <v>913</v>
      </c>
      <c r="D54" s="702">
        <f>D55+D56</f>
        <v>338014904</v>
      </c>
      <c r="E54" s="412">
        <f t="shared" si="7"/>
        <v>88.2</v>
      </c>
      <c r="F54" s="702">
        <f>F55+F56</f>
        <v>318644426</v>
      </c>
      <c r="G54" s="412">
        <f t="shared" si="6"/>
        <v>91.16</v>
      </c>
      <c r="H54" s="703">
        <f t="shared" si="0"/>
        <v>19370478</v>
      </c>
      <c r="I54" s="355">
        <f t="shared" si="10"/>
        <v>6.08</v>
      </c>
      <c r="K54" s="701">
        <f t="shared" si="1"/>
        <v>66.514099999999999</v>
      </c>
      <c r="L54" s="701">
        <f t="shared" si="2"/>
        <v>88.203800000000001</v>
      </c>
      <c r="M54" s="701">
        <f t="shared" si="3"/>
        <v>91.156499999999994</v>
      </c>
    </row>
    <row r="55" spans="1:13" s="261" customFormat="1" ht="27" customHeight="1">
      <c r="A55" s="696">
        <v>275509530</v>
      </c>
      <c r="B55" s="697">
        <f t="shared" si="4"/>
        <v>64.87</v>
      </c>
      <c r="C55" s="698" t="s">
        <v>896</v>
      </c>
      <c r="D55" s="702">
        <v>330221806</v>
      </c>
      <c r="E55" s="412">
        <f t="shared" si="7"/>
        <v>86.17</v>
      </c>
      <c r="F55" s="702">
        <v>310734869</v>
      </c>
      <c r="G55" s="412">
        <f t="shared" si="6"/>
        <v>88.89</v>
      </c>
      <c r="H55" s="703">
        <f t="shared" si="0"/>
        <v>19486937</v>
      </c>
      <c r="I55" s="355">
        <f t="shared" si="10"/>
        <v>6.27</v>
      </c>
      <c r="K55" s="701">
        <f t="shared" si="1"/>
        <v>64.874399999999994</v>
      </c>
      <c r="L55" s="701">
        <f t="shared" si="2"/>
        <v>86.170199999999994</v>
      </c>
      <c r="M55" s="701">
        <f t="shared" si="3"/>
        <v>88.893799999999999</v>
      </c>
    </row>
    <row r="56" spans="1:13" s="261" customFormat="1" ht="30.75" customHeight="1" thickBot="1">
      <c r="A56" s="707">
        <v>6963586</v>
      </c>
      <c r="B56" s="708">
        <f t="shared" si="4"/>
        <v>1.64</v>
      </c>
      <c r="C56" s="709" t="s">
        <v>898</v>
      </c>
      <c r="D56" s="710">
        <v>7793098</v>
      </c>
      <c r="E56" s="439">
        <f t="shared" si="7"/>
        <v>2.0299999999999998</v>
      </c>
      <c r="F56" s="710">
        <v>7909557</v>
      </c>
      <c r="G56" s="439">
        <f t="shared" si="6"/>
        <v>2.2599999999999998</v>
      </c>
      <c r="H56" s="711">
        <f t="shared" si="0"/>
        <v>-116459</v>
      </c>
      <c r="I56" s="379">
        <f t="shared" si="10"/>
        <v>-1.47</v>
      </c>
      <c r="K56" s="701">
        <f t="shared" si="1"/>
        <v>1.6396999999999999</v>
      </c>
      <c r="L56" s="701">
        <f t="shared" si="2"/>
        <v>2.0335999999999999</v>
      </c>
      <c r="M56" s="701">
        <f t="shared" si="3"/>
        <v>2.2627000000000002</v>
      </c>
    </row>
    <row r="57" spans="1:13" s="261" customFormat="1" ht="30" customHeight="1">
      <c r="A57" s="696">
        <v>40777574</v>
      </c>
      <c r="B57" s="697">
        <f t="shared" si="4"/>
        <v>9.6</v>
      </c>
      <c r="C57" s="698" t="s">
        <v>914</v>
      </c>
      <c r="D57" s="702">
        <f>SUM(D58:D59)</f>
        <v>43837951</v>
      </c>
      <c r="E57" s="412">
        <f t="shared" si="7"/>
        <v>11.44</v>
      </c>
      <c r="F57" s="702">
        <f>SUM(F58:F59)</f>
        <v>29717828</v>
      </c>
      <c r="G57" s="412">
        <f t="shared" si="6"/>
        <v>8.5</v>
      </c>
      <c r="H57" s="703">
        <f t="shared" si="0"/>
        <v>14120123</v>
      </c>
      <c r="I57" s="355">
        <f>ROUND(H57/F57*100,2)</f>
        <v>47.51</v>
      </c>
      <c r="K57" s="701">
        <f t="shared" si="1"/>
        <v>9.6019000000000005</v>
      </c>
      <c r="L57" s="701">
        <f t="shared" si="2"/>
        <v>11.439399999999999</v>
      </c>
      <c r="M57" s="701">
        <f t="shared" si="3"/>
        <v>8.5015999999999998</v>
      </c>
    </row>
    <row r="58" spans="1:13" s="261" customFormat="1" ht="30" customHeight="1">
      <c r="A58" s="696">
        <v>40234368</v>
      </c>
      <c r="B58" s="697">
        <f t="shared" si="4"/>
        <v>9.4700000000000006</v>
      </c>
      <c r="C58" s="698" t="s">
        <v>896</v>
      </c>
      <c r="D58" s="702">
        <v>43397408</v>
      </c>
      <c r="E58" s="412">
        <f t="shared" si="7"/>
        <v>11.32</v>
      </c>
      <c r="F58" s="702">
        <f>29709828+8000</f>
        <v>29717828</v>
      </c>
      <c r="G58" s="412">
        <f t="shared" si="6"/>
        <v>8.5</v>
      </c>
      <c r="H58" s="703">
        <f t="shared" si="0"/>
        <v>13679580</v>
      </c>
      <c r="I58" s="355">
        <f>ROUND(H58/F58*100,2)</f>
        <v>46.03</v>
      </c>
      <c r="K58" s="701">
        <f t="shared" si="1"/>
        <v>9.4740000000000002</v>
      </c>
      <c r="L58" s="701">
        <f t="shared" si="2"/>
        <v>11.324400000000001</v>
      </c>
      <c r="M58" s="701">
        <f t="shared" si="3"/>
        <v>8.5015999999999998</v>
      </c>
    </row>
    <row r="59" spans="1:13" s="261" customFormat="1" ht="30" customHeight="1">
      <c r="A59" s="696">
        <v>543206</v>
      </c>
      <c r="B59" s="697">
        <f t="shared" si="4"/>
        <v>0.13</v>
      </c>
      <c r="C59" s="698" t="s">
        <v>898</v>
      </c>
      <c r="D59" s="699">
        <v>440543</v>
      </c>
      <c r="E59" s="412">
        <f t="shared" si="7"/>
        <v>0.11</v>
      </c>
      <c r="F59" s="699">
        <v>0</v>
      </c>
      <c r="G59" s="412">
        <f t="shared" si="6"/>
        <v>0</v>
      </c>
      <c r="H59" s="699">
        <f>D59-F59</f>
        <v>440543</v>
      </c>
      <c r="I59" s="353">
        <v>0</v>
      </c>
      <c r="K59" s="701">
        <f>ROUND(A59/$A$8*100,4)</f>
        <v>0.12790000000000001</v>
      </c>
      <c r="L59" s="701">
        <f>ROUND(D59/$D$8*100,4)</f>
        <v>0.115</v>
      </c>
      <c r="M59" s="701">
        <f>ROUND(F59/$F$8*100,4)</f>
        <v>0</v>
      </c>
    </row>
    <row r="60" spans="1:13" s="261" customFormat="1" ht="30" customHeight="1">
      <c r="A60" s="696">
        <v>437476</v>
      </c>
      <c r="B60" s="697">
        <f t="shared" si="4"/>
        <v>0.1</v>
      </c>
      <c r="C60" s="698" t="s">
        <v>915</v>
      </c>
      <c r="D60" s="702">
        <f>D61+D62</f>
        <v>358997</v>
      </c>
      <c r="E60" s="412">
        <f t="shared" si="7"/>
        <v>0.09</v>
      </c>
      <c r="F60" s="702">
        <f>F61+F62</f>
        <v>325083</v>
      </c>
      <c r="G60" s="412">
        <f t="shared" si="6"/>
        <v>0.09</v>
      </c>
      <c r="H60" s="703">
        <f t="shared" si="0"/>
        <v>33914</v>
      </c>
      <c r="I60" s="355">
        <f t="shared" si="10"/>
        <v>10.43</v>
      </c>
      <c r="K60" s="701">
        <f t="shared" si="1"/>
        <v>0.10299999999999999</v>
      </c>
      <c r="L60" s="701">
        <f t="shared" si="2"/>
        <v>9.3700000000000006E-2</v>
      </c>
      <c r="M60" s="701">
        <f t="shared" si="3"/>
        <v>9.2999999999999999E-2</v>
      </c>
    </row>
    <row r="61" spans="1:13" s="261" customFormat="1" ht="30" customHeight="1">
      <c r="A61" s="696">
        <v>424747</v>
      </c>
      <c r="B61" s="697">
        <f t="shared" si="4"/>
        <v>0.1</v>
      </c>
      <c r="C61" s="698" t="s">
        <v>896</v>
      </c>
      <c r="D61" s="702">
        <v>346048</v>
      </c>
      <c r="E61" s="412">
        <f t="shared" si="7"/>
        <v>0.09</v>
      </c>
      <c r="F61" s="702">
        <v>312828</v>
      </c>
      <c r="G61" s="412">
        <f t="shared" si="6"/>
        <v>0.09</v>
      </c>
      <c r="H61" s="703">
        <f t="shared" si="0"/>
        <v>33220</v>
      </c>
      <c r="I61" s="355">
        <f t="shared" si="10"/>
        <v>10.62</v>
      </c>
      <c r="K61" s="701">
        <f t="shared" si="1"/>
        <v>0.1</v>
      </c>
      <c r="L61" s="701">
        <f t="shared" si="2"/>
        <v>9.0300000000000005E-2</v>
      </c>
      <c r="M61" s="701">
        <f t="shared" si="3"/>
        <v>8.9499999999999996E-2</v>
      </c>
    </row>
    <row r="62" spans="1:13" s="261" customFormat="1" ht="30" customHeight="1">
      <c r="A62" s="696">
        <v>12729</v>
      </c>
      <c r="B62" s="704">
        <f t="shared" si="4"/>
        <v>0</v>
      </c>
      <c r="C62" s="698" t="s">
        <v>898</v>
      </c>
      <c r="D62" s="702">
        <v>12949</v>
      </c>
      <c r="E62" s="412">
        <f t="shared" si="7"/>
        <v>0</v>
      </c>
      <c r="F62" s="702">
        <v>12255</v>
      </c>
      <c r="G62" s="412">
        <f t="shared" si="6"/>
        <v>0</v>
      </c>
      <c r="H62" s="703">
        <f t="shared" si="0"/>
        <v>694</v>
      </c>
      <c r="I62" s="355">
        <f t="shared" si="10"/>
        <v>5.66</v>
      </c>
      <c r="K62" s="701">
        <f t="shared" si="1"/>
        <v>3.0000000000000001E-3</v>
      </c>
      <c r="L62" s="701">
        <f t="shared" si="2"/>
        <v>3.3999999999999998E-3</v>
      </c>
      <c r="M62" s="701">
        <f t="shared" si="3"/>
        <v>3.5000000000000001E-3</v>
      </c>
    </row>
    <row r="63" spans="1:13" s="33" customFormat="1" ht="30" customHeight="1">
      <c r="A63" s="720">
        <v>-109339</v>
      </c>
      <c r="B63" s="690">
        <f t="shared" si="4"/>
        <v>-0.03</v>
      </c>
      <c r="C63" s="691" t="s">
        <v>916</v>
      </c>
      <c r="D63" s="693">
        <f>SUM(D64:D65)</f>
        <v>-90801</v>
      </c>
      <c r="E63" s="690">
        <f t="shared" si="7"/>
        <v>-0.02</v>
      </c>
      <c r="F63" s="693">
        <f>SUM(F64:F65)</f>
        <v>-84644</v>
      </c>
      <c r="G63" s="690">
        <f t="shared" si="6"/>
        <v>-0.02</v>
      </c>
      <c r="H63" s="693">
        <f t="shared" si="0"/>
        <v>-6157</v>
      </c>
      <c r="I63" s="360">
        <f t="shared" si="10"/>
        <v>7.27</v>
      </c>
      <c r="K63" s="694">
        <f t="shared" si="1"/>
        <v>-2.5700000000000001E-2</v>
      </c>
      <c r="L63" s="694">
        <f t="shared" si="2"/>
        <v>-2.3699999999999999E-2</v>
      </c>
      <c r="M63" s="694">
        <f t="shared" si="3"/>
        <v>-2.4199999999999999E-2</v>
      </c>
    </row>
    <row r="64" spans="1:13" s="261" customFormat="1" ht="30" customHeight="1">
      <c r="A64" s="721">
        <v>-108917</v>
      </c>
      <c r="B64" s="697">
        <f t="shared" si="4"/>
        <v>-0.03</v>
      </c>
      <c r="C64" s="698" t="s">
        <v>896</v>
      </c>
      <c r="D64" s="722">
        <f>D11+D13+D15+D17+D19+D21+D26+D30+D33+D37-D41-D43-D45-D47-D49-D51-D55-D58-D61</f>
        <v>-90505</v>
      </c>
      <c r="E64" s="697">
        <f t="shared" si="7"/>
        <v>-0.02</v>
      </c>
      <c r="F64" s="722">
        <f>F11+F13+F15+F17+F19+F21+F26+F30+F33+F37-F41-F43-F45-F47-F49-F51-F55-F58-F61</f>
        <v>-84244</v>
      </c>
      <c r="G64" s="697">
        <f t="shared" si="6"/>
        <v>-0.02</v>
      </c>
      <c r="H64" s="722">
        <f t="shared" si="0"/>
        <v>-6261</v>
      </c>
      <c r="I64" s="355">
        <f t="shared" si="10"/>
        <v>7.43</v>
      </c>
      <c r="K64" s="701">
        <f t="shared" si="1"/>
        <v>-2.5600000000000001E-2</v>
      </c>
      <c r="L64" s="701">
        <f t="shared" si="2"/>
        <v>-2.3599999999999999E-2</v>
      </c>
      <c r="M64" s="701">
        <f t="shared" si="3"/>
        <v>-2.41E-2</v>
      </c>
    </row>
    <row r="65" spans="1:14" s="261" customFormat="1" ht="30" customHeight="1">
      <c r="A65" s="721">
        <v>-421</v>
      </c>
      <c r="B65" s="704">
        <f t="shared" si="4"/>
        <v>0</v>
      </c>
      <c r="C65" s="698" t="s">
        <v>898</v>
      </c>
      <c r="D65" s="722">
        <f>D22+D27+D31+D34-D52-D56-D62-D59</f>
        <v>-296</v>
      </c>
      <c r="E65" s="412">
        <f t="shared" si="7"/>
        <v>0</v>
      </c>
      <c r="F65" s="722">
        <f>F22+F27+F31+F34-F52-F56-F62</f>
        <v>-400</v>
      </c>
      <c r="G65" s="412">
        <f t="shared" si="6"/>
        <v>0</v>
      </c>
      <c r="H65" s="722">
        <f t="shared" si="0"/>
        <v>104</v>
      </c>
      <c r="I65" s="355">
        <f t="shared" si="10"/>
        <v>-26</v>
      </c>
      <c r="K65" s="701">
        <f t="shared" si="1"/>
        <v>-1E-4</v>
      </c>
      <c r="L65" s="701">
        <f t="shared" si="2"/>
        <v>-1E-4</v>
      </c>
      <c r="M65" s="701">
        <f t="shared" si="3"/>
        <v>-1E-4</v>
      </c>
    </row>
    <row r="66" spans="1:14" s="33" customFormat="1" ht="28.2" customHeight="1">
      <c r="A66" s="346">
        <v>109844</v>
      </c>
      <c r="B66" s="690">
        <f t="shared" si="4"/>
        <v>0.03</v>
      </c>
      <c r="C66" s="691" t="s">
        <v>917</v>
      </c>
      <c r="D66" s="723">
        <f>D67+D71</f>
        <v>90861</v>
      </c>
      <c r="E66" s="695">
        <f t="shared" si="7"/>
        <v>0.02</v>
      </c>
      <c r="F66" s="723">
        <f>F67+F71</f>
        <v>84704</v>
      </c>
      <c r="G66" s="695">
        <f t="shared" si="6"/>
        <v>0.02</v>
      </c>
      <c r="H66" s="359">
        <f t="shared" si="0"/>
        <v>6157</v>
      </c>
      <c r="I66" s="360">
        <f t="shared" si="10"/>
        <v>7.27</v>
      </c>
      <c r="K66" s="694">
        <f t="shared" si="1"/>
        <v>2.5899999999999999E-2</v>
      </c>
      <c r="L66" s="694">
        <f t="shared" si="2"/>
        <v>2.3699999999999999E-2</v>
      </c>
      <c r="M66" s="694">
        <f t="shared" si="3"/>
        <v>2.4199999999999999E-2</v>
      </c>
    </row>
    <row r="67" spans="1:14" s="33" customFormat="1" ht="28.2" customHeight="1">
      <c r="A67" s="344">
        <v>629</v>
      </c>
      <c r="B67" s="704">
        <f t="shared" si="4"/>
        <v>0</v>
      </c>
      <c r="C67" s="691" t="s">
        <v>918</v>
      </c>
      <c r="D67" s="692">
        <f>D68</f>
        <v>354</v>
      </c>
      <c r="E67" s="695">
        <f t="shared" si="7"/>
        <v>0</v>
      </c>
      <c r="F67" s="692">
        <f>F68</f>
        <v>538</v>
      </c>
      <c r="G67" s="695">
        <f t="shared" si="6"/>
        <v>0</v>
      </c>
      <c r="H67" s="359">
        <f t="shared" si="0"/>
        <v>-184</v>
      </c>
      <c r="I67" s="360">
        <f t="shared" si="10"/>
        <v>-34.200000000000003</v>
      </c>
      <c r="K67" s="694">
        <f t="shared" si="1"/>
        <v>1E-4</v>
      </c>
      <c r="L67" s="694">
        <f t="shared" si="2"/>
        <v>1E-4</v>
      </c>
      <c r="M67" s="694">
        <f t="shared" si="3"/>
        <v>2.0000000000000001E-4</v>
      </c>
    </row>
    <row r="68" spans="1:14" s="261" customFormat="1" ht="28.2" customHeight="1">
      <c r="A68" s="696">
        <v>629</v>
      </c>
      <c r="B68" s="704">
        <f t="shared" si="4"/>
        <v>0</v>
      </c>
      <c r="C68" s="698" t="s">
        <v>919</v>
      </c>
      <c r="D68" s="702">
        <f>SUM(D69:D70)</f>
        <v>354</v>
      </c>
      <c r="E68" s="412">
        <f t="shared" si="7"/>
        <v>0</v>
      </c>
      <c r="F68" s="702">
        <f>SUM(F69:F70)</f>
        <v>538</v>
      </c>
      <c r="G68" s="412">
        <f t="shared" si="6"/>
        <v>0</v>
      </c>
      <c r="H68" s="722">
        <f t="shared" si="0"/>
        <v>-184</v>
      </c>
      <c r="I68" s="355">
        <f t="shared" si="10"/>
        <v>-34.200000000000003</v>
      </c>
      <c r="K68" s="701">
        <f t="shared" si="1"/>
        <v>1E-4</v>
      </c>
      <c r="L68" s="701">
        <f t="shared" si="2"/>
        <v>1E-4</v>
      </c>
      <c r="M68" s="701">
        <f t="shared" si="3"/>
        <v>2.0000000000000001E-4</v>
      </c>
    </row>
    <row r="69" spans="1:14" s="261" customFormat="1" ht="28.2" customHeight="1">
      <c r="A69" s="696">
        <v>605</v>
      </c>
      <c r="B69" s="704">
        <f t="shared" si="4"/>
        <v>0</v>
      </c>
      <c r="C69" s="698" t="s">
        <v>896</v>
      </c>
      <c r="D69" s="702">
        <v>324</v>
      </c>
      <c r="E69" s="412">
        <f t="shared" si="7"/>
        <v>0</v>
      </c>
      <c r="F69" s="702">
        <v>518</v>
      </c>
      <c r="G69" s="412">
        <f t="shared" si="6"/>
        <v>0</v>
      </c>
      <c r="H69" s="703">
        <f t="shared" si="0"/>
        <v>-194</v>
      </c>
      <c r="I69" s="355">
        <f t="shared" si="10"/>
        <v>-37.450000000000003</v>
      </c>
      <c r="K69" s="701">
        <f t="shared" si="1"/>
        <v>1E-4</v>
      </c>
      <c r="L69" s="701">
        <f t="shared" si="2"/>
        <v>1E-4</v>
      </c>
      <c r="M69" s="701">
        <f t="shared" si="3"/>
        <v>1E-4</v>
      </c>
    </row>
    <row r="70" spans="1:14" s="261" customFormat="1" ht="28.2" customHeight="1">
      <c r="A70" s="696">
        <v>24</v>
      </c>
      <c r="B70" s="704">
        <f t="shared" si="4"/>
        <v>0</v>
      </c>
      <c r="C70" s="698" t="s">
        <v>898</v>
      </c>
      <c r="D70" s="702">
        <v>30</v>
      </c>
      <c r="E70" s="412">
        <f t="shared" si="7"/>
        <v>0</v>
      </c>
      <c r="F70" s="702">
        <v>20</v>
      </c>
      <c r="G70" s="412">
        <f t="shared" si="6"/>
        <v>0</v>
      </c>
      <c r="H70" s="703">
        <f t="shared" si="0"/>
        <v>10</v>
      </c>
      <c r="I70" s="355">
        <f t="shared" si="10"/>
        <v>50</v>
      </c>
      <c r="K70" s="701">
        <f t="shared" si="1"/>
        <v>0</v>
      </c>
      <c r="L70" s="701">
        <f t="shared" si="2"/>
        <v>0</v>
      </c>
      <c r="M70" s="701">
        <f t="shared" si="3"/>
        <v>0</v>
      </c>
    </row>
    <row r="71" spans="1:14" s="33" customFormat="1" ht="28.2" customHeight="1">
      <c r="A71" s="344">
        <v>109215</v>
      </c>
      <c r="B71" s="690">
        <f t="shared" si="4"/>
        <v>0.03</v>
      </c>
      <c r="C71" s="691" t="s">
        <v>920</v>
      </c>
      <c r="D71" s="692">
        <f>D72+D74+D77</f>
        <v>90507</v>
      </c>
      <c r="E71" s="695">
        <f t="shared" si="7"/>
        <v>0.02</v>
      </c>
      <c r="F71" s="692">
        <f>F72+F74+F77</f>
        <v>84166</v>
      </c>
      <c r="G71" s="695">
        <f t="shared" si="6"/>
        <v>0.02</v>
      </c>
      <c r="H71" s="359">
        <f t="shared" si="0"/>
        <v>6341</v>
      </c>
      <c r="I71" s="360">
        <f t="shared" si="10"/>
        <v>7.53</v>
      </c>
      <c r="K71" s="694">
        <f t="shared" si="1"/>
        <v>2.5700000000000001E-2</v>
      </c>
      <c r="L71" s="694">
        <f t="shared" si="2"/>
        <v>2.3599999999999999E-2</v>
      </c>
      <c r="M71" s="694">
        <f t="shared" si="3"/>
        <v>2.41E-2</v>
      </c>
    </row>
    <row r="72" spans="1:14" s="261" customFormat="1" ht="28.2" customHeight="1">
      <c r="A72" s="696">
        <v>695</v>
      </c>
      <c r="B72" s="704">
        <f t="shared" si="4"/>
        <v>0</v>
      </c>
      <c r="C72" s="698" t="s">
        <v>921</v>
      </c>
      <c r="D72" s="699">
        <f>SUM(D73:D73)</f>
        <v>700</v>
      </c>
      <c r="E72" s="412">
        <f t="shared" si="7"/>
        <v>0</v>
      </c>
      <c r="F72" s="699">
        <f>SUM(F73:F73)</f>
        <v>700</v>
      </c>
      <c r="G72" s="412">
        <f t="shared" si="6"/>
        <v>0</v>
      </c>
      <c r="H72" s="699">
        <f t="shared" ref="H72:H88" si="11">D72-F72</f>
        <v>0</v>
      </c>
      <c r="I72" s="353">
        <v>0</v>
      </c>
      <c r="K72" s="701">
        <f t="shared" ref="K72:K88" si="12">ROUND(A72/$A$8*100,4)</f>
        <v>2.0000000000000001E-4</v>
      </c>
      <c r="L72" s="701">
        <f t="shared" ref="L72:L88" si="13">ROUND(D72/$D$8*100,4)</f>
        <v>2.0000000000000001E-4</v>
      </c>
      <c r="M72" s="701">
        <f t="shared" ref="M72:M88" si="14">ROUND(F72/$F$8*100,4)</f>
        <v>2.0000000000000001E-4</v>
      </c>
    </row>
    <row r="73" spans="1:14" s="261" customFormat="1" ht="28.2" customHeight="1">
      <c r="A73" s="696">
        <v>695</v>
      </c>
      <c r="B73" s="704">
        <f t="shared" si="4"/>
        <v>0</v>
      </c>
      <c r="C73" s="698" t="s">
        <v>896</v>
      </c>
      <c r="D73" s="699">
        <v>700</v>
      </c>
      <c r="E73" s="412">
        <f t="shared" si="7"/>
        <v>0</v>
      </c>
      <c r="F73" s="699">
        <v>700</v>
      </c>
      <c r="G73" s="412">
        <f t="shared" si="6"/>
        <v>0</v>
      </c>
      <c r="H73" s="699">
        <f t="shared" si="11"/>
        <v>0</v>
      </c>
      <c r="I73" s="353">
        <v>0</v>
      </c>
      <c r="K73" s="701">
        <f t="shared" si="12"/>
        <v>2.0000000000000001E-4</v>
      </c>
      <c r="L73" s="701">
        <f t="shared" si="13"/>
        <v>2.0000000000000001E-4</v>
      </c>
      <c r="M73" s="701">
        <f t="shared" si="14"/>
        <v>2.0000000000000001E-4</v>
      </c>
    </row>
    <row r="74" spans="1:14" s="261" customFormat="1" ht="27" customHeight="1">
      <c r="A74" s="696">
        <v>103221</v>
      </c>
      <c r="B74" s="697">
        <f t="shared" si="4"/>
        <v>0.02</v>
      </c>
      <c r="C74" s="698" t="s">
        <v>922</v>
      </c>
      <c r="D74" s="702">
        <f>SUM(D75:D76)</f>
        <v>85767</v>
      </c>
      <c r="E74" s="412">
        <f t="shared" si="7"/>
        <v>0.02</v>
      </c>
      <c r="F74" s="702">
        <f>SUM(F75:F76)</f>
        <v>80848</v>
      </c>
      <c r="G74" s="412">
        <f t="shared" si="6"/>
        <v>0.02</v>
      </c>
      <c r="H74" s="722">
        <f t="shared" si="11"/>
        <v>4919</v>
      </c>
      <c r="I74" s="355">
        <f t="shared" si="10"/>
        <v>6.08</v>
      </c>
      <c r="K74" s="701">
        <f t="shared" si="12"/>
        <v>2.4299999999999999E-2</v>
      </c>
      <c r="L74" s="701">
        <f t="shared" si="13"/>
        <v>2.24E-2</v>
      </c>
      <c r="M74" s="701">
        <f t="shared" si="14"/>
        <v>2.3099999999999999E-2</v>
      </c>
    </row>
    <row r="75" spans="1:14" s="261" customFormat="1" ht="22.2" customHeight="1">
      <c r="A75" s="696">
        <v>102834</v>
      </c>
      <c r="B75" s="697">
        <f t="shared" ref="B75:B88" si="15">ROUND(A75/$A$8*100,2)</f>
        <v>0.02</v>
      </c>
      <c r="C75" s="698" t="s">
        <v>896</v>
      </c>
      <c r="D75" s="702">
        <v>85505</v>
      </c>
      <c r="E75" s="412">
        <f t="shared" si="7"/>
        <v>0.02</v>
      </c>
      <c r="F75" s="702">
        <v>80521</v>
      </c>
      <c r="G75" s="412">
        <f t="shared" ref="G75:G88" si="16">ROUND(F75/$F$8*100,2)</f>
        <v>0.02</v>
      </c>
      <c r="H75" s="703">
        <f t="shared" si="11"/>
        <v>4984</v>
      </c>
      <c r="I75" s="355">
        <f t="shared" si="10"/>
        <v>6.19</v>
      </c>
      <c r="K75" s="701">
        <f t="shared" si="12"/>
        <v>2.4199999999999999E-2</v>
      </c>
      <c r="L75" s="701">
        <f t="shared" si="13"/>
        <v>2.23E-2</v>
      </c>
      <c r="M75" s="701">
        <f t="shared" si="14"/>
        <v>2.3E-2</v>
      </c>
    </row>
    <row r="76" spans="1:14" s="261" customFormat="1" ht="26.4" customHeight="1">
      <c r="A76" s="696">
        <v>387</v>
      </c>
      <c r="B76" s="704">
        <f t="shared" si="15"/>
        <v>0</v>
      </c>
      <c r="C76" s="698" t="s">
        <v>898</v>
      </c>
      <c r="D76" s="702">
        <v>262</v>
      </c>
      <c r="E76" s="412">
        <f t="shared" si="7"/>
        <v>0</v>
      </c>
      <c r="F76" s="702">
        <v>327</v>
      </c>
      <c r="G76" s="412">
        <f t="shared" si="16"/>
        <v>0</v>
      </c>
      <c r="H76" s="703">
        <f t="shared" si="11"/>
        <v>-65</v>
      </c>
      <c r="I76" s="355">
        <f t="shared" si="10"/>
        <v>-19.88</v>
      </c>
      <c r="K76" s="701">
        <f t="shared" si="12"/>
        <v>1E-4</v>
      </c>
      <c r="L76" s="701">
        <f t="shared" si="13"/>
        <v>1E-4</v>
      </c>
      <c r="M76" s="701">
        <f t="shared" si="14"/>
        <v>1E-4</v>
      </c>
    </row>
    <row r="77" spans="1:14" s="261" customFormat="1" ht="29.4" customHeight="1">
      <c r="A77" s="696">
        <v>5298</v>
      </c>
      <c r="B77" s="704">
        <f t="shared" si="15"/>
        <v>0</v>
      </c>
      <c r="C77" s="698" t="s">
        <v>923</v>
      </c>
      <c r="D77" s="702">
        <f>SUM(D78:D79)</f>
        <v>4040</v>
      </c>
      <c r="E77" s="412">
        <f t="shared" si="7"/>
        <v>0</v>
      </c>
      <c r="F77" s="702">
        <f>SUM(F78:F79)</f>
        <v>2618</v>
      </c>
      <c r="G77" s="412">
        <f t="shared" si="16"/>
        <v>0</v>
      </c>
      <c r="H77" s="703">
        <f t="shared" si="11"/>
        <v>1422</v>
      </c>
      <c r="I77" s="355">
        <f t="shared" si="10"/>
        <v>54.32</v>
      </c>
      <c r="K77" s="701">
        <f t="shared" si="12"/>
        <v>1.1999999999999999E-3</v>
      </c>
      <c r="L77" s="701">
        <f t="shared" si="13"/>
        <v>1.1000000000000001E-3</v>
      </c>
      <c r="M77" s="701">
        <f t="shared" si="14"/>
        <v>6.9999999999999999E-4</v>
      </c>
    </row>
    <row r="78" spans="1:14" s="261" customFormat="1" ht="28.5" customHeight="1" thickBot="1">
      <c r="A78" s="707">
        <v>5283</v>
      </c>
      <c r="B78" s="724">
        <f t="shared" si="15"/>
        <v>0</v>
      </c>
      <c r="C78" s="709" t="s">
        <v>896</v>
      </c>
      <c r="D78" s="710">
        <v>4016</v>
      </c>
      <c r="E78" s="439">
        <f t="shared" ref="E78:E88" si="17">ROUND(D78/$D$8*100,2)</f>
        <v>0</v>
      </c>
      <c r="F78" s="710">
        <v>2545</v>
      </c>
      <c r="G78" s="439">
        <f t="shared" si="16"/>
        <v>0</v>
      </c>
      <c r="H78" s="711">
        <f t="shared" si="11"/>
        <v>1471</v>
      </c>
      <c r="I78" s="379">
        <f t="shared" si="10"/>
        <v>57.8</v>
      </c>
      <c r="K78" s="701">
        <f t="shared" si="12"/>
        <v>1.1999999999999999E-3</v>
      </c>
      <c r="L78" s="701">
        <f t="shared" si="13"/>
        <v>1E-3</v>
      </c>
      <c r="M78" s="701">
        <f t="shared" si="14"/>
        <v>6.9999999999999999E-4</v>
      </c>
      <c r="N78" s="725"/>
    </row>
    <row r="79" spans="1:14" s="261" customFormat="1" ht="30" customHeight="1">
      <c r="A79" s="696">
        <v>15</v>
      </c>
      <c r="B79" s="704">
        <f t="shared" si="15"/>
        <v>0</v>
      </c>
      <c r="C79" s="698" t="s">
        <v>898</v>
      </c>
      <c r="D79" s="702">
        <v>24</v>
      </c>
      <c r="E79" s="412">
        <f t="shared" si="17"/>
        <v>0</v>
      </c>
      <c r="F79" s="702">
        <v>73</v>
      </c>
      <c r="G79" s="412">
        <f t="shared" si="16"/>
        <v>0</v>
      </c>
      <c r="H79" s="703">
        <f t="shared" si="11"/>
        <v>-49</v>
      </c>
      <c r="I79" s="355">
        <f t="shared" si="10"/>
        <v>-67.12</v>
      </c>
      <c r="K79" s="701">
        <f t="shared" si="12"/>
        <v>0</v>
      </c>
      <c r="L79" s="701">
        <f t="shared" si="13"/>
        <v>0</v>
      </c>
      <c r="M79" s="701">
        <f t="shared" si="14"/>
        <v>0</v>
      </c>
    </row>
    <row r="80" spans="1:14" s="33" customFormat="1" ht="30" customHeight="1">
      <c r="A80" s="346">
        <v>505</v>
      </c>
      <c r="B80" s="704">
        <f t="shared" si="15"/>
        <v>0</v>
      </c>
      <c r="C80" s="691" t="s">
        <v>924</v>
      </c>
      <c r="D80" s="723">
        <f t="shared" ref="D80:F81" si="18">D81</f>
        <v>60</v>
      </c>
      <c r="E80" s="695">
        <f t="shared" si="17"/>
        <v>0</v>
      </c>
      <c r="F80" s="723">
        <f t="shared" si="18"/>
        <v>60</v>
      </c>
      <c r="G80" s="695">
        <f t="shared" si="16"/>
        <v>0</v>
      </c>
      <c r="H80" s="704">
        <f t="shared" si="11"/>
        <v>0</v>
      </c>
      <c r="I80" s="715">
        <f t="shared" si="10"/>
        <v>0</v>
      </c>
      <c r="K80" s="694">
        <f t="shared" si="12"/>
        <v>1E-4</v>
      </c>
      <c r="L80" s="694">
        <f t="shared" si="13"/>
        <v>0</v>
      </c>
      <c r="M80" s="694">
        <f t="shared" si="14"/>
        <v>0</v>
      </c>
    </row>
    <row r="81" spans="1:13" s="33" customFormat="1" ht="30" customHeight="1">
      <c r="A81" s="344">
        <v>505</v>
      </c>
      <c r="B81" s="704">
        <f t="shared" si="15"/>
        <v>0</v>
      </c>
      <c r="C81" s="691" t="s">
        <v>925</v>
      </c>
      <c r="D81" s="692">
        <f t="shared" si="18"/>
        <v>60</v>
      </c>
      <c r="E81" s="695">
        <f t="shared" si="17"/>
        <v>0</v>
      </c>
      <c r="F81" s="692">
        <f t="shared" si="18"/>
        <v>60</v>
      </c>
      <c r="G81" s="695">
        <f t="shared" si="16"/>
        <v>0</v>
      </c>
      <c r="H81" s="704">
        <f t="shared" si="11"/>
        <v>0</v>
      </c>
      <c r="I81" s="715">
        <f t="shared" si="10"/>
        <v>0</v>
      </c>
      <c r="K81" s="694">
        <f t="shared" si="12"/>
        <v>1E-4</v>
      </c>
      <c r="L81" s="694">
        <f t="shared" si="13"/>
        <v>0</v>
      </c>
      <c r="M81" s="694">
        <f t="shared" si="14"/>
        <v>0</v>
      </c>
    </row>
    <row r="82" spans="1:13" s="261" customFormat="1" ht="30" customHeight="1">
      <c r="A82" s="696">
        <v>505</v>
      </c>
      <c r="B82" s="704">
        <f t="shared" si="15"/>
        <v>0</v>
      </c>
      <c r="C82" s="698" t="s">
        <v>926</v>
      </c>
      <c r="D82" s="702">
        <f>SUM(D83:D84)</f>
        <v>60</v>
      </c>
      <c r="E82" s="412">
        <f t="shared" si="17"/>
        <v>0</v>
      </c>
      <c r="F82" s="702">
        <f>SUM(F83:F84)</f>
        <v>60</v>
      </c>
      <c r="G82" s="412">
        <f t="shared" si="16"/>
        <v>0</v>
      </c>
      <c r="H82" s="699">
        <f t="shared" si="11"/>
        <v>0</v>
      </c>
      <c r="I82" s="700">
        <f t="shared" si="10"/>
        <v>0</v>
      </c>
      <c r="K82" s="701">
        <f t="shared" si="12"/>
        <v>1E-4</v>
      </c>
      <c r="L82" s="701">
        <f t="shared" si="13"/>
        <v>0</v>
      </c>
      <c r="M82" s="701">
        <f t="shared" si="14"/>
        <v>0</v>
      </c>
    </row>
    <row r="83" spans="1:13" s="261" customFormat="1" ht="30" customHeight="1">
      <c r="A83" s="696">
        <v>500</v>
      </c>
      <c r="B83" s="704">
        <f t="shared" si="15"/>
        <v>0</v>
      </c>
      <c r="C83" s="698" t="s">
        <v>896</v>
      </c>
      <c r="D83" s="702">
        <v>40</v>
      </c>
      <c r="E83" s="412">
        <f t="shared" si="17"/>
        <v>0</v>
      </c>
      <c r="F83" s="702">
        <v>40</v>
      </c>
      <c r="G83" s="412">
        <f t="shared" si="16"/>
        <v>0</v>
      </c>
      <c r="H83" s="699">
        <f t="shared" si="11"/>
        <v>0</v>
      </c>
      <c r="I83" s="700">
        <f t="shared" si="10"/>
        <v>0</v>
      </c>
      <c r="K83" s="701">
        <f t="shared" si="12"/>
        <v>1E-4</v>
      </c>
      <c r="L83" s="701">
        <f t="shared" si="13"/>
        <v>0</v>
      </c>
      <c r="M83" s="701">
        <f t="shared" si="14"/>
        <v>0</v>
      </c>
    </row>
    <row r="84" spans="1:13" s="261" customFormat="1" ht="30" customHeight="1">
      <c r="A84" s="714">
        <v>5</v>
      </c>
      <c r="B84" s="704">
        <f t="shared" si="15"/>
        <v>0</v>
      </c>
      <c r="C84" s="698" t="s">
        <v>898</v>
      </c>
      <c r="D84" s="702">
        <v>20</v>
      </c>
      <c r="E84" s="412">
        <f t="shared" si="17"/>
        <v>0</v>
      </c>
      <c r="F84" s="702">
        <v>20</v>
      </c>
      <c r="G84" s="412">
        <f t="shared" si="16"/>
        <v>0</v>
      </c>
      <c r="H84" s="699">
        <f t="shared" si="11"/>
        <v>0</v>
      </c>
      <c r="I84" s="353">
        <f t="shared" si="10"/>
        <v>0</v>
      </c>
      <c r="K84" s="701">
        <f t="shared" si="12"/>
        <v>0</v>
      </c>
      <c r="L84" s="701">
        <f t="shared" si="13"/>
        <v>0</v>
      </c>
      <c r="M84" s="701">
        <f t="shared" si="14"/>
        <v>0</v>
      </c>
    </row>
    <row r="85" spans="1:13" s="33" customFormat="1" ht="30" customHeight="1">
      <c r="A85" s="346">
        <v>109339</v>
      </c>
      <c r="B85" s="690">
        <f t="shared" si="15"/>
        <v>0.03</v>
      </c>
      <c r="C85" s="691" t="s">
        <v>927</v>
      </c>
      <c r="D85" s="723">
        <f>SUM(D86:D87)</f>
        <v>90801</v>
      </c>
      <c r="E85" s="695">
        <f t="shared" si="17"/>
        <v>0.02</v>
      </c>
      <c r="F85" s="723">
        <f>SUM(F86:F87)</f>
        <v>84644</v>
      </c>
      <c r="G85" s="695">
        <f t="shared" si="16"/>
        <v>0.02</v>
      </c>
      <c r="H85" s="359">
        <f t="shared" si="11"/>
        <v>6157</v>
      </c>
      <c r="I85" s="360">
        <f t="shared" si="10"/>
        <v>7.27</v>
      </c>
      <c r="K85" s="694">
        <f t="shared" si="12"/>
        <v>2.5700000000000001E-2</v>
      </c>
      <c r="L85" s="694">
        <f t="shared" si="13"/>
        <v>2.3699999999999999E-2</v>
      </c>
      <c r="M85" s="694">
        <f t="shared" si="14"/>
        <v>2.4199999999999999E-2</v>
      </c>
    </row>
    <row r="86" spans="1:13" s="261" customFormat="1" ht="30" customHeight="1">
      <c r="A86" s="696">
        <v>108917</v>
      </c>
      <c r="B86" s="697">
        <f t="shared" si="15"/>
        <v>0.03</v>
      </c>
      <c r="C86" s="698" t="s">
        <v>896</v>
      </c>
      <c r="D86" s="702">
        <f>D69+D73+D75+D78-D83</f>
        <v>90505</v>
      </c>
      <c r="E86" s="412">
        <f t="shared" si="17"/>
        <v>0.02</v>
      </c>
      <c r="F86" s="702">
        <f>F69+F73+F75+F78-F83</f>
        <v>84244</v>
      </c>
      <c r="G86" s="412">
        <f t="shared" si="16"/>
        <v>0.02</v>
      </c>
      <c r="H86" s="703">
        <f t="shared" si="11"/>
        <v>6261</v>
      </c>
      <c r="I86" s="355">
        <f t="shared" si="10"/>
        <v>7.43</v>
      </c>
      <c r="K86" s="701">
        <f t="shared" si="12"/>
        <v>2.5600000000000001E-2</v>
      </c>
      <c r="L86" s="701">
        <f t="shared" si="13"/>
        <v>2.3599999999999999E-2</v>
      </c>
      <c r="M86" s="701">
        <f t="shared" si="14"/>
        <v>2.41E-2</v>
      </c>
    </row>
    <row r="87" spans="1:13" s="261" customFormat="1" ht="30" customHeight="1">
      <c r="A87" s="696">
        <v>421</v>
      </c>
      <c r="B87" s="704">
        <f t="shared" si="15"/>
        <v>0</v>
      </c>
      <c r="C87" s="698" t="s">
        <v>898</v>
      </c>
      <c r="D87" s="702">
        <f>D70+D76+D79-D84</f>
        <v>296</v>
      </c>
      <c r="E87" s="412">
        <f t="shared" si="17"/>
        <v>0</v>
      </c>
      <c r="F87" s="702">
        <f>F70+F76+F79-F84</f>
        <v>400</v>
      </c>
      <c r="G87" s="412">
        <f t="shared" si="16"/>
        <v>0</v>
      </c>
      <c r="H87" s="703">
        <f t="shared" si="11"/>
        <v>-104</v>
      </c>
      <c r="I87" s="355">
        <f t="shared" si="10"/>
        <v>-26</v>
      </c>
      <c r="K87" s="701">
        <f t="shared" si="12"/>
        <v>1E-4</v>
      </c>
      <c r="L87" s="701">
        <f t="shared" si="13"/>
        <v>1E-4</v>
      </c>
      <c r="M87" s="701">
        <f t="shared" si="14"/>
        <v>1E-4</v>
      </c>
    </row>
    <row r="88" spans="1:13" s="33" customFormat="1" ht="30" customHeight="1">
      <c r="A88" s="726">
        <f>A63+A85</f>
        <v>0</v>
      </c>
      <c r="B88" s="704">
        <f t="shared" si="15"/>
        <v>0</v>
      </c>
      <c r="C88" s="691" t="s">
        <v>20</v>
      </c>
      <c r="D88" s="727">
        <f>+D63+D85</f>
        <v>0</v>
      </c>
      <c r="E88" s="695">
        <f t="shared" si="17"/>
        <v>0</v>
      </c>
      <c r="F88" s="727">
        <f>+F63+F85</f>
        <v>0</v>
      </c>
      <c r="G88" s="695">
        <f t="shared" si="16"/>
        <v>0</v>
      </c>
      <c r="H88" s="727">
        <f t="shared" si="11"/>
        <v>0</v>
      </c>
      <c r="I88" s="715">
        <v>0</v>
      </c>
      <c r="K88" s="694">
        <f t="shared" si="12"/>
        <v>0</v>
      </c>
      <c r="L88" s="694">
        <f t="shared" si="13"/>
        <v>0</v>
      </c>
      <c r="M88" s="694">
        <f t="shared" si="14"/>
        <v>0</v>
      </c>
    </row>
    <row r="89" spans="1:13" s="33" customFormat="1" ht="30" customHeight="1">
      <c r="A89" s="726"/>
      <c r="B89" s="727"/>
      <c r="C89" s="691"/>
      <c r="D89" s="727"/>
      <c r="E89" s="704"/>
      <c r="F89" s="727"/>
      <c r="G89" s="704"/>
      <c r="H89" s="727"/>
      <c r="I89" s="715"/>
      <c r="K89" s="694"/>
      <c r="L89" s="694"/>
      <c r="M89" s="694"/>
    </row>
    <row r="90" spans="1:13" s="33" customFormat="1" ht="30" customHeight="1">
      <c r="A90" s="726"/>
      <c r="B90" s="727"/>
      <c r="C90" s="691"/>
      <c r="D90" s="727"/>
      <c r="E90" s="704"/>
      <c r="F90" s="727"/>
      <c r="G90" s="704"/>
      <c r="H90" s="727"/>
      <c r="I90" s="715"/>
      <c r="K90" s="694"/>
      <c r="L90" s="694"/>
      <c r="M90" s="694"/>
    </row>
    <row r="91" spans="1:13" s="33" customFormat="1" ht="30" customHeight="1">
      <c r="A91" s="726"/>
      <c r="B91" s="727"/>
      <c r="C91" s="691"/>
      <c r="D91" s="727"/>
      <c r="E91" s="704"/>
      <c r="F91" s="727"/>
      <c r="G91" s="704"/>
      <c r="H91" s="727"/>
      <c r="I91" s="715"/>
      <c r="K91" s="694"/>
      <c r="L91" s="694"/>
      <c r="M91" s="694"/>
    </row>
    <row r="92" spans="1:13" s="33" customFormat="1" ht="30" customHeight="1">
      <c r="A92" s="726"/>
      <c r="B92" s="727"/>
      <c r="C92" s="691"/>
      <c r="D92" s="727"/>
      <c r="E92" s="704"/>
      <c r="F92" s="727"/>
      <c r="G92" s="704"/>
      <c r="H92" s="727"/>
      <c r="I92" s="715"/>
      <c r="K92" s="694"/>
      <c r="L92" s="694"/>
      <c r="M92" s="694"/>
    </row>
    <row r="93" spans="1:13" s="33" customFormat="1" ht="30" customHeight="1">
      <c r="A93" s="726"/>
      <c r="B93" s="727"/>
      <c r="C93" s="691"/>
      <c r="D93" s="727"/>
      <c r="E93" s="704"/>
      <c r="F93" s="727"/>
      <c r="G93" s="704"/>
      <c r="H93" s="727"/>
      <c r="I93" s="715"/>
      <c r="K93" s="694"/>
      <c r="L93" s="694"/>
      <c r="M93" s="694"/>
    </row>
    <row r="94" spans="1:13" s="33" customFormat="1" ht="33.6" customHeight="1">
      <c r="A94" s="726"/>
      <c r="B94" s="727"/>
      <c r="C94" s="691"/>
      <c r="D94" s="727"/>
      <c r="E94" s="704"/>
      <c r="F94" s="727"/>
      <c r="G94" s="704"/>
      <c r="H94" s="727"/>
      <c r="I94" s="715"/>
      <c r="K94" s="694"/>
      <c r="L94" s="694"/>
      <c r="M94" s="694"/>
    </row>
    <row r="95" spans="1:13" s="33" customFormat="1" ht="24.6" customHeight="1">
      <c r="A95" s="726"/>
      <c r="B95" s="727"/>
      <c r="C95" s="691"/>
      <c r="D95" s="727"/>
      <c r="E95" s="704"/>
      <c r="F95" s="727"/>
      <c r="G95" s="704"/>
      <c r="H95" s="727"/>
      <c r="I95" s="715"/>
      <c r="K95" s="694"/>
      <c r="L95" s="694"/>
      <c r="M95" s="694"/>
    </row>
    <row r="96" spans="1:13" s="33" customFormat="1" ht="10.8" customHeight="1">
      <c r="A96" s="726"/>
      <c r="B96" s="727"/>
      <c r="C96" s="691"/>
      <c r="D96" s="727"/>
      <c r="E96" s="704"/>
      <c r="F96" s="727"/>
      <c r="G96" s="704"/>
      <c r="H96" s="727"/>
      <c r="I96" s="715"/>
      <c r="K96" s="694"/>
      <c r="L96" s="694"/>
      <c r="M96" s="694"/>
    </row>
    <row r="97" spans="1:13" s="33" customFormat="1" ht="29.4" customHeight="1">
      <c r="A97" s="726"/>
      <c r="B97" s="727"/>
      <c r="C97" s="691"/>
      <c r="D97" s="727"/>
      <c r="E97" s="704"/>
      <c r="F97" s="727"/>
      <c r="G97" s="704"/>
      <c r="H97" s="727"/>
      <c r="I97" s="715"/>
      <c r="K97" s="694"/>
      <c r="L97" s="694"/>
      <c r="M97" s="694"/>
    </row>
    <row r="98" spans="1:13" s="33" customFormat="1" ht="15.6" customHeight="1">
      <c r="A98" s="726"/>
      <c r="B98" s="727"/>
      <c r="C98" s="691"/>
      <c r="D98" s="727"/>
      <c r="E98" s="704"/>
      <c r="F98" s="727"/>
      <c r="G98" s="704"/>
      <c r="H98" s="727"/>
      <c r="I98" s="715"/>
      <c r="K98" s="694"/>
      <c r="L98" s="694"/>
      <c r="M98" s="694"/>
    </row>
    <row r="99" spans="1:13" s="33" customFormat="1" ht="10.95" customHeight="1">
      <c r="A99" s="726"/>
      <c r="B99" s="727"/>
      <c r="C99" s="691"/>
      <c r="D99" s="727"/>
      <c r="E99" s="704"/>
      <c r="F99" s="727"/>
      <c r="G99" s="704"/>
      <c r="H99" s="727"/>
      <c r="I99" s="715"/>
      <c r="K99" s="694"/>
      <c r="L99" s="694"/>
      <c r="M99" s="694"/>
    </row>
    <row r="100" spans="1:13" s="33" customFormat="1" ht="8.4" customHeight="1">
      <c r="A100" s="726"/>
      <c r="B100" s="727"/>
      <c r="C100" s="691"/>
      <c r="D100" s="727"/>
      <c r="E100" s="704"/>
      <c r="F100" s="727"/>
      <c r="G100" s="704"/>
      <c r="H100" s="727"/>
      <c r="I100" s="715"/>
      <c r="K100" s="694"/>
      <c r="L100" s="694"/>
      <c r="M100" s="694"/>
    </row>
    <row r="101" spans="1:13" s="10" customFormat="1" ht="13.5" customHeight="1" thickBot="1">
      <c r="A101" s="347"/>
      <c r="B101" s="728"/>
      <c r="C101" s="729"/>
      <c r="D101" s="730"/>
      <c r="E101" s="728"/>
      <c r="F101" s="730"/>
      <c r="G101" s="731"/>
      <c r="H101" s="364"/>
      <c r="I101" s="732"/>
      <c r="K101" s="733"/>
      <c r="L101" s="733"/>
      <c r="M101" s="733"/>
    </row>
    <row r="102" spans="1:13" ht="33.6" customHeight="1">
      <c r="A102" s="809" t="s">
        <v>1140</v>
      </c>
      <c r="B102" s="809"/>
      <c r="C102" s="809"/>
      <c r="D102" s="809"/>
      <c r="E102" s="809"/>
      <c r="F102" s="809"/>
      <c r="G102" s="809"/>
      <c r="H102" s="809"/>
      <c r="I102" s="809"/>
    </row>
    <row r="103" spans="1:13" s="10" customFormat="1" ht="15.6">
      <c r="A103" s="734"/>
      <c r="B103" s="735"/>
      <c r="C103" s="736"/>
      <c r="D103" s="737"/>
      <c r="E103" s="738"/>
      <c r="F103" s="735"/>
      <c r="G103" s="735"/>
      <c r="H103" s="735"/>
      <c r="I103" s="735"/>
    </row>
    <row r="104" spans="1:13" s="10" customFormat="1" ht="15.6">
      <c r="C104" s="739"/>
      <c r="D104" s="740"/>
      <c r="E104" s="741"/>
    </row>
    <row r="105" spans="1:13" s="10" customFormat="1" ht="15.6">
      <c r="C105" s="739"/>
      <c r="D105" s="740"/>
      <c r="E105" s="741"/>
    </row>
    <row r="106" spans="1:13" s="10" customFormat="1" ht="15.6">
      <c r="C106" s="739"/>
      <c r="D106" s="740"/>
      <c r="E106" s="741"/>
    </row>
    <row r="107" spans="1:13" s="10" customFormat="1" ht="15.6">
      <c r="C107" s="739"/>
      <c r="D107" s="740"/>
      <c r="E107" s="741"/>
    </row>
    <row r="108" spans="1:13" s="10" customFormat="1" ht="15.6">
      <c r="C108" s="739"/>
      <c r="D108" s="740"/>
      <c r="E108" s="741"/>
    </row>
    <row r="109" spans="1:13" s="10" customFormat="1" ht="15.6">
      <c r="C109" s="739"/>
      <c r="D109" s="740"/>
      <c r="E109" s="741"/>
    </row>
    <row r="110" spans="1:13" s="10" customFormat="1" ht="15.6">
      <c r="C110" s="739"/>
      <c r="D110" s="740"/>
      <c r="E110" s="741"/>
    </row>
    <row r="111" spans="1:13" s="10" customFormat="1" ht="15.6">
      <c r="C111" s="739"/>
      <c r="D111" s="740"/>
      <c r="E111" s="741"/>
    </row>
  </sheetData>
  <mergeCells count="10">
    <mergeCell ref="A102:I102"/>
    <mergeCell ref="A1:I1"/>
    <mergeCell ref="A2:I2"/>
    <mergeCell ref="A3:I3"/>
    <mergeCell ref="A4:I4"/>
    <mergeCell ref="A5:B5"/>
    <mergeCell ref="C5:C6"/>
    <mergeCell ref="D5:E5"/>
    <mergeCell ref="F5:G5"/>
    <mergeCell ref="H5:I5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orientation="portrait" useFirstPageNumber="1" r:id="rId1"/>
  <headerFooter alignWithMargins="0">
    <oddFooter>&amp;C&amp;"細明體,標準"附&amp;"Times New Roman,標準"1-&amp;P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6"/>
  <sheetViews>
    <sheetView workbookViewId="0">
      <selection activeCell="D12" sqref="D12"/>
    </sheetView>
  </sheetViews>
  <sheetFormatPr defaultColWidth="9" defaultRowHeight="15.6"/>
  <cols>
    <col min="1" max="1" width="42.77734375" style="6" bestFit="1" customWidth="1"/>
    <col min="2" max="2" width="14.44140625" style="6" customWidth="1"/>
    <col min="3" max="3" width="15.44140625" style="6" bestFit="1" customWidth="1"/>
    <col min="4" max="4" width="11.6640625" style="6" bestFit="1" customWidth="1"/>
    <col min="5" max="5" width="5.6640625" style="6" customWidth="1"/>
    <col min="6" max="6" width="39" style="6" customWidth="1"/>
    <col min="7" max="7" width="9" style="6"/>
    <col min="8" max="8" width="26.33203125" style="6" customWidth="1"/>
    <col min="9" max="9" width="19.88671875" style="6" customWidth="1"/>
    <col min="10" max="16384" width="9" style="6"/>
  </cols>
  <sheetData>
    <row r="1" spans="1:8" s="2" customFormat="1" ht="22.2">
      <c r="A1" s="798" t="s">
        <v>928</v>
      </c>
      <c r="B1" s="798"/>
      <c r="C1" s="798"/>
      <c r="D1" s="798"/>
      <c r="E1" s="798"/>
      <c r="F1" s="1"/>
      <c r="G1" s="1"/>
      <c r="H1" s="1"/>
    </row>
    <row r="2" spans="1:8" s="2" customFormat="1" ht="22.2">
      <c r="A2" s="798" t="s">
        <v>929</v>
      </c>
      <c r="B2" s="798"/>
      <c r="C2" s="798"/>
      <c r="D2" s="798"/>
      <c r="E2" s="798"/>
      <c r="F2" s="1"/>
      <c r="G2" s="1"/>
      <c r="H2" s="1"/>
    </row>
    <row r="3" spans="1:8" s="2" customFormat="1" ht="24.75" customHeight="1">
      <c r="A3" s="800" t="s">
        <v>930</v>
      </c>
      <c r="B3" s="800"/>
      <c r="C3" s="800"/>
      <c r="D3" s="800"/>
      <c r="E3" s="800"/>
      <c r="F3" s="3"/>
      <c r="G3" s="3"/>
      <c r="H3" s="3"/>
    </row>
    <row r="4" spans="1:8" s="2" customFormat="1" ht="24.9" customHeight="1" thickBot="1">
      <c r="A4" s="815" t="s">
        <v>931</v>
      </c>
      <c r="B4" s="815"/>
      <c r="C4" s="815"/>
      <c r="D4" s="815"/>
      <c r="E4" s="815"/>
      <c r="F4" s="4"/>
      <c r="G4" s="4"/>
      <c r="H4" s="4"/>
    </row>
    <row r="5" spans="1:8" ht="15.75" customHeight="1">
      <c r="A5" s="830" t="s">
        <v>932</v>
      </c>
      <c r="B5" s="833" t="s">
        <v>933</v>
      </c>
      <c r="C5" s="836" t="s">
        <v>114</v>
      </c>
      <c r="D5" s="837"/>
      <c r="E5" s="838"/>
      <c r="F5" s="4"/>
      <c r="G5" s="4"/>
      <c r="H5" s="4"/>
    </row>
    <row r="6" spans="1:8" ht="15.75" customHeight="1">
      <c r="A6" s="831"/>
      <c r="B6" s="834"/>
      <c r="C6" s="839"/>
      <c r="D6" s="840"/>
      <c r="E6" s="841"/>
      <c r="F6" s="4"/>
      <c r="G6" s="4"/>
      <c r="H6" s="4"/>
    </row>
    <row r="7" spans="1:8" ht="15.75" customHeight="1">
      <c r="A7" s="832"/>
      <c r="B7" s="835"/>
      <c r="C7" s="842"/>
      <c r="D7" s="843"/>
      <c r="E7" s="844"/>
    </row>
    <row r="8" spans="1:8" ht="8.25" customHeight="1">
      <c r="A8" s="668"/>
      <c r="B8" s="669"/>
      <c r="C8" s="86"/>
      <c r="D8" s="143"/>
      <c r="E8" s="89"/>
    </row>
    <row r="9" spans="1:8" s="10" customFormat="1" ht="30" customHeight="1">
      <c r="A9" s="420" t="s">
        <v>115</v>
      </c>
      <c r="B9" s="145"/>
      <c r="C9" s="146"/>
      <c r="D9" s="147"/>
      <c r="E9" s="148"/>
    </row>
    <row r="10" spans="1:8" s="31" customFormat="1" ht="30" customHeight="1">
      <c r="A10" s="69" t="s">
        <v>934</v>
      </c>
      <c r="B10" s="68" t="s">
        <v>11</v>
      </c>
      <c r="C10" s="150"/>
      <c r="D10" s="151"/>
      <c r="E10" s="148"/>
    </row>
    <row r="11" spans="1:8" s="31" customFormat="1" ht="55.5" customHeight="1">
      <c r="A11" s="69" t="s">
        <v>935</v>
      </c>
      <c r="B11" s="152">
        <f>D11+D12+D13+D14</f>
        <v>45075143</v>
      </c>
      <c r="C11" s="672" t="s">
        <v>936</v>
      </c>
      <c r="D11" s="667">
        <f>358997+17365</f>
        <v>376362</v>
      </c>
      <c r="E11" s="673" t="s">
        <v>937</v>
      </c>
      <c r="F11" s="36"/>
    </row>
    <row r="12" spans="1:8" s="10" customFormat="1" ht="30" customHeight="1">
      <c r="A12" s="69"/>
      <c r="B12" s="152"/>
      <c r="C12" s="672" t="s">
        <v>938</v>
      </c>
      <c r="D12" s="667">
        <v>43837951</v>
      </c>
      <c r="E12" s="673" t="s">
        <v>937</v>
      </c>
    </row>
    <row r="13" spans="1:8" s="31" customFormat="1" ht="30" customHeight="1">
      <c r="A13" s="69" t="s">
        <v>939</v>
      </c>
      <c r="B13" s="32"/>
      <c r="C13" s="672" t="s">
        <v>940</v>
      </c>
      <c r="D13" s="423">
        <v>817248</v>
      </c>
      <c r="E13" s="673" t="s">
        <v>937</v>
      </c>
      <c r="F13" s="37"/>
      <c r="H13" s="11"/>
    </row>
    <row r="14" spans="1:8" s="10" customFormat="1" ht="30" customHeight="1">
      <c r="A14" s="69" t="s">
        <v>939</v>
      </c>
      <c r="B14" s="32"/>
      <c r="C14" s="672" t="s">
        <v>941</v>
      </c>
      <c r="D14" s="423">
        <v>43582</v>
      </c>
      <c r="E14" s="673" t="s">
        <v>937</v>
      </c>
    </row>
    <row r="15" spans="1:8" s="10" customFormat="1" ht="30" customHeight="1">
      <c r="A15" s="420" t="s">
        <v>942</v>
      </c>
      <c r="B15" s="28">
        <f>B11</f>
        <v>45075143</v>
      </c>
      <c r="C15" s="422"/>
      <c r="D15" s="423"/>
      <c r="E15" s="673"/>
    </row>
    <row r="16" spans="1:8" s="10" customFormat="1" ht="30" customHeight="1">
      <c r="A16" s="420" t="s">
        <v>943</v>
      </c>
      <c r="B16" s="28"/>
      <c r="C16" s="424"/>
      <c r="D16" s="425"/>
      <c r="E16" s="426"/>
    </row>
    <row r="17" spans="1:5" s="10" customFormat="1" ht="30" hidden="1" customHeight="1">
      <c r="A17" s="69" t="s">
        <v>944</v>
      </c>
      <c r="B17" s="32">
        <v>0</v>
      </c>
      <c r="C17" s="827" t="s">
        <v>945</v>
      </c>
      <c r="D17" s="828"/>
      <c r="E17" s="829"/>
    </row>
    <row r="18" spans="1:5" s="10" customFormat="1" ht="63.75" customHeight="1">
      <c r="A18" s="69" t="s">
        <v>946</v>
      </c>
      <c r="B18" s="32">
        <v>-41298123</v>
      </c>
      <c r="C18" s="827" t="s">
        <v>947</v>
      </c>
      <c r="D18" s="828"/>
      <c r="E18" s="829"/>
    </row>
    <row r="19" spans="1:5" s="10" customFormat="1" ht="48.6" customHeight="1">
      <c r="A19" s="69" t="s">
        <v>948</v>
      </c>
      <c r="B19" s="32">
        <v>-10510555</v>
      </c>
      <c r="C19" s="827" t="s">
        <v>949</v>
      </c>
      <c r="D19" s="828"/>
      <c r="E19" s="829"/>
    </row>
    <row r="20" spans="1:5" s="10" customFormat="1" ht="30" customHeight="1">
      <c r="A20" s="420" t="s">
        <v>950</v>
      </c>
      <c r="B20" s="28">
        <f>SUM(B17:B19)</f>
        <v>-51808678</v>
      </c>
      <c r="C20" s="422"/>
      <c r="D20" s="423"/>
      <c r="E20" s="426"/>
    </row>
    <row r="21" spans="1:5" s="10" customFormat="1" ht="27.6" customHeight="1">
      <c r="A21" s="420" t="s">
        <v>132</v>
      </c>
      <c r="B21" s="153"/>
      <c r="C21" s="427"/>
      <c r="D21" s="428"/>
      <c r="E21" s="426"/>
    </row>
    <row r="22" spans="1:5" s="743" customFormat="1" ht="45" customHeight="1">
      <c r="A22" s="69" t="s">
        <v>951</v>
      </c>
      <c r="B22" s="32">
        <v>1826</v>
      </c>
      <c r="C22" s="827" t="s">
        <v>952</v>
      </c>
      <c r="D22" s="828"/>
      <c r="E22" s="829"/>
    </row>
    <row r="23" spans="1:5" s="10" customFormat="1" ht="30" customHeight="1">
      <c r="A23" s="420" t="s">
        <v>953</v>
      </c>
      <c r="B23" s="28">
        <f>SUM(B22:B22)</f>
        <v>1826</v>
      </c>
      <c r="C23" s="429"/>
      <c r="D23" s="430"/>
      <c r="E23" s="431"/>
    </row>
    <row r="24" spans="1:5" s="10" customFormat="1" ht="35.4" customHeight="1">
      <c r="A24" s="420" t="s">
        <v>134</v>
      </c>
      <c r="B24" s="78">
        <f>B15+B20+B23</f>
        <v>-6731709</v>
      </c>
      <c r="C24" s="432"/>
      <c r="D24" s="433"/>
      <c r="E24" s="434"/>
    </row>
    <row r="25" spans="1:5" s="10" customFormat="1" ht="33.6" customHeight="1">
      <c r="A25" s="420" t="s">
        <v>135</v>
      </c>
      <c r="B25" s="78">
        <v>91280626</v>
      </c>
      <c r="C25" s="432"/>
      <c r="D25" s="433"/>
      <c r="E25" s="434"/>
    </row>
    <row r="26" spans="1:5" s="10" customFormat="1" ht="41.4" customHeight="1" thickBot="1">
      <c r="A26" s="435" t="s">
        <v>136</v>
      </c>
      <c r="B26" s="154">
        <f>B24+B25</f>
        <v>84548917</v>
      </c>
      <c r="C26" s="436"/>
      <c r="D26" s="437"/>
      <c r="E26" s="438"/>
    </row>
  </sheetData>
  <mergeCells count="11">
    <mergeCell ref="C17:E17"/>
    <mergeCell ref="C18:E18"/>
    <mergeCell ref="C19:E19"/>
    <mergeCell ref="C22:E22"/>
    <mergeCell ref="A1:E1"/>
    <mergeCell ref="A2:E2"/>
    <mergeCell ref="A3:E3"/>
    <mergeCell ref="A4:E4"/>
    <mergeCell ref="A5:A7"/>
    <mergeCell ref="B5:B7"/>
    <mergeCell ref="C5:E7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5" orientation="portrait" useFirstPageNumber="1" r:id="rId1"/>
  <headerFooter alignWithMargins="0">
    <oddFooter>&amp;C&amp;"細明體,標準"附&amp;"Times New Roman,標準"1-&amp;P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49"/>
  <sheetViews>
    <sheetView topLeftCell="A4" workbookViewId="0">
      <selection activeCell="E18" sqref="E18"/>
    </sheetView>
  </sheetViews>
  <sheetFormatPr defaultColWidth="9" defaultRowHeight="16.2"/>
  <cols>
    <col min="1" max="1" width="14.6640625" style="6" customWidth="1"/>
    <col min="2" max="2" width="31.44140625" style="568" customWidth="1"/>
    <col min="3" max="3" width="15.44140625" style="6" customWidth="1"/>
    <col min="4" max="4" width="15.5546875" style="20" customWidth="1"/>
    <col min="5" max="5" width="13.109375" style="6" customWidth="1"/>
    <col min="6" max="16384" width="9" style="6"/>
  </cols>
  <sheetData>
    <row r="1" spans="1:5" ht="22.2">
      <c r="A1" s="798" t="s">
        <v>928</v>
      </c>
      <c r="B1" s="798"/>
      <c r="C1" s="798"/>
      <c r="D1" s="798"/>
      <c r="E1" s="798"/>
    </row>
    <row r="2" spans="1:5" ht="22.2">
      <c r="A2" s="798" t="s">
        <v>929</v>
      </c>
      <c r="B2" s="798"/>
      <c r="C2" s="798"/>
      <c r="D2" s="798"/>
      <c r="E2" s="798"/>
    </row>
    <row r="3" spans="1:5" ht="24.75" customHeight="1">
      <c r="A3" s="800" t="s">
        <v>954</v>
      </c>
      <c r="B3" s="800"/>
      <c r="C3" s="800"/>
      <c r="D3" s="800"/>
      <c r="E3" s="800"/>
    </row>
    <row r="4" spans="1:5" ht="24.75" customHeight="1" thickBot="1">
      <c r="A4" s="815" t="s">
        <v>955</v>
      </c>
      <c r="B4" s="815"/>
      <c r="C4" s="815"/>
      <c r="D4" s="815"/>
      <c r="E4" s="815"/>
    </row>
    <row r="5" spans="1:5" ht="15.75" customHeight="1">
      <c r="A5" s="891" t="s">
        <v>956</v>
      </c>
      <c r="B5" s="947" t="s">
        <v>957</v>
      </c>
      <c r="C5" s="900" t="s">
        <v>958</v>
      </c>
      <c r="D5" s="900" t="s">
        <v>959</v>
      </c>
      <c r="E5" s="897" t="s">
        <v>960</v>
      </c>
    </row>
    <row r="6" spans="1:5" ht="15.75" customHeight="1">
      <c r="A6" s="892"/>
      <c r="B6" s="948"/>
      <c r="C6" s="901"/>
      <c r="D6" s="901"/>
      <c r="E6" s="898"/>
    </row>
    <row r="7" spans="1:5" ht="15.75" customHeight="1">
      <c r="A7" s="893"/>
      <c r="B7" s="949"/>
      <c r="C7" s="902"/>
      <c r="D7" s="902"/>
      <c r="E7" s="899"/>
    </row>
    <row r="8" spans="1:5" ht="8.25" customHeight="1">
      <c r="A8" s="25"/>
      <c r="B8" s="744"/>
      <c r="C8" s="670"/>
      <c r="D8" s="671"/>
      <c r="E8" s="122"/>
    </row>
    <row r="9" spans="1:5" s="31" customFormat="1" ht="30" customHeight="1">
      <c r="A9" s="123">
        <v>741936101</v>
      </c>
      <c r="B9" s="124" t="s">
        <v>961</v>
      </c>
      <c r="C9" s="125">
        <f>C10+C16+C19</f>
        <v>815017260</v>
      </c>
      <c r="D9" s="125">
        <f>D10+D16+D19</f>
        <v>771133901</v>
      </c>
      <c r="E9" s="126">
        <f>E10+E16+E19</f>
        <v>43883359</v>
      </c>
    </row>
    <row r="10" spans="1:5" s="31" customFormat="1" ht="30" customHeight="1">
      <c r="A10" s="123">
        <v>610551177</v>
      </c>
      <c r="B10" s="127" t="s">
        <v>962</v>
      </c>
      <c r="C10" s="125">
        <f>SUM(C11:C15)</f>
        <v>608276893</v>
      </c>
      <c r="D10" s="125">
        <f>SUM(D11:D15)</f>
        <v>574924721</v>
      </c>
      <c r="E10" s="126">
        <f>SUM(E11:E15)</f>
        <v>33352172</v>
      </c>
    </row>
    <row r="11" spans="1:5" s="10" customFormat="1" ht="30" customHeight="1">
      <c r="A11" s="128">
        <v>170740352</v>
      </c>
      <c r="B11" s="129" t="s">
        <v>963</v>
      </c>
      <c r="C11" s="130">
        <v>84548917</v>
      </c>
      <c r="D11" s="130">
        <v>91280626</v>
      </c>
      <c r="E11" s="131">
        <f>C11-D11</f>
        <v>-6731709</v>
      </c>
    </row>
    <row r="12" spans="1:5" s="10" customFormat="1" ht="30" customHeight="1">
      <c r="A12" s="128">
        <v>360099457</v>
      </c>
      <c r="B12" s="129" t="s">
        <v>964</v>
      </c>
      <c r="C12" s="130">
        <v>451132102</v>
      </c>
      <c r="D12" s="130">
        <v>411150879</v>
      </c>
      <c r="E12" s="131">
        <f>C12-D12</f>
        <v>39981223</v>
      </c>
    </row>
    <row r="13" spans="1:5" s="10" customFormat="1" ht="30" customHeight="1">
      <c r="A13" s="128">
        <v>77466009</v>
      </c>
      <c r="B13" s="129" t="s">
        <v>965</v>
      </c>
      <c r="C13" s="130">
        <v>68133174</v>
      </c>
      <c r="D13" s="130">
        <v>69370416</v>
      </c>
      <c r="E13" s="131">
        <f>C13-D13</f>
        <v>-1237242</v>
      </c>
    </row>
    <row r="14" spans="1:5" s="10" customFormat="1" ht="30" customHeight="1">
      <c r="A14" s="128">
        <v>61</v>
      </c>
      <c r="B14" s="129" t="s">
        <v>966</v>
      </c>
      <c r="C14" s="138">
        <v>0</v>
      </c>
      <c r="D14" s="138">
        <v>0</v>
      </c>
      <c r="E14" s="133">
        <f>C14-D14</f>
        <v>0</v>
      </c>
    </row>
    <row r="15" spans="1:5" s="10" customFormat="1" ht="30" customHeight="1">
      <c r="A15" s="128">
        <v>2245299</v>
      </c>
      <c r="B15" s="129" t="s">
        <v>967</v>
      </c>
      <c r="C15" s="130">
        <v>4462700</v>
      </c>
      <c r="D15" s="130">
        <v>3122800</v>
      </c>
      <c r="E15" s="133">
        <f>C15-D15</f>
        <v>1339900</v>
      </c>
    </row>
    <row r="16" spans="1:5" s="31" customFormat="1" ht="30" customHeight="1">
      <c r="A16" s="123">
        <v>107239538</v>
      </c>
      <c r="B16" s="132" t="s">
        <v>968</v>
      </c>
      <c r="C16" s="125">
        <f>SUM(C17:C18)</f>
        <v>178472618</v>
      </c>
      <c r="D16" s="125">
        <f>SUM(D17:D18)</f>
        <v>170205158</v>
      </c>
      <c r="E16" s="126">
        <f>SUM(E17:E18)</f>
        <v>8267460</v>
      </c>
    </row>
    <row r="17" spans="1:5" s="10" customFormat="1" ht="30" customHeight="1">
      <c r="A17" s="128">
        <v>97395731</v>
      </c>
      <c r="B17" s="129" t="s">
        <v>969</v>
      </c>
      <c r="C17" s="130">
        <v>167252618</v>
      </c>
      <c r="D17" s="130">
        <v>159755158</v>
      </c>
      <c r="E17" s="131">
        <f>C17-D17</f>
        <v>7497460</v>
      </c>
    </row>
    <row r="18" spans="1:5" s="10" customFormat="1" ht="30" customHeight="1">
      <c r="A18" s="128">
        <v>9843807</v>
      </c>
      <c r="B18" s="129" t="s">
        <v>970</v>
      </c>
      <c r="C18" s="130">
        <v>11220000</v>
      </c>
      <c r="D18" s="130">
        <v>10450000</v>
      </c>
      <c r="E18" s="131">
        <f>C18-D18</f>
        <v>770000</v>
      </c>
    </row>
    <row r="19" spans="1:5" s="31" customFormat="1" ht="30" customHeight="1">
      <c r="A19" s="123">
        <v>24145386</v>
      </c>
      <c r="B19" s="127" t="s">
        <v>971</v>
      </c>
      <c r="C19" s="125">
        <f>SUM(C20:C21)</f>
        <v>28267749</v>
      </c>
      <c r="D19" s="125">
        <f>SUM(D20:D21)</f>
        <v>26004022</v>
      </c>
      <c r="E19" s="126">
        <f>SUM(E20:E21)</f>
        <v>2263727</v>
      </c>
    </row>
    <row r="20" spans="1:5" s="10" customFormat="1" ht="30" customHeight="1">
      <c r="A20" s="128">
        <v>209309</v>
      </c>
      <c r="B20" s="129" t="s">
        <v>972</v>
      </c>
      <c r="C20" s="130">
        <v>209309</v>
      </c>
      <c r="D20" s="130">
        <v>209309</v>
      </c>
      <c r="E20" s="133">
        <f>C20-D20</f>
        <v>0</v>
      </c>
    </row>
    <row r="21" spans="1:5" s="10" customFormat="1" ht="30" customHeight="1">
      <c r="A21" s="128">
        <v>23936077</v>
      </c>
      <c r="B21" s="129" t="s">
        <v>973</v>
      </c>
      <c r="C21" s="130">
        <v>28058440</v>
      </c>
      <c r="D21" s="130">
        <v>25794713</v>
      </c>
      <c r="E21" s="131">
        <f>C21-D21</f>
        <v>2263727</v>
      </c>
    </row>
    <row r="22" spans="1:5" s="10" customFormat="1" ht="30" customHeight="1">
      <c r="A22" s="128"/>
      <c r="B22" s="129"/>
      <c r="C22" s="130"/>
      <c r="D22" s="130"/>
      <c r="E22" s="131"/>
    </row>
    <row r="23" spans="1:5" s="10" customFormat="1" ht="30" customHeight="1">
      <c r="A23" s="128"/>
      <c r="B23" s="129"/>
      <c r="C23" s="130"/>
      <c r="D23" s="130"/>
      <c r="E23" s="131"/>
    </row>
    <row r="24" spans="1:5" s="10" customFormat="1" ht="30" customHeight="1">
      <c r="A24" s="128"/>
      <c r="B24" s="129"/>
      <c r="C24" s="130"/>
      <c r="D24" s="130"/>
      <c r="E24" s="131"/>
    </row>
    <row r="25" spans="1:5" s="10" customFormat="1" ht="49.5" customHeight="1">
      <c r="A25" s="128"/>
      <c r="B25" s="129"/>
      <c r="C25" s="130"/>
      <c r="D25" s="130"/>
      <c r="E25" s="131"/>
    </row>
    <row r="26" spans="1:5" s="10" customFormat="1" ht="33.6" customHeight="1">
      <c r="A26" s="128"/>
      <c r="B26" s="129"/>
      <c r="C26" s="130"/>
      <c r="D26" s="130"/>
      <c r="E26" s="131"/>
    </row>
    <row r="27" spans="1:5" s="10" customFormat="1" ht="30" customHeight="1">
      <c r="A27" s="128"/>
      <c r="B27" s="129"/>
      <c r="C27" s="130"/>
      <c r="D27" s="130"/>
      <c r="E27" s="131"/>
    </row>
    <row r="28" spans="1:5" s="31" customFormat="1" ht="30" customHeight="1" thickBot="1">
      <c r="A28" s="134">
        <v>741936101</v>
      </c>
      <c r="B28" s="135" t="s">
        <v>974</v>
      </c>
      <c r="C28" s="136">
        <f>C9</f>
        <v>815017260</v>
      </c>
      <c r="D28" s="136">
        <f>D9</f>
        <v>771133901</v>
      </c>
      <c r="E28" s="137">
        <f>E9</f>
        <v>43883359</v>
      </c>
    </row>
    <row r="29" spans="1:5" s="31" customFormat="1" ht="30" customHeight="1">
      <c r="A29" s="123">
        <v>741930892</v>
      </c>
      <c r="B29" s="124" t="s">
        <v>975</v>
      </c>
      <c r="C29" s="125">
        <f>C30+C34</f>
        <v>815012051</v>
      </c>
      <c r="D29" s="125">
        <f>D30+D34</f>
        <v>771128692</v>
      </c>
      <c r="E29" s="126">
        <f>E30+E34</f>
        <v>43883359</v>
      </c>
    </row>
    <row r="30" spans="1:5" s="31" customFormat="1" ht="30" customHeight="1">
      <c r="A30" s="123">
        <v>3725929</v>
      </c>
      <c r="B30" s="127" t="s">
        <v>976</v>
      </c>
      <c r="C30" s="125">
        <f>SUM(C31:C33)</f>
        <v>3781717</v>
      </c>
      <c r="D30" s="125">
        <f>SUM(D31:D33)</f>
        <v>3738135</v>
      </c>
      <c r="E30" s="126">
        <f>SUM(E31:E33)</f>
        <v>43582</v>
      </c>
    </row>
    <row r="31" spans="1:5" s="10" customFormat="1" ht="30" customHeight="1">
      <c r="A31" s="128">
        <v>2664303</v>
      </c>
      <c r="B31" s="129" t="s">
        <v>977</v>
      </c>
      <c r="C31" s="130">
        <v>2720918</v>
      </c>
      <c r="D31" s="130">
        <v>2678508</v>
      </c>
      <c r="E31" s="131">
        <f>C31-D31</f>
        <v>42410</v>
      </c>
    </row>
    <row r="32" spans="1:5" s="10" customFormat="1" ht="30" customHeight="1">
      <c r="A32" s="128">
        <v>116559</v>
      </c>
      <c r="B32" s="129" t="s">
        <v>978</v>
      </c>
      <c r="C32" s="130">
        <v>115731</v>
      </c>
      <c r="D32" s="130">
        <v>114559</v>
      </c>
      <c r="E32" s="131">
        <f>C32-D32</f>
        <v>1172</v>
      </c>
    </row>
    <row r="33" spans="1:5" s="10" customFormat="1" ht="30" customHeight="1">
      <c r="A33" s="128">
        <v>945068</v>
      </c>
      <c r="B33" s="129" t="s">
        <v>979</v>
      </c>
      <c r="C33" s="138">
        <v>945068</v>
      </c>
      <c r="D33" s="138">
        <v>945068</v>
      </c>
      <c r="E33" s="133">
        <f>C33-D33</f>
        <v>0</v>
      </c>
    </row>
    <row r="34" spans="1:5" s="31" customFormat="1" ht="30" customHeight="1">
      <c r="A34" s="123">
        <v>738204963</v>
      </c>
      <c r="B34" s="132" t="s">
        <v>980</v>
      </c>
      <c r="C34" s="125">
        <f>SUM(C35:C36)</f>
        <v>811230334</v>
      </c>
      <c r="D34" s="125">
        <f>SUM(D35:D36)</f>
        <v>767390557</v>
      </c>
      <c r="E34" s="126">
        <f>SUM(E35:E36)</f>
        <v>43839777</v>
      </c>
    </row>
    <row r="35" spans="1:5" s="10" customFormat="1" ht="30" customHeight="1">
      <c r="A35" s="128">
        <v>738169238</v>
      </c>
      <c r="B35" s="129" t="s">
        <v>981</v>
      </c>
      <c r="C35" s="130">
        <v>811190983</v>
      </c>
      <c r="D35" s="130">
        <v>767353032</v>
      </c>
      <c r="E35" s="131">
        <f>C35-D35</f>
        <v>43837951</v>
      </c>
    </row>
    <row r="36" spans="1:5" s="10" customFormat="1" ht="30" customHeight="1">
      <c r="A36" s="128">
        <v>35725</v>
      </c>
      <c r="B36" s="129" t="s">
        <v>982</v>
      </c>
      <c r="C36" s="130">
        <v>39351</v>
      </c>
      <c r="D36" s="130">
        <v>37525</v>
      </c>
      <c r="E36" s="131">
        <f>C36-D36</f>
        <v>1826</v>
      </c>
    </row>
    <row r="37" spans="1:5" s="31" customFormat="1" ht="30" customHeight="1">
      <c r="A37" s="123">
        <v>5209</v>
      </c>
      <c r="B37" s="124" t="s">
        <v>983</v>
      </c>
      <c r="C37" s="125">
        <f>C38+C40+C42</f>
        <v>5209</v>
      </c>
      <c r="D37" s="125">
        <f>D38+D40+D42</f>
        <v>5209</v>
      </c>
      <c r="E37" s="141">
        <f>E38+E40+E42</f>
        <v>0</v>
      </c>
    </row>
    <row r="38" spans="1:5" s="31" customFormat="1" ht="30" customHeight="1">
      <c r="A38" s="123">
        <v>625</v>
      </c>
      <c r="B38" s="127" t="s">
        <v>984</v>
      </c>
      <c r="C38" s="125">
        <f>C39</f>
        <v>625</v>
      </c>
      <c r="D38" s="125">
        <f>D39</f>
        <v>625</v>
      </c>
      <c r="E38" s="141">
        <f>E39</f>
        <v>0</v>
      </c>
    </row>
    <row r="39" spans="1:5" s="10" customFormat="1" ht="30" customHeight="1">
      <c r="A39" s="128">
        <v>625</v>
      </c>
      <c r="B39" s="129" t="s">
        <v>985</v>
      </c>
      <c r="C39" s="130">
        <v>625</v>
      </c>
      <c r="D39" s="130">
        <v>625</v>
      </c>
      <c r="E39" s="133">
        <f>C39-D39</f>
        <v>0</v>
      </c>
    </row>
    <row r="40" spans="1:5" s="31" customFormat="1" ht="30" customHeight="1">
      <c r="A40" s="123">
        <v>4584</v>
      </c>
      <c r="B40" s="127" t="s">
        <v>986</v>
      </c>
      <c r="C40" s="125">
        <f>'[1]平衡表-勞(2)'!C79</f>
        <v>4584</v>
      </c>
      <c r="D40" s="125">
        <f>'[1]平衡表-勞(2)'!D79</f>
        <v>4584</v>
      </c>
      <c r="E40" s="141">
        <f>E41</f>
        <v>0</v>
      </c>
    </row>
    <row r="41" spans="1:5" s="10" customFormat="1" ht="30" customHeight="1">
      <c r="A41" s="128">
        <v>4584</v>
      </c>
      <c r="B41" s="789" t="s">
        <v>987</v>
      </c>
      <c r="C41" s="10">
        <v>4584</v>
      </c>
      <c r="D41" s="130">
        <v>4584</v>
      </c>
      <c r="E41" s="133">
        <v>0</v>
      </c>
    </row>
    <row r="42" spans="1:5" s="31" customFormat="1" ht="30" customHeight="1">
      <c r="A42" s="139"/>
      <c r="B42" s="127" t="s">
        <v>988</v>
      </c>
      <c r="C42" s="140">
        <f>C43</f>
        <v>0</v>
      </c>
      <c r="D42" s="140">
        <f>D43</f>
        <v>0</v>
      </c>
      <c r="E42" s="141">
        <f>E43</f>
        <v>0</v>
      </c>
    </row>
    <row r="43" spans="1:5" s="10" customFormat="1" ht="30" customHeight="1">
      <c r="A43" s="142"/>
      <c r="B43" s="129" t="s">
        <v>989</v>
      </c>
      <c r="C43" s="138">
        <v>0</v>
      </c>
      <c r="D43" s="138">
        <v>0</v>
      </c>
      <c r="E43" s="133">
        <v>0</v>
      </c>
    </row>
    <row r="44" spans="1:5" s="10" customFormat="1" ht="52.2" customHeight="1">
      <c r="A44" s="142"/>
      <c r="B44" s="129"/>
      <c r="C44" s="138"/>
      <c r="D44" s="138"/>
      <c r="E44" s="133"/>
    </row>
    <row r="45" spans="1:5" s="10" customFormat="1" ht="25.2" customHeight="1">
      <c r="A45" s="142"/>
      <c r="B45" s="129"/>
      <c r="C45" s="138"/>
      <c r="D45" s="138"/>
      <c r="E45" s="133"/>
    </row>
    <row r="46" spans="1:5" s="10" customFormat="1" ht="23.4" hidden="1" customHeight="1">
      <c r="A46" s="142"/>
      <c r="B46" s="129"/>
      <c r="C46" s="138"/>
      <c r="D46" s="138"/>
      <c r="E46" s="133"/>
    </row>
    <row r="47" spans="1:5" s="10" customFormat="1" ht="30" customHeight="1">
      <c r="A47" s="142"/>
      <c r="B47" s="129"/>
      <c r="C47" s="138"/>
      <c r="D47" s="138"/>
      <c r="E47" s="133"/>
    </row>
    <row r="48" spans="1:5" s="31" customFormat="1" ht="29.25" customHeight="1" thickBot="1">
      <c r="A48" s="134">
        <v>741936101</v>
      </c>
      <c r="B48" s="135" t="s">
        <v>974</v>
      </c>
      <c r="C48" s="136">
        <f>C29+C37</f>
        <v>815017260</v>
      </c>
      <c r="D48" s="136">
        <f>D29+D37</f>
        <v>771133901</v>
      </c>
      <c r="E48" s="137">
        <f>E29+E37</f>
        <v>43883359</v>
      </c>
    </row>
    <row r="49" spans="1:5" s="225" customFormat="1" ht="34.5" customHeight="1">
      <c r="A49" s="890" t="s">
        <v>990</v>
      </c>
      <c r="B49" s="890"/>
      <c r="C49" s="890"/>
      <c r="D49" s="890"/>
      <c r="E49" s="890"/>
    </row>
  </sheetData>
  <mergeCells count="10">
    <mergeCell ref="A49:E49"/>
    <mergeCell ref="A1:E1"/>
    <mergeCell ref="A2:E2"/>
    <mergeCell ref="A3:E3"/>
    <mergeCell ref="A4:E4"/>
    <mergeCell ref="A5:A7"/>
    <mergeCell ref="B5:B7"/>
    <mergeCell ref="C5:C7"/>
    <mergeCell ref="D5:D7"/>
    <mergeCell ref="E5:E7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6" orientation="portrait" useFirstPageNumber="1" r:id="rId1"/>
  <headerFooter alignWithMargins="0">
    <oddFooter>&amp;C&amp;"細明體,標準"附&amp;"Times New Roman,標準"1-&amp;P</oddFooter>
  </headerFooter>
  <rowBreaks count="1" manualBreakCount="1">
    <brk id="28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62"/>
  <sheetViews>
    <sheetView zoomScale="75" zoomScaleNormal="75" zoomScaleSheetLayoutView="125" workbookViewId="0">
      <pane xSplit="7" ySplit="7" topLeftCell="H17" activePane="bottomRight" state="frozen"/>
      <selection activeCell="C1" sqref="C1:C1048576"/>
      <selection pane="topRight" activeCell="C1" sqref="C1:C1048576"/>
      <selection pane="bottomLeft" activeCell="C1" sqref="C1:C1048576"/>
      <selection pane="bottomRight" activeCell="R56" sqref="R56"/>
    </sheetView>
  </sheetViews>
  <sheetFormatPr defaultColWidth="9" defaultRowHeight="16.2"/>
  <cols>
    <col min="1" max="1" width="10.44140625" style="2" customWidth="1"/>
    <col min="2" max="2" width="6.6640625" style="2" customWidth="1"/>
    <col min="3" max="3" width="21.77734375" style="742" customWidth="1"/>
    <col min="4" max="4" width="10.44140625" style="2" customWidth="1"/>
    <col min="5" max="5" width="6.6640625" style="320" customWidth="1"/>
    <col min="6" max="6" width="10.44140625" style="2" customWidth="1"/>
    <col min="7" max="7" width="6.6640625" style="2" customWidth="1"/>
    <col min="8" max="8" width="10.44140625" style="2" customWidth="1"/>
    <col min="9" max="9" width="6.6640625" style="2" customWidth="1"/>
    <col min="10" max="10" width="9" style="2"/>
    <col min="11" max="13" width="11.6640625" style="2" hidden="1" customWidth="1"/>
    <col min="14" max="14" width="0" style="2" hidden="1" customWidth="1"/>
    <col min="15" max="16384" width="9" style="2"/>
  </cols>
  <sheetData>
    <row r="1" spans="1:13" ht="21" customHeight="1">
      <c r="A1" s="798" t="s">
        <v>109</v>
      </c>
      <c r="B1" s="798"/>
      <c r="C1" s="798"/>
      <c r="D1" s="798"/>
      <c r="E1" s="798"/>
      <c r="F1" s="798"/>
      <c r="G1" s="798"/>
      <c r="H1" s="798"/>
      <c r="I1" s="798"/>
    </row>
    <row r="2" spans="1:13" ht="21" customHeight="1">
      <c r="A2" s="798" t="s">
        <v>110</v>
      </c>
      <c r="B2" s="798"/>
      <c r="C2" s="798"/>
      <c r="D2" s="798"/>
      <c r="E2" s="798"/>
      <c r="F2" s="798"/>
      <c r="G2" s="798"/>
      <c r="H2" s="798"/>
      <c r="I2" s="798"/>
    </row>
    <row r="3" spans="1:13" ht="24.9" customHeight="1">
      <c r="A3" s="800" t="s">
        <v>991</v>
      </c>
      <c r="B3" s="800"/>
      <c r="C3" s="800"/>
      <c r="D3" s="800"/>
      <c r="E3" s="800"/>
      <c r="F3" s="800"/>
      <c r="G3" s="800"/>
      <c r="H3" s="800"/>
      <c r="I3" s="800"/>
    </row>
    <row r="4" spans="1:13" ht="24.9" customHeight="1" thickBot="1">
      <c r="A4" s="802" t="s">
        <v>992</v>
      </c>
      <c r="B4" s="802"/>
      <c r="C4" s="802"/>
      <c r="D4" s="802"/>
      <c r="E4" s="802"/>
      <c r="F4" s="802"/>
      <c r="G4" s="802"/>
      <c r="H4" s="802"/>
      <c r="I4" s="802"/>
    </row>
    <row r="5" spans="1:13" ht="21" customHeight="1">
      <c r="A5" s="945" t="s">
        <v>880</v>
      </c>
      <c r="B5" s="793"/>
      <c r="C5" s="792" t="s">
        <v>18</v>
      </c>
      <c r="D5" s="793" t="s">
        <v>881</v>
      </c>
      <c r="E5" s="793"/>
      <c r="F5" s="793" t="s">
        <v>882</v>
      </c>
      <c r="G5" s="793"/>
      <c r="H5" s="793" t="s">
        <v>883</v>
      </c>
      <c r="I5" s="803"/>
    </row>
    <row r="6" spans="1:13" ht="19.5" customHeight="1">
      <c r="A6" s="682" t="s">
        <v>993</v>
      </c>
      <c r="B6" s="666" t="s">
        <v>885</v>
      </c>
      <c r="C6" s="946"/>
      <c r="D6" s="666" t="s">
        <v>993</v>
      </c>
      <c r="E6" s="684" t="s">
        <v>885</v>
      </c>
      <c r="F6" s="666" t="s">
        <v>993</v>
      </c>
      <c r="G6" s="666" t="s">
        <v>885</v>
      </c>
      <c r="H6" s="666" t="s">
        <v>993</v>
      </c>
      <c r="I6" s="685" t="s">
        <v>885</v>
      </c>
    </row>
    <row r="7" spans="1:13" ht="8.25" customHeight="1">
      <c r="A7" s="686"/>
      <c r="B7" s="177"/>
      <c r="C7" s="176"/>
      <c r="D7" s="177"/>
      <c r="E7" s="688"/>
      <c r="F7" s="177"/>
      <c r="G7" s="177"/>
      <c r="H7" s="177"/>
      <c r="I7" s="689"/>
    </row>
    <row r="8" spans="1:13" s="31" customFormat="1" ht="30" customHeight="1">
      <c r="A8" s="344">
        <v>26405439</v>
      </c>
      <c r="B8" s="690">
        <v>100</v>
      </c>
      <c r="C8" s="691" t="s">
        <v>19</v>
      </c>
      <c r="D8" s="692">
        <f>D13+D9</f>
        <v>26804203</v>
      </c>
      <c r="E8" s="690">
        <v>100</v>
      </c>
      <c r="F8" s="692">
        <f>F13+F9</f>
        <v>25613610</v>
      </c>
      <c r="G8" s="690">
        <v>100</v>
      </c>
      <c r="H8" s="693">
        <f t="shared" ref="H8:H27" si="0">D8-F8</f>
        <v>1190593</v>
      </c>
      <c r="I8" s="360">
        <f t="shared" ref="I8:I14" si="1">ROUND(H8/F8*100,2)</f>
        <v>4.6500000000000004</v>
      </c>
      <c r="K8" s="745">
        <f t="shared" ref="K8:K37" si="2">ROUND(A8/$A$8*100,4)</f>
        <v>100</v>
      </c>
      <c r="L8" s="745">
        <f t="shared" ref="L8:L37" si="3">ROUND(D8/$D$8*100,4)</f>
        <v>100</v>
      </c>
      <c r="M8" s="745">
        <f t="shared" ref="M8:M37" si="4">ROUND(F8/$F$8*100,4)</f>
        <v>100</v>
      </c>
    </row>
    <row r="9" spans="1:13" s="31" customFormat="1" ht="30" customHeight="1">
      <c r="A9" s="344">
        <v>1642866</v>
      </c>
      <c r="B9" s="690">
        <f>ROUND(A9/$A$8*100,2)</f>
        <v>6.22</v>
      </c>
      <c r="C9" s="691" t="s">
        <v>457</v>
      </c>
      <c r="D9" s="692">
        <f>SUM(D11:D12)</f>
        <v>1629603</v>
      </c>
      <c r="E9" s="746">
        <f>ROUND(D9/$D$8*100,2)</f>
        <v>6.08</v>
      </c>
      <c r="F9" s="692">
        <f>SUM(F11:F12)</f>
        <v>1593927</v>
      </c>
      <c r="G9" s="746">
        <f>ROUND(F9/$F$8*100,2)</f>
        <v>6.22</v>
      </c>
      <c r="H9" s="693">
        <f t="shared" si="0"/>
        <v>35676</v>
      </c>
      <c r="I9" s="360">
        <f t="shared" si="1"/>
        <v>2.2400000000000002</v>
      </c>
      <c r="K9" s="745">
        <f t="shared" si="2"/>
        <v>6.2217000000000002</v>
      </c>
      <c r="L9" s="745">
        <f t="shared" si="3"/>
        <v>6.0796999999999999</v>
      </c>
      <c r="M9" s="745">
        <f t="shared" si="4"/>
        <v>6.2229999999999999</v>
      </c>
    </row>
    <row r="10" spans="1:13" s="10" customFormat="1" ht="30" customHeight="1">
      <c r="A10" s="696">
        <v>377113</v>
      </c>
      <c r="B10" s="697">
        <f t="shared" ref="B10:B37" si="5">ROUND(A10/$A$8*100,2)</f>
        <v>1.43</v>
      </c>
      <c r="C10" s="698" t="s">
        <v>461</v>
      </c>
      <c r="D10" s="699">
        <v>0</v>
      </c>
      <c r="E10" s="699">
        <f>ROUND(D10/$D$8*100,2)</f>
        <v>0</v>
      </c>
      <c r="F10" s="699">
        <v>0</v>
      </c>
      <c r="G10" s="699">
        <f t="shared" ref="G10:G37" si="6">ROUND(F10/$F$8*100,2)</f>
        <v>0</v>
      </c>
      <c r="H10" s="699">
        <f t="shared" si="0"/>
        <v>0</v>
      </c>
      <c r="I10" s="700">
        <v>0</v>
      </c>
      <c r="K10" s="747">
        <f t="shared" si="2"/>
        <v>1.4281999999999999</v>
      </c>
      <c r="L10" s="747">
        <f t="shared" si="3"/>
        <v>0</v>
      </c>
      <c r="M10" s="747">
        <f t="shared" si="4"/>
        <v>0</v>
      </c>
    </row>
    <row r="11" spans="1:13" s="10" customFormat="1" ht="30" customHeight="1">
      <c r="A11" s="696">
        <v>564291</v>
      </c>
      <c r="B11" s="697">
        <f t="shared" si="5"/>
        <v>2.14</v>
      </c>
      <c r="C11" s="698" t="s">
        <v>465</v>
      </c>
      <c r="D11" s="702">
        <v>256632</v>
      </c>
      <c r="E11" s="748">
        <f>ROUND(D11/$D$8*100,2)</f>
        <v>0.96</v>
      </c>
      <c r="F11" s="702">
        <v>373102</v>
      </c>
      <c r="G11" s="748">
        <f t="shared" si="6"/>
        <v>1.46</v>
      </c>
      <c r="H11" s="703">
        <f t="shared" si="0"/>
        <v>-116470</v>
      </c>
      <c r="I11" s="355">
        <f t="shared" si="1"/>
        <v>-31.22</v>
      </c>
      <c r="K11" s="747">
        <f t="shared" si="2"/>
        <v>2.137</v>
      </c>
      <c r="L11" s="747">
        <f t="shared" si="3"/>
        <v>0.95740000000000003</v>
      </c>
      <c r="M11" s="747">
        <f t="shared" si="4"/>
        <v>1.4567000000000001</v>
      </c>
    </row>
    <row r="12" spans="1:13" s="10" customFormat="1" ht="30" customHeight="1">
      <c r="A12" s="696">
        <v>701462</v>
      </c>
      <c r="B12" s="697">
        <f t="shared" si="5"/>
        <v>2.66</v>
      </c>
      <c r="C12" s="698" t="s">
        <v>994</v>
      </c>
      <c r="D12" s="702">
        <v>1372971</v>
      </c>
      <c r="E12" s="748">
        <f t="shared" ref="E12:E37" si="7">ROUND(D12/$D$8*100,2)</f>
        <v>5.12</v>
      </c>
      <c r="F12" s="702">
        <v>1220825</v>
      </c>
      <c r="G12" s="748">
        <f t="shared" si="6"/>
        <v>4.7699999999999996</v>
      </c>
      <c r="H12" s="703">
        <f t="shared" si="0"/>
        <v>152146</v>
      </c>
      <c r="I12" s="355">
        <f t="shared" si="1"/>
        <v>12.46</v>
      </c>
      <c r="K12" s="747">
        <f t="shared" si="2"/>
        <v>2.6564999999999999</v>
      </c>
      <c r="L12" s="747">
        <f t="shared" si="3"/>
        <v>5.1222000000000003</v>
      </c>
      <c r="M12" s="747">
        <f t="shared" si="4"/>
        <v>4.7663000000000002</v>
      </c>
    </row>
    <row r="13" spans="1:13" s="31" customFormat="1" ht="30" customHeight="1">
      <c r="A13" s="344">
        <v>24762573</v>
      </c>
      <c r="B13" s="690">
        <f t="shared" si="5"/>
        <v>93.78</v>
      </c>
      <c r="C13" s="691" t="s">
        <v>472</v>
      </c>
      <c r="D13" s="692">
        <f>D14+D15</f>
        <v>25174600</v>
      </c>
      <c r="E13" s="746">
        <f t="shared" si="7"/>
        <v>93.92</v>
      </c>
      <c r="F13" s="692">
        <f>F14+F15</f>
        <v>24019683</v>
      </c>
      <c r="G13" s="746">
        <f t="shared" si="6"/>
        <v>93.78</v>
      </c>
      <c r="H13" s="693">
        <f t="shared" si="0"/>
        <v>1154917</v>
      </c>
      <c r="I13" s="360">
        <f t="shared" si="1"/>
        <v>4.8099999999999996</v>
      </c>
      <c r="K13" s="745">
        <f t="shared" si="2"/>
        <v>93.778300000000002</v>
      </c>
      <c r="L13" s="745">
        <f t="shared" si="3"/>
        <v>93.920299999999997</v>
      </c>
      <c r="M13" s="745">
        <f t="shared" si="4"/>
        <v>93.777000000000001</v>
      </c>
    </row>
    <row r="14" spans="1:13" s="10" customFormat="1" ht="30" customHeight="1">
      <c r="A14" s="696">
        <v>24762573</v>
      </c>
      <c r="B14" s="697">
        <f t="shared" si="5"/>
        <v>93.78</v>
      </c>
      <c r="C14" s="698" t="s">
        <v>473</v>
      </c>
      <c r="D14" s="702">
        <v>25174600</v>
      </c>
      <c r="E14" s="748">
        <f t="shared" si="7"/>
        <v>93.92</v>
      </c>
      <c r="F14" s="702">
        <v>24019683</v>
      </c>
      <c r="G14" s="748">
        <f t="shared" si="6"/>
        <v>93.78</v>
      </c>
      <c r="H14" s="703">
        <f t="shared" si="0"/>
        <v>1154917</v>
      </c>
      <c r="I14" s="355">
        <f t="shared" si="1"/>
        <v>4.8099999999999996</v>
      </c>
      <c r="K14" s="747">
        <f t="shared" si="2"/>
        <v>93.778300000000002</v>
      </c>
      <c r="L14" s="747">
        <f t="shared" si="3"/>
        <v>93.920299999999997</v>
      </c>
      <c r="M14" s="747">
        <f t="shared" si="4"/>
        <v>93.777000000000001</v>
      </c>
    </row>
    <row r="15" spans="1:13" s="10" customFormat="1" ht="30" hidden="1" customHeight="1">
      <c r="A15" s="696">
        <v>0</v>
      </c>
      <c r="B15" s="697">
        <f t="shared" si="5"/>
        <v>0</v>
      </c>
      <c r="C15" s="713" t="s">
        <v>474</v>
      </c>
      <c r="D15" s="699">
        <v>0</v>
      </c>
      <c r="E15" s="748">
        <f t="shared" si="7"/>
        <v>0</v>
      </c>
      <c r="F15" s="699">
        <v>0</v>
      </c>
      <c r="G15" s="748">
        <f t="shared" si="6"/>
        <v>0</v>
      </c>
      <c r="H15" s="717">
        <f t="shared" si="0"/>
        <v>0</v>
      </c>
      <c r="I15" s="700">
        <v>0</v>
      </c>
      <c r="K15" s="747">
        <f t="shared" si="2"/>
        <v>0</v>
      </c>
      <c r="L15" s="747">
        <f t="shared" si="3"/>
        <v>0</v>
      </c>
      <c r="M15" s="747">
        <f t="shared" si="4"/>
        <v>0</v>
      </c>
    </row>
    <row r="16" spans="1:13" s="31" customFormat="1" ht="30" customHeight="1">
      <c r="A16" s="344">
        <v>26412836</v>
      </c>
      <c r="B16" s="690">
        <f t="shared" si="5"/>
        <v>100.03</v>
      </c>
      <c r="C16" s="691" t="s">
        <v>478</v>
      </c>
      <c r="D16" s="692">
        <f>D20+D17+D24</f>
        <v>26810018</v>
      </c>
      <c r="E16" s="749">
        <f t="shared" si="7"/>
        <v>100.02</v>
      </c>
      <c r="F16" s="692">
        <f>F20+F17+F24</f>
        <v>25619134</v>
      </c>
      <c r="G16" s="749">
        <f t="shared" si="6"/>
        <v>100.02</v>
      </c>
      <c r="H16" s="693">
        <f t="shared" si="0"/>
        <v>1190884</v>
      </c>
      <c r="I16" s="360">
        <f t="shared" ref="I16:I36" si="8">ROUND(H16/F16*100,2)</f>
        <v>4.6500000000000004</v>
      </c>
      <c r="K16" s="745">
        <f t="shared" si="2"/>
        <v>100.02800000000001</v>
      </c>
      <c r="L16" s="745">
        <f t="shared" si="3"/>
        <v>100.0217</v>
      </c>
      <c r="M16" s="745">
        <f t="shared" si="4"/>
        <v>100.02160000000001</v>
      </c>
    </row>
    <row r="17" spans="1:13" s="31" customFormat="1" ht="30" customHeight="1">
      <c r="A17" s="344">
        <v>236602</v>
      </c>
      <c r="B17" s="695">
        <f t="shared" si="5"/>
        <v>0.9</v>
      </c>
      <c r="C17" s="691" t="s">
        <v>479</v>
      </c>
      <c r="D17" s="692">
        <f>SUM(D19:D19)</f>
        <v>1357</v>
      </c>
      <c r="E17" s="746">
        <f t="shared" si="7"/>
        <v>0.01</v>
      </c>
      <c r="F17" s="692">
        <f>SUM(F19:F19)</f>
        <v>2384</v>
      </c>
      <c r="G17" s="695">
        <f t="shared" si="6"/>
        <v>0.01</v>
      </c>
      <c r="H17" s="693">
        <f t="shared" si="0"/>
        <v>-1027</v>
      </c>
      <c r="I17" s="360">
        <f t="shared" si="8"/>
        <v>-43.08</v>
      </c>
      <c r="K17" s="745">
        <f t="shared" si="2"/>
        <v>0.89600000000000002</v>
      </c>
      <c r="L17" s="745">
        <f t="shared" si="3"/>
        <v>5.1000000000000004E-3</v>
      </c>
      <c r="M17" s="745">
        <f t="shared" si="4"/>
        <v>9.2999999999999992E-3</v>
      </c>
    </row>
    <row r="18" spans="1:13" s="10" customFormat="1" ht="23.25" customHeight="1">
      <c r="A18" s="696">
        <v>236283</v>
      </c>
      <c r="B18" s="412">
        <f t="shared" si="5"/>
        <v>0.89</v>
      </c>
      <c r="C18" s="698" t="s">
        <v>482</v>
      </c>
      <c r="D18" s="699">
        <v>0</v>
      </c>
      <c r="E18" s="699">
        <f t="shared" si="7"/>
        <v>0</v>
      </c>
      <c r="F18" s="699">
        <v>0</v>
      </c>
      <c r="G18" s="699">
        <f t="shared" si="6"/>
        <v>0</v>
      </c>
      <c r="H18" s="699">
        <f t="shared" si="0"/>
        <v>0</v>
      </c>
      <c r="I18" s="700">
        <v>0</v>
      </c>
      <c r="K18" s="747">
        <f t="shared" si="2"/>
        <v>0.89480000000000004</v>
      </c>
      <c r="L18" s="747">
        <f t="shared" si="3"/>
        <v>0</v>
      </c>
      <c r="M18" s="747">
        <f t="shared" si="4"/>
        <v>0</v>
      </c>
    </row>
    <row r="19" spans="1:13" s="10" customFormat="1" ht="30" customHeight="1">
      <c r="A19" s="696">
        <v>319</v>
      </c>
      <c r="B19" s="412">
        <f t="shared" si="5"/>
        <v>0</v>
      </c>
      <c r="C19" s="698" t="s">
        <v>485</v>
      </c>
      <c r="D19" s="351">
        <v>1357</v>
      </c>
      <c r="E19" s="748">
        <f t="shared" si="7"/>
        <v>0.01</v>
      </c>
      <c r="F19" s="351">
        <v>2384</v>
      </c>
      <c r="G19" s="412">
        <f t="shared" si="6"/>
        <v>0.01</v>
      </c>
      <c r="H19" s="703">
        <f t="shared" si="0"/>
        <v>-1027</v>
      </c>
      <c r="I19" s="355">
        <f t="shared" si="8"/>
        <v>-43.08</v>
      </c>
      <c r="K19" s="747">
        <f t="shared" si="2"/>
        <v>1.1999999999999999E-3</v>
      </c>
      <c r="L19" s="747">
        <f t="shared" si="3"/>
        <v>5.1000000000000004E-3</v>
      </c>
      <c r="M19" s="747">
        <f t="shared" si="4"/>
        <v>9.2999999999999992E-3</v>
      </c>
    </row>
    <row r="20" spans="1:13" s="31" customFormat="1" ht="30" customHeight="1">
      <c r="A20" s="344">
        <v>24245491</v>
      </c>
      <c r="B20" s="690">
        <f t="shared" si="5"/>
        <v>91.82</v>
      </c>
      <c r="C20" s="691" t="s">
        <v>486</v>
      </c>
      <c r="D20" s="692">
        <f>SUM(D21:D23)</f>
        <v>24420062</v>
      </c>
      <c r="E20" s="746">
        <f t="shared" si="7"/>
        <v>91.11</v>
      </c>
      <c r="F20" s="692">
        <f>SUM(F21:F23)</f>
        <v>22574771</v>
      </c>
      <c r="G20" s="746">
        <f t="shared" si="6"/>
        <v>88.14</v>
      </c>
      <c r="H20" s="693">
        <f t="shared" si="0"/>
        <v>1845291</v>
      </c>
      <c r="I20" s="360">
        <f t="shared" si="8"/>
        <v>8.17</v>
      </c>
      <c r="K20" s="745">
        <f t="shared" si="2"/>
        <v>91.820099999999996</v>
      </c>
      <c r="L20" s="745">
        <f t="shared" si="3"/>
        <v>91.1053</v>
      </c>
      <c r="M20" s="745">
        <f t="shared" si="4"/>
        <v>88.135800000000003</v>
      </c>
    </row>
    <row r="21" spans="1:13" s="10" customFormat="1" ht="30" customHeight="1">
      <c r="A21" s="696">
        <v>17322524</v>
      </c>
      <c r="B21" s="697">
        <f t="shared" si="5"/>
        <v>65.599999999999994</v>
      </c>
      <c r="C21" s="698" t="s">
        <v>487</v>
      </c>
      <c r="D21" s="702">
        <v>18783045</v>
      </c>
      <c r="E21" s="748">
        <f t="shared" si="7"/>
        <v>70.069999999999993</v>
      </c>
      <c r="F21" s="702">
        <f>17028226-8830</f>
        <v>17019396</v>
      </c>
      <c r="G21" s="748">
        <f t="shared" si="6"/>
        <v>66.45</v>
      </c>
      <c r="H21" s="703">
        <f t="shared" si="0"/>
        <v>1763649</v>
      </c>
      <c r="I21" s="355">
        <f t="shared" si="8"/>
        <v>10.36</v>
      </c>
      <c r="K21" s="747">
        <f t="shared" si="2"/>
        <v>65.602099999999993</v>
      </c>
      <c r="L21" s="747">
        <f t="shared" si="3"/>
        <v>70.075000000000003</v>
      </c>
      <c r="M21" s="747">
        <f t="shared" si="4"/>
        <v>66.446700000000007</v>
      </c>
    </row>
    <row r="22" spans="1:13" s="10" customFormat="1" ht="23.25" customHeight="1">
      <c r="A22" s="696">
        <v>6892136</v>
      </c>
      <c r="B22" s="697">
        <f t="shared" si="5"/>
        <v>26.1</v>
      </c>
      <c r="C22" s="698" t="s">
        <v>493</v>
      </c>
      <c r="D22" s="702">
        <v>5608395</v>
      </c>
      <c r="E22" s="748">
        <f t="shared" si="7"/>
        <v>20.92</v>
      </c>
      <c r="F22" s="702">
        <f>5518432+8830</f>
        <v>5527262</v>
      </c>
      <c r="G22" s="748">
        <f t="shared" si="6"/>
        <v>21.58</v>
      </c>
      <c r="H22" s="703">
        <f t="shared" si="0"/>
        <v>81133</v>
      </c>
      <c r="I22" s="355">
        <f t="shared" si="8"/>
        <v>1.47</v>
      </c>
      <c r="K22" s="747">
        <f t="shared" si="2"/>
        <v>26.101199999999999</v>
      </c>
      <c r="L22" s="747">
        <f t="shared" si="3"/>
        <v>20.9236</v>
      </c>
      <c r="M22" s="747">
        <f t="shared" si="4"/>
        <v>21.5794</v>
      </c>
    </row>
    <row r="23" spans="1:13" s="10" customFormat="1" ht="21.75" customHeight="1">
      <c r="A23" s="696">
        <v>30831</v>
      </c>
      <c r="B23" s="697">
        <f t="shared" si="5"/>
        <v>0.12</v>
      </c>
      <c r="C23" s="698" t="s">
        <v>495</v>
      </c>
      <c r="D23" s="702">
        <v>28622</v>
      </c>
      <c r="E23" s="748">
        <f t="shared" si="7"/>
        <v>0.11</v>
      </c>
      <c r="F23" s="702">
        <v>28113</v>
      </c>
      <c r="G23" s="748">
        <f t="shared" si="6"/>
        <v>0.11</v>
      </c>
      <c r="H23" s="703">
        <f t="shared" si="0"/>
        <v>509</v>
      </c>
      <c r="I23" s="355">
        <f t="shared" si="8"/>
        <v>1.81</v>
      </c>
      <c r="K23" s="747">
        <f t="shared" si="2"/>
        <v>0.1168</v>
      </c>
      <c r="L23" s="747">
        <f t="shared" si="3"/>
        <v>0.10680000000000001</v>
      </c>
      <c r="M23" s="747">
        <f t="shared" si="4"/>
        <v>0.10979999999999999</v>
      </c>
    </row>
    <row r="24" spans="1:13" s="31" customFormat="1" ht="23.25" customHeight="1">
      <c r="A24" s="344">
        <v>1930743</v>
      </c>
      <c r="B24" s="690">
        <f t="shared" si="5"/>
        <v>7.31</v>
      </c>
      <c r="C24" s="691" t="s">
        <v>496</v>
      </c>
      <c r="D24" s="692">
        <f>SUM(D25:D25)</f>
        <v>2388599</v>
      </c>
      <c r="E24" s="746">
        <f t="shared" si="7"/>
        <v>8.91</v>
      </c>
      <c r="F24" s="692">
        <f>SUM(F25:F25)</f>
        <v>3041979</v>
      </c>
      <c r="G24" s="746">
        <f t="shared" si="6"/>
        <v>11.88</v>
      </c>
      <c r="H24" s="693">
        <f t="shared" si="0"/>
        <v>-653380</v>
      </c>
      <c r="I24" s="360">
        <f t="shared" si="8"/>
        <v>-21.48</v>
      </c>
      <c r="K24" s="745">
        <f t="shared" si="2"/>
        <v>7.3118999999999996</v>
      </c>
      <c r="L24" s="745">
        <f t="shared" si="3"/>
        <v>8.9113000000000007</v>
      </c>
      <c r="M24" s="745">
        <f t="shared" si="4"/>
        <v>11.8764</v>
      </c>
    </row>
    <row r="25" spans="1:13" s="10" customFormat="1" ht="30" customHeight="1">
      <c r="A25" s="696">
        <v>1930743</v>
      </c>
      <c r="B25" s="697">
        <f t="shared" si="5"/>
        <v>7.31</v>
      </c>
      <c r="C25" s="698" t="s">
        <v>497</v>
      </c>
      <c r="D25" s="702">
        <v>2388599</v>
      </c>
      <c r="E25" s="748">
        <f t="shared" si="7"/>
        <v>8.91</v>
      </c>
      <c r="F25" s="702">
        <v>3041979</v>
      </c>
      <c r="G25" s="748">
        <f t="shared" si="6"/>
        <v>11.88</v>
      </c>
      <c r="H25" s="703">
        <f t="shared" si="0"/>
        <v>-653380</v>
      </c>
      <c r="I25" s="355">
        <f t="shared" si="8"/>
        <v>-21.48</v>
      </c>
      <c r="K25" s="747">
        <f t="shared" si="2"/>
        <v>7.3118999999999996</v>
      </c>
      <c r="L25" s="747">
        <f t="shared" si="3"/>
        <v>8.9113000000000007</v>
      </c>
      <c r="M25" s="747">
        <f t="shared" si="4"/>
        <v>11.8764</v>
      </c>
    </row>
    <row r="26" spans="1:13" s="31" customFormat="1" ht="21.6" customHeight="1">
      <c r="A26" s="344">
        <v>-7397</v>
      </c>
      <c r="B26" s="690">
        <f t="shared" si="5"/>
        <v>-0.03</v>
      </c>
      <c r="C26" s="691" t="s">
        <v>498</v>
      </c>
      <c r="D26" s="750">
        <f>+D8-D16</f>
        <v>-5815</v>
      </c>
      <c r="E26" s="746">
        <f t="shared" si="7"/>
        <v>-0.02</v>
      </c>
      <c r="F26" s="750">
        <f>+F8-F16</f>
        <v>-5524</v>
      </c>
      <c r="G26" s="746">
        <f t="shared" si="6"/>
        <v>-0.02</v>
      </c>
      <c r="H26" s="750">
        <f t="shared" si="0"/>
        <v>-291</v>
      </c>
      <c r="I26" s="360">
        <f t="shared" si="8"/>
        <v>5.27</v>
      </c>
      <c r="K26" s="745">
        <f t="shared" si="2"/>
        <v>-2.8000000000000001E-2</v>
      </c>
      <c r="L26" s="745">
        <f t="shared" si="3"/>
        <v>-2.1700000000000001E-2</v>
      </c>
      <c r="M26" s="745">
        <f t="shared" si="4"/>
        <v>-2.1600000000000001E-2</v>
      </c>
    </row>
    <row r="27" spans="1:13" s="31" customFormat="1" ht="21.75" customHeight="1">
      <c r="A27" s="346">
        <v>7408</v>
      </c>
      <c r="B27" s="690">
        <f t="shared" si="5"/>
        <v>0.03</v>
      </c>
      <c r="C27" s="691" t="s">
        <v>499</v>
      </c>
      <c r="D27" s="363">
        <f>D28+D30</f>
        <v>5845</v>
      </c>
      <c r="E27" s="746">
        <f t="shared" si="7"/>
        <v>0.02</v>
      </c>
      <c r="F27" s="363">
        <f>F28+F30</f>
        <v>5554</v>
      </c>
      <c r="G27" s="746">
        <f t="shared" si="6"/>
        <v>0.02</v>
      </c>
      <c r="H27" s="751">
        <f t="shared" si="0"/>
        <v>291</v>
      </c>
      <c r="I27" s="360">
        <f t="shared" si="8"/>
        <v>5.24</v>
      </c>
      <c r="K27" s="745">
        <f t="shared" si="2"/>
        <v>2.81E-2</v>
      </c>
      <c r="L27" s="745">
        <f t="shared" si="3"/>
        <v>2.18E-2</v>
      </c>
      <c r="M27" s="745">
        <f t="shared" si="4"/>
        <v>2.1700000000000001E-2</v>
      </c>
    </row>
    <row r="28" spans="1:13" s="31" customFormat="1" ht="20.399999999999999" customHeight="1">
      <c r="A28" s="344">
        <v>60</v>
      </c>
      <c r="B28" s="695">
        <f t="shared" si="5"/>
        <v>0</v>
      </c>
      <c r="C28" s="691" t="s">
        <v>500</v>
      </c>
      <c r="D28" s="692">
        <f>D29</f>
        <v>31</v>
      </c>
      <c r="E28" s="695">
        <f t="shared" si="7"/>
        <v>0</v>
      </c>
      <c r="F28" s="692">
        <f>F29</f>
        <v>43</v>
      </c>
      <c r="G28" s="695">
        <f t="shared" si="6"/>
        <v>0</v>
      </c>
      <c r="H28" s="751">
        <f>H29</f>
        <v>-12</v>
      </c>
      <c r="I28" s="752">
        <f t="shared" si="8"/>
        <v>-27.91</v>
      </c>
      <c r="K28" s="745">
        <f t="shared" si="2"/>
        <v>2.0000000000000001E-4</v>
      </c>
      <c r="L28" s="745">
        <f t="shared" si="3"/>
        <v>1E-4</v>
      </c>
      <c r="M28" s="745">
        <f t="shared" si="4"/>
        <v>2.0000000000000001E-4</v>
      </c>
    </row>
    <row r="29" spans="1:13" s="10" customFormat="1" ht="18.75" customHeight="1">
      <c r="A29" s="696">
        <v>60</v>
      </c>
      <c r="B29" s="412">
        <f t="shared" si="5"/>
        <v>0</v>
      </c>
      <c r="C29" s="698" t="s">
        <v>501</v>
      </c>
      <c r="D29" s="702">
        <v>31</v>
      </c>
      <c r="E29" s="412">
        <f t="shared" si="7"/>
        <v>0</v>
      </c>
      <c r="F29" s="702">
        <v>43</v>
      </c>
      <c r="G29" s="412">
        <f t="shared" si="6"/>
        <v>0</v>
      </c>
      <c r="H29" s="753">
        <f>D29-F29</f>
        <v>-12</v>
      </c>
      <c r="I29" s="355">
        <f t="shared" si="8"/>
        <v>-27.91</v>
      </c>
      <c r="K29" s="747">
        <f t="shared" si="2"/>
        <v>2.0000000000000001E-4</v>
      </c>
      <c r="L29" s="747">
        <f t="shared" si="3"/>
        <v>1E-4</v>
      </c>
      <c r="M29" s="747">
        <f t="shared" si="4"/>
        <v>2.0000000000000001E-4</v>
      </c>
    </row>
    <row r="30" spans="1:13" s="31" customFormat="1" ht="21.75" customHeight="1">
      <c r="A30" s="344">
        <v>7348</v>
      </c>
      <c r="B30" s="690">
        <f t="shared" si="5"/>
        <v>0.03</v>
      </c>
      <c r="C30" s="691" t="s">
        <v>502</v>
      </c>
      <c r="D30" s="692">
        <f>SUM(D31:D32)</f>
        <v>5814</v>
      </c>
      <c r="E30" s="746">
        <f t="shared" si="7"/>
        <v>0.02</v>
      </c>
      <c r="F30" s="692">
        <f>SUM(F31:F32)</f>
        <v>5511</v>
      </c>
      <c r="G30" s="746">
        <f t="shared" si="6"/>
        <v>0.02</v>
      </c>
      <c r="H30" s="754">
        <f>+D30-F30</f>
        <v>303</v>
      </c>
      <c r="I30" s="360">
        <f t="shared" si="8"/>
        <v>5.5</v>
      </c>
      <c r="K30" s="745">
        <f t="shared" si="2"/>
        <v>2.7799999999999998E-2</v>
      </c>
      <c r="L30" s="745">
        <f t="shared" si="3"/>
        <v>2.1700000000000001E-2</v>
      </c>
      <c r="M30" s="745">
        <f t="shared" si="4"/>
        <v>2.1499999999999998E-2</v>
      </c>
    </row>
    <row r="31" spans="1:13" s="10" customFormat="1" ht="27" customHeight="1">
      <c r="A31" s="696">
        <v>7236</v>
      </c>
      <c r="B31" s="697">
        <f t="shared" si="5"/>
        <v>0.03</v>
      </c>
      <c r="C31" s="698" t="s">
        <v>504</v>
      </c>
      <c r="D31" s="702">
        <v>5727</v>
      </c>
      <c r="E31" s="748">
        <f t="shared" si="7"/>
        <v>0.02</v>
      </c>
      <c r="F31" s="702">
        <v>5421</v>
      </c>
      <c r="G31" s="748">
        <f t="shared" si="6"/>
        <v>0.02</v>
      </c>
      <c r="H31" s="717">
        <f>D31-F31</f>
        <v>306</v>
      </c>
      <c r="I31" s="353">
        <f t="shared" si="8"/>
        <v>5.64</v>
      </c>
      <c r="K31" s="747">
        <f t="shared" si="2"/>
        <v>2.7400000000000001E-2</v>
      </c>
      <c r="L31" s="747">
        <f t="shared" si="3"/>
        <v>2.1399999999999999E-2</v>
      </c>
      <c r="M31" s="747">
        <f t="shared" si="4"/>
        <v>2.12E-2</v>
      </c>
    </row>
    <row r="32" spans="1:13" s="10" customFormat="1" ht="18.600000000000001" customHeight="1" thickBot="1">
      <c r="A32" s="707">
        <v>113</v>
      </c>
      <c r="B32" s="755">
        <f t="shared" si="5"/>
        <v>0</v>
      </c>
      <c r="C32" s="709" t="s">
        <v>505</v>
      </c>
      <c r="D32" s="710">
        <v>87</v>
      </c>
      <c r="E32" s="439">
        <f t="shared" si="7"/>
        <v>0</v>
      </c>
      <c r="F32" s="710">
        <v>90</v>
      </c>
      <c r="G32" s="439">
        <f t="shared" si="6"/>
        <v>0</v>
      </c>
      <c r="H32" s="756">
        <f>D32-F32</f>
        <v>-3</v>
      </c>
      <c r="I32" s="379">
        <f t="shared" si="8"/>
        <v>-3.33</v>
      </c>
      <c r="K32" s="747">
        <f t="shared" si="2"/>
        <v>4.0000000000000002E-4</v>
      </c>
      <c r="L32" s="747">
        <f t="shared" si="3"/>
        <v>2.9999999999999997E-4</v>
      </c>
      <c r="M32" s="747">
        <f t="shared" si="4"/>
        <v>4.0000000000000002E-4</v>
      </c>
    </row>
    <row r="33" spans="1:13" s="31" customFormat="1" ht="30" customHeight="1">
      <c r="A33" s="346">
        <v>11</v>
      </c>
      <c r="B33" s="695">
        <f t="shared" si="5"/>
        <v>0</v>
      </c>
      <c r="C33" s="691" t="s">
        <v>35</v>
      </c>
      <c r="D33" s="363">
        <f t="shared" ref="D33:F34" si="9">D34</f>
        <v>30</v>
      </c>
      <c r="E33" s="695">
        <f t="shared" si="7"/>
        <v>0</v>
      </c>
      <c r="F33" s="363">
        <f t="shared" si="9"/>
        <v>30</v>
      </c>
      <c r="G33" s="695">
        <f t="shared" si="6"/>
        <v>0</v>
      </c>
      <c r="H33" s="704">
        <f>D33-F33</f>
        <v>0</v>
      </c>
      <c r="I33" s="350">
        <f t="shared" si="8"/>
        <v>0</v>
      </c>
      <c r="K33" s="745">
        <f t="shared" si="2"/>
        <v>0</v>
      </c>
      <c r="L33" s="745">
        <f t="shared" si="3"/>
        <v>1E-4</v>
      </c>
      <c r="M33" s="745">
        <f t="shared" si="4"/>
        <v>1E-4</v>
      </c>
    </row>
    <row r="34" spans="1:13" s="31" customFormat="1" ht="30" customHeight="1">
      <c r="A34" s="344">
        <v>11</v>
      </c>
      <c r="B34" s="695">
        <f t="shared" si="5"/>
        <v>0</v>
      </c>
      <c r="C34" s="691" t="s">
        <v>507</v>
      </c>
      <c r="D34" s="692">
        <f t="shared" si="9"/>
        <v>30</v>
      </c>
      <c r="E34" s="695">
        <f t="shared" si="7"/>
        <v>0</v>
      </c>
      <c r="F34" s="692">
        <f t="shared" si="9"/>
        <v>30</v>
      </c>
      <c r="G34" s="695">
        <f t="shared" si="6"/>
        <v>0</v>
      </c>
      <c r="H34" s="704">
        <f>+D34-F34</f>
        <v>0</v>
      </c>
      <c r="I34" s="350">
        <f t="shared" si="8"/>
        <v>0</v>
      </c>
      <c r="K34" s="745">
        <f t="shared" si="2"/>
        <v>0</v>
      </c>
      <c r="L34" s="745">
        <f t="shared" si="3"/>
        <v>1E-4</v>
      </c>
      <c r="M34" s="745">
        <f t="shared" si="4"/>
        <v>1E-4</v>
      </c>
    </row>
    <row r="35" spans="1:13" s="10" customFormat="1" ht="30" customHeight="1">
      <c r="A35" s="696">
        <v>11</v>
      </c>
      <c r="B35" s="412">
        <f t="shared" si="5"/>
        <v>0</v>
      </c>
      <c r="C35" s="698" t="s">
        <v>508</v>
      </c>
      <c r="D35" s="702">
        <v>30</v>
      </c>
      <c r="E35" s="412">
        <f t="shared" si="7"/>
        <v>0</v>
      </c>
      <c r="F35" s="702">
        <v>30</v>
      </c>
      <c r="G35" s="412">
        <f t="shared" si="6"/>
        <v>0</v>
      </c>
      <c r="H35" s="717">
        <f>D35-F35</f>
        <v>0</v>
      </c>
      <c r="I35" s="353">
        <f t="shared" si="8"/>
        <v>0</v>
      </c>
      <c r="K35" s="747">
        <f t="shared" si="2"/>
        <v>0</v>
      </c>
      <c r="L35" s="747">
        <f t="shared" si="3"/>
        <v>1E-4</v>
      </c>
      <c r="M35" s="747">
        <f t="shared" si="4"/>
        <v>1E-4</v>
      </c>
    </row>
    <row r="36" spans="1:13" s="31" customFormat="1" ht="30" customHeight="1">
      <c r="A36" s="346">
        <v>7397</v>
      </c>
      <c r="B36" s="690">
        <f t="shared" si="5"/>
        <v>0.03</v>
      </c>
      <c r="C36" s="691" t="s">
        <v>509</v>
      </c>
      <c r="D36" s="359">
        <f>+D27-D33</f>
        <v>5815</v>
      </c>
      <c r="E36" s="746">
        <f t="shared" si="7"/>
        <v>0.02</v>
      </c>
      <c r="F36" s="359">
        <f>+F27-F33</f>
        <v>5524</v>
      </c>
      <c r="G36" s="746">
        <f t="shared" si="6"/>
        <v>0.02</v>
      </c>
      <c r="H36" s="359">
        <f>D36-F36</f>
        <v>291</v>
      </c>
      <c r="I36" s="360">
        <f t="shared" si="8"/>
        <v>5.27</v>
      </c>
      <c r="K36" s="745">
        <f t="shared" si="2"/>
        <v>2.8000000000000001E-2</v>
      </c>
      <c r="L36" s="745">
        <f t="shared" si="3"/>
        <v>2.1700000000000001E-2</v>
      </c>
      <c r="M36" s="745">
        <f t="shared" si="4"/>
        <v>2.1600000000000001E-2</v>
      </c>
    </row>
    <row r="37" spans="1:13" s="31" customFormat="1" ht="30" customHeight="1">
      <c r="A37" s="726">
        <f>A26+A36</f>
        <v>0</v>
      </c>
      <c r="B37" s="695">
        <f t="shared" si="5"/>
        <v>0</v>
      </c>
      <c r="C37" s="691" t="s">
        <v>20</v>
      </c>
      <c r="D37" s="727">
        <f>+D26+D36</f>
        <v>0</v>
      </c>
      <c r="E37" s="695">
        <f t="shared" si="7"/>
        <v>0</v>
      </c>
      <c r="F37" s="727">
        <f>+F26+F36</f>
        <v>0</v>
      </c>
      <c r="G37" s="695">
        <f t="shared" si="6"/>
        <v>0</v>
      </c>
      <c r="H37" s="727">
        <f>D37-F37</f>
        <v>0</v>
      </c>
      <c r="I37" s="715">
        <v>0</v>
      </c>
      <c r="K37" s="745">
        <f t="shared" si="2"/>
        <v>0</v>
      </c>
      <c r="L37" s="745">
        <f t="shared" si="3"/>
        <v>0</v>
      </c>
      <c r="M37" s="745">
        <f t="shared" si="4"/>
        <v>0</v>
      </c>
    </row>
    <row r="38" spans="1:13" s="31" customFormat="1" ht="30" customHeight="1">
      <c r="A38" s="726"/>
      <c r="B38" s="704"/>
      <c r="C38" s="691"/>
      <c r="D38" s="727"/>
      <c r="E38" s="727"/>
      <c r="F38" s="727"/>
      <c r="G38" s="727"/>
      <c r="H38" s="727"/>
      <c r="I38" s="715"/>
      <c r="K38" s="745"/>
      <c r="L38" s="745"/>
      <c r="M38" s="745"/>
    </row>
    <row r="39" spans="1:13" s="31" customFormat="1" ht="30" customHeight="1">
      <c r="A39" s="726"/>
      <c r="B39" s="704"/>
      <c r="C39" s="691"/>
      <c r="D39" s="727"/>
      <c r="E39" s="727"/>
      <c r="F39" s="727"/>
      <c r="G39" s="727"/>
      <c r="H39" s="727"/>
      <c r="I39" s="715"/>
      <c r="K39" s="745"/>
      <c r="L39" s="745"/>
      <c r="M39" s="745"/>
    </row>
    <row r="40" spans="1:13" s="31" customFormat="1" ht="30" customHeight="1">
      <c r="A40" s="726"/>
      <c r="B40" s="704"/>
      <c r="C40" s="691"/>
      <c r="D40" s="727"/>
      <c r="E40" s="727"/>
      <c r="F40" s="727"/>
      <c r="G40" s="727"/>
      <c r="H40" s="727"/>
      <c r="I40" s="715"/>
      <c r="K40" s="745"/>
      <c r="L40" s="745"/>
      <c r="M40" s="745"/>
    </row>
    <row r="41" spans="1:13" s="31" customFormat="1" ht="30" customHeight="1">
      <c r="A41" s="726"/>
      <c r="B41" s="704"/>
      <c r="C41" s="691"/>
      <c r="D41" s="727"/>
      <c r="E41" s="727"/>
      <c r="F41" s="727"/>
      <c r="G41" s="727"/>
      <c r="H41" s="727"/>
      <c r="I41" s="715"/>
      <c r="K41" s="745"/>
      <c r="L41" s="745"/>
      <c r="M41" s="745"/>
    </row>
    <row r="42" spans="1:13" s="31" customFormat="1" ht="30" customHeight="1">
      <c r="A42" s="726"/>
      <c r="B42" s="704"/>
      <c r="C42" s="691"/>
      <c r="D42" s="727"/>
      <c r="E42" s="727"/>
      <c r="F42" s="727"/>
      <c r="G42" s="727"/>
      <c r="H42" s="727"/>
      <c r="I42" s="715"/>
      <c r="K42" s="745"/>
      <c r="L42" s="745"/>
      <c r="M42" s="745"/>
    </row>
    <row r="43" spans="1:13" s="31" customFormat="1" ht="30" customHeight="1">
      <c r="A43" s="726"/>
      <c r="B43" s="704"/>
      <c r="C43" s="691"/>
      <c r="D43" s="727"/>
      <c r="E43" s="727"/>
      <c r="F43" s="727"/>
      <c r="G43" s="727"/>
      <c r="H43" s="727"/>
      <c r="I43" s="715"/>
      <c r="K43" s="745"/>
      <c r="L43" s="745"/>
      <c r="M43" s="745"/>
    </row>
    <row r="44" spans="1:13" s="31" customFormat="1" ht="30" customHeight="1">
      <c r="A44" s="726"/>
      <c r="B44" s="704"/>
      <c r="C44" s="691"/>
      <c r="D44" s="727"/>
      <c r="E44" s="727"/>
      <c r="F44" s="727"/>
      <c r="G44" s="727"/>
      <c r="H44" s="727"/>
      <c r="I44" s="715"/>
      <c r="K44" s="745"/>
      <c r="L44" s="745"/>
      <c r="M44" s="745"/>
    </row>
    <row r="45" spans="1:13" s="31" customFormat="1" ht="30" customHeight="1">
      <c r="A45" s="726"/>
      <c r="B45" s="704"/>
      <c r="C45" s="691"/>
      <c r="D45" s="727"/>
      <c r="E45" s="727"/>
      <c r="F45" s="727"/>
      <c r="G45" s="727"/>
      <c r="H45" s="727"/>
      <c r="I45" s="715"/>
      <c r="K45" s="745"/>
      <c r="L45" s="745"/>
      <c r="M45" s="745"/>
    </row>
    <row r="46" spans="1:13" s="31" customFormat="1" ht="30" customHeight="1">
      <c r="A46" s="726"/>
      <c r="B46" s="704"/>
      <c r="C46" s="691"/>
      <c r="D46" s="727"/>
      <c r="E46" s="727"/>
      <c r="F46" s="727"/>
      <c r="G46" s="727"/>
      <c r="H46" s="727"/>
      <c r="I46" s="715"/>
      <c r="K46" s="745"/>
      <c r="L46" s="745"/>
      <c r="M46" s="745"/>
    </row>
    <row r="47" spans="1:13" s="31" customFormat="1" ht="30" customHeight="1">
      <c r="A47" s="726"/>
      <c r="B47" s="704"/>
      <c r="C47" s="691"/>
      <c r="D47" s="727"/>
      <c r="E47" s="727"/>
      <c r="F47" s="727"/>
      <c r="G47" s="727"/>
      <c r="H47" s="727"/>
      <c r="I47" s="715"/>
      <c r="K47" s="745"/>
      <c r="L47" s="745"/>
      <c r="M47" s="745"/>
    </row>
    <row r="48" spans="1:13" s="31" customFormat="1" ht="30" customHeight="1">
      <c r="A48" s="726"/>
      <c r="B48" s="704"/>
      <c r="C48" s="691"/>
      <c r="D48" s="727"/>
      <c r="E48" s="727"/>
      <c r="F48" s="727"/>
      <c r="G48" s="727"/>
      <c r="H48" s="727"/>
      <c r="I48" s="715"/>
      <c r="K48" s="745"/>
      <c r="L48" s="745"/>
      <c r="M48" s="745"/>
    </row>
    <row r="49" spans="1:13" s="31" customFormat="1" ht="25.8" customHeight="1">
      <c r="A49" s="726"/>
      <c r="B49" s="704"/>
      <c r="C49" s="691"/>
      <c r="D49" s="727"/>
      <c r="E49" s="727"/>
      <c r="F49" s="727"/>
      <c r="G49" s="727"/>
      <c r="H49" s="727"/>
      <c r="I49" s="715"/>
      <c r="K49" s="745"/>
      <c r="L49" s="745"/>
      <c r="M49" s="745"/>
    </row>
    <row r="50" spans="1:13" s="31" customFormat="1" ht="26.4" customHeight="1">
      <c r="A50" s="726"/>
      <c r="B50" s="704"/>
      <c r="C50" s="691"/>
      <c r="D50" s="727"/>
      <c r="E50" s="727"/>
      <c r="F50" s="727"/>
      <c r="G50" s="727"/>
      <c r="H50" s="727"/>
      <c r="I50" s="715"/>
      <c r="K50" s="745"/>
      <c r="L50" s="745"/>
      <c r="M50" s="745"/>
    </row>
    <row r="51" spans="1:13" s="33" customFormat="1" ht="18" customHeight="1">
      <c r="A51" s="726"/>
      <c r="B51" s="727"/>
      <c r="C51" s="691"/>
      <c r="D51" s="727"/>
      <c r="E51" s="704"/>
      <c r="F51" s="727"/>
      <c r="G51" s="704"/>
      <c r="H51" s="727"/>
      <c r="I51" s="715"/>
      <c r="K51" s="694"/>
      <c r="L51" s="694"/>
      <c r="M51" s="694"/>
    </row>
    <row r="52" spans="1:13" s="10" customFormat="1" ht="45.75" customHeight="1" thickBot="1">
      <c r="A52" s="347"/>
      <c r="B52" s="728"/>
      <c r="C52" s="729"/>
      <c r="D52" s="730"/>
      <c r="E52" s="728"/>
      <c r="F52" s="730"/>
      <c r="G52" s="731"/>
      <c r="H52" s="364"/>
      <c r="I52" s="732"/>
      <c r="K52" s="733"/>
      <c r="L52" s="733"/>
      <c r="M52" s="733"/>
    </row>
    <row r="53" spans="1:13" ht="34.200000000000003" customHeight="1">
      <c r="A53" s="809" t="s">
        <v>1140</v>
      </c>
      <c r="B53" s="809"/>
      <c r="C53" s="809"/>
      <c r="D53" s="809"/>
      <c r="E53" s="809"/>
      <c r="F53" s="809"/>
      <c r="G53" s="809"/>
      <c r="H53" s="809"/>
      <c r="I53" s="809"/>
    </row>
    <row r="54" spans="1:13" ht="15.6">
      <c r="A54" s="757"/>
      <c r="B54" s="758"/>
      <c r="C54" s="759"/>
      <c r="D54" s="758"/>
      <c r="E54" s="760"/>
      <c r="F54" s="758"/>
      <c r="G54" s="758"/>
      <c r="H54" s="758"/>
      <c r="I54" s="758"/>
    </row>
    <row r="55" spans="1:13" ht="15.6">
      <c r="C55" s="761"/>
    </row>
    <row r="56" spans="1:13" ht="15.6">
      <c r="C56" s="761"/>
    </row>
    <row r="57" spans="1:13" ht="15.6">
      <c r="C57" s="761"/>
    </row>
    <row r="58" spans="1:13" ht="15.6">
      <c r="C58" s="761"/>
    </row>
    <row r="59" spans="1:13" ht="15.6">
      <c r="C59" s="761"/>
    </row>
    <row r="60" spans="1:13" ht="15.6">
      <c r="C60" s="761"/>
    </row>
    <row r="61" spans="1:13" ht="15.6">
      <c r="C61" s="761"/>
    </row>
    <row r="62" spans="1:13" ht="15.6">
      <c r="C62" s="761"/>
    </row>
  </sheetData>
  <mergeCells count="10">
    <mergeCell ref="A53:I53"/>
    <mergeCell ref="A1:I1"/>
    <mergeCell ref="A2:I2"/>
    <mergeCell ref="A3:I3"/>
    <mergeCell ref="A4:I4"/>
    <mergeCell ref="A5:B5"/>
    <mergeCell ref="C5:C6"/>
    <mergeCell ref="D5:E5"/>
    <mergeCell ref="F5:G5"/>
    <mergeCell ref="H5:I5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orientation="portrait" useFirstPageNumber="1" r:id="rId1"/>
  <headerFooter alignWithMargins="0">
    <oddFooter>&amp;C&amp;"細明體,標準"附&amp;"Times New Roman,標準"2-&amp;P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opLeftCell="A13" workbookViewId="0">
      <selection activeCell="C17" sqref="C17"/>
    </sheetView>
  </sheetViews>
  <sheetFormatPr defaultColWidth="9" defaultRowHeight="15.6"/>
  <cols>
    <col min="1" max="1" width="42.77734375" style="6" bestFit="1" customWidth="1"/>
    <col min="2" max="2" width="15.88671875" style="6" customWidth="1"/>
    <col min="3" max="3" width="15.44140625" style="6" bestFit="1" customWidth="1"/>
    <col min="4" max="4" width="10.44140625" style="6" bestFit="1" customWidth="1"/>
    <col min="5" max="5" width="5.6640625" style="6" customWidth="1"/>
    <col min="6" max="6" width="39" style="6" customWidth="1"/>
    <col min="7" max="7" width="9" style="6"/>
    <col min="8" max="8" width="26.33203125" style="6" customWidth="1"/>
    <col min="9" max="9" width="19.88671875" style="6" customWidth="1"/>
    <col min="10" max="16384" width="9" style="6"/>
  </cols>
  <sheetData>
    <row r="1" spans="1:8" s="2" customFormat="1" ht="22.2">
      <c r="A1" s="798" t="s">
        <v>995</v>
      </c>
      <c r="B1" s="798"/>
      <c r="C1" s="798"/>
      <c r="D1" s="798"/>
      <c r="E1" s="798"/>
      <c r="F1" s="1"/>
      <c r="G1" s="1"/>
      <c r="H1" s="1"/>
    </row>
    <row r="2" spans="1:8" s="2" customFormat="1" ht="22.2">
      <c r="A2" s="798" t="s">
        <v>996</v>
      </c>
      <c r="B2" s="798"/>
      <c r="C2" s="798"/>
      <c r="D2" s="798"/>
      <c r="E2" s="798"/>
      <c r="F2" s="1"/>
      <c r="G2" s="1"/>
      <c r="H2" s="1"/>
    </row>
    <row r="3" spans="1:8" s="2" customFormat="1" ht="24.75" customHeight="1">
      <c r="A3" s="800" t="s">
        <v>997</v>
      </c>
      <c r="B3" s="800"/>
      <c r="C3" s="800"/>
      <c r="D3" s="800"/>
      <c r="E3" s="800"/>
      <c r="F3" s="3"/>
      <c r="G3" s="3"/>
      <c r="H3" s="3"/>
    </row>
    <row r="4" spans="1:8" s="2" customFormat="1" ht="24.9" customHeight="1" thickBot="1">
      <c r="A4" s="815" t="s">
        <v>998</v>
      </c>
      <c r="B4" s="815"/>
      <c r="C4" s="815"/>
      <c r="D4" s="815"/>
      <c r="E4" s="815"/>
      <c r="F4" s="4"/>
      <c r="G4" s="4"/>
      <c r="H4" s="4"/>
    </row>
    <row r="5" spans="1:8" ht="15.75" customHeight="1">
      <c r="A5" s="830" t="s">
        <v>999</v>
      </c>
      <c r="B5" s="833" t="s">
        <v>1000</v>
      </c>
      <c r="C5" s="836" t="s">
        <v>114</v>
      </c>
      <c r="D5" s="837"/>
      <c r="E5" s="838"/>
      <c r="F5" s="4"/>
      <c r="G5" s="4"/>
      <c r="H5" s="4"/>
    </row>
    <row r="6" spans="1:8" ht="15.75" customHeight="1">
      <c r="A6" s="831"/>
      <c r="B6" s="834"/>
      <c r="C6" s="839"/>
      <c r="D6" s="840"/>
      <c r="E6" s="841"/>
      <c r="F6" s="4"/>
      <c r="G6" s="4"/>
      <c r="H6" s="4"/>
    </row>
    <row r="7" spans="1:8" ht="15.75" customHeight="1">
      <c r="A7" s="832"/>
      <c r="B7" s="835"/>
      <c r="C7" s="842"/>
      <c r="D7" s="843"/>
      <c r="E7" s="844"/>
    </row>
    <row r="8" spans="1:8" ht="8.25" customHeight="1">
      <c r="A8" s="668"/>
      <c r="B8" s="669"/>
      <c r="C8" s="86"/>
      <c r="D8" s="143"/>
      <c r="E8" s="89"/>
    </row>
    <row r="9" spans="1:8" s="10" customFormat="1" ht="30" customHeight="1">
      <c r="A9" s="420" t="s">
        <v>115</v>
      </c>
      <c r="B9" s="145"/>
      <c r="C9" s="146"/>
      <c r="D9" s="147"/>
      <c r="E9" s="148"/>
    </row>
    <row r="10" spans="1:8" s="31" customFormat="1" ht="30" customHeight="1">
      <c r="A10" s="69" t="s">
        <v>1001</v>
      </c>
      <c r="B10" s="68" t="s">
        <v>11</v>
      </c>
      <c r="C10" s="150"/>
      <c r="D10" s="151"/>
      <c r="E10" s="148"/>
    </row>
    <row r="11" spans="1:8" s="31" customFormat="1" ht="30" customHeight="1">
      <c r="A11" s="69" t="s">
        <v>1002</v>
      </c>
      <c r="B11" s="152">
        <f>D11+D13+D14+D15+D12</f>
        <v>5664721</v>
      </c>
      <c r="C11" s="672" t="s">
        <v>1003</v>
      </c>
      <c r="D11" s="667">
        <v>28622</v>
      </c>
      <c r="E11" s="673" t="s">
        <v>1004</v>
      </c>
      <c r="F11" s="36"/>
    </row>
    <row r="12" spans="1:8" s="31" customFormat="1" ht="30" customHeight="1">
      <c r="A12" s="69"/>
      <c r="B12" s="152"/>
      <c r="C12" s="672" t="s">
        <v>1005</v>
      </c>
      <c r="D12" s="667">
        <v>1140</v>
      </c>
      <c r="E12" s="673" t="s">
        <v>1004</v>
      </c>
      <c r="F12" s="36"/>
    </row>
    <row r="13" spans="1:8" s="10" customFormat="1" ht="30" customHeight="1">
      <c r="A13" s="69"/>
      <c r="B13" s="152"/>
      <c r="C13" s="672" t="s">
        <v>1006</v>
      </c>
      <c r="D13" s="667">
        <v>5608395</v>
      </c>
      <c r="E13" s="673" t="s">
        <v>1004</v>
      </c>
    </row>
    <row r="14" spans="1:8" s="31" customFormat="1" ht="30" customHeight="1">
      <c r="A14" s="69" t="s">
        <v>1007</v>
      </c>
      <c r="B14" s="32"/>
      <c r="C14" s="672" t="s">
        <v>1008</v>
      </c>
      <c r="D14" s="423">
        <v>26358</v>
      </c>
      <c r="E14" s="673" t="s">
        <v>1004</v>
      </c>
      <c r="F14" s="37"/>
      <c r="H14" s="11"/>
    </row>
    <row r="15" spans="1:8" s="10" customFormat="1" ht="30" customHeight="1">
      <c r="A15" s="69" t="s">
        <v>1007</v>
      </c>
      <c r="B15" s="32"/>
      <c r="C15" s="672" t="s">
        <v>1009</v>
      </c>
      <c r="D15" s="423">
        <v>206</v>
      </c>
      <c r="E15" s="673" t="s">
        <v>1004</v>
      </c>
    </row>
    <row r="16" spans="1:8" s="10" customFormat="1" ht="27" customHeight="1">
      <c r="A16" s="420" t="s">
        <v>1010</v>
      </c>
      <c r="B16" s="28">
        <f>B11</f>
        <v>5664721</v>
      </c>
      <c r="C16" s="422"/>
      <c r="D16" s="423"/>
      <c r="E16" s="673"/>
    </row>
    <row r="17" spans="1:5" s="10" customFormat="1" ht="30" customHeight="1">
      <c r="A17" s="420" t="s">
        <v>1011</v>
      </c>
      <c r="B17" s="28"/>
      <c r="C17" s="424"/>
      <c r="D17" s="425"/>
      <c r="E17" s="426"/>
    </row>
    <row r="18" spans="1:5" s="10" customFormat="1" ht="30" customHeight="1">
      <c r="A18" s="69" t="s">
        <v>1012</v>
      </c>
      <c r="B18" s="32">
        <v>-328495</v>
      </c>
      <c r="C18" s="827" t="s">
        <v>1013</v>
      </c>
      <c r="D18" s="828"/>
      <c r="E18" s="829"/>
    </row>
    <row r="19" spans="1:5" s="10" customFormat="1" ht="30" customHeight="1">
      <c r="A19" s="69" t="s">
        <v>1014</v>
      </c>
      <c r="B19" s="32">
        <v>-5076837</v>
      </c>
      <c r="C19" s="827" t="s">
        <v>1015</v>
      </c>
      <c r="D19" s="828"/>
      <c r="E19" s="829"/>
    </row>
    <row r="20" spans="1:5" s="10" customFormat="1" ht="30" hidden="1" customHeight="1">
      <c r="A20" s="69" t="s">
        <v>1016</v>
      </c>
      <c r="B20" s="32">
        <v>0</v>
      </c>
      <c r="C20" s="827" t="s">
        <v>1017</v>
      </c>
      <c r="D20" s="828"/>
      <c r="E20" s="829"/>
    </row>
    <row r="21" spans="1:5" s="10" customFormat="1" ht="27.6" customHeight="1">
      <c r="A21" s="420" t="s">
        <v>1018</v>
      </c>
      <c r="B21" s="28">
        <f>SUM(B18:B20)</f>
        <v>-5405332</v>
      </c>
      <c r="C21" s="422"/>
      <c r="D21" s="423"/>
      <c r="E21" s="426"/>
    </row>
    <row r="22" spans="1:5" s="10" customFormat="1" ht="27" customHeight="1">
      <c r="A22" s="420" t="s">
        <v>132</v>
      </c>
      <c r="B22" s="153"/>
      <c r="C22" s="427"/>
      <c r="D22" s="428"/>
      <c r="E22" s="426"/>
    </row>
    <row r="23" spans="1:5" s="743" customFormat="1" ht="45" customHeight="1">
      <c r="A23" s="69" t="s">
        <v>1019</v>
      </c>
      <c r="B23" s="32">
        <v>-17</v>
      </c>
      <c r="C23" s="827" t="s">
        <v>1020</v>
      </c>
      <c r="D23" s="828"/>
      <c r="E23" s="829"/>
    </row>
    <row r="24" spans="1:5" s="10" customFormat="1" ht="30" customHeight="1">
      <c r="A24" s="420" t="s">
        <v>1021</v>
      </c>
      <c r="B24" s="28">
        <f>SUM(B23:B23)</f>
        <v>-17</v>
      </c>
      <c r="C24" s="429"/>
      <c r="D24" s="430"/>
      <c r="E24" s="431"/>
    </row>
    <row r="25" spans="1:5" s="10" customFormat="1" ht="30" customHeight="1">
      <c r="A25" s="420" t="s">
        <v>134</v>
      </c>
      <c r="B25" s="78">
        <f>B16+B21+B24</f>
        <v>259372</v>
      </c>
      <c r="C25" s="432"/>
      <c r="D25" s="433"/>
      <c r="E25" s="434"/>
    </row>
    <row r="26" spans="1:5" s="10" customFormat="1" ht="30" customHeight="1">
      <c r="A26" s="420" t="s">
        <v>135</v>
      </c>
      <c r="B26" s="78">
        <v>40513969</v>
      </c>
      <c r="C26" s="432"/>
      <c r="D26" s="433"/>
      <c r="E26" s="434"/>
    </row>
    <row r="27" spans="1:5" s="10" customFormat="1" ht="104.4" customHeight="1" thickBot="1">
      <c r="A27" s="435" t="s">
        <v>136</v>
      </c>
      <c r="B27" s="154">
        <f>B25+B26</f>
        <v>40773341</v>
      </c>
      <c r="C27" s="436"/>
      <c r="D27" s="437"/>
      <c r="E27" s="438"/>
    </row>
  </sheetData>
  <mergeCells count="11">
    <mergeCell ref="C18:E18"/>
    <mergeCell ref="C19:E19"/>
    <mergeCell ref="C20:E20"/>
    <mergeCell ref="C23:E23"/>
    <mergeCell ref="A1:E1"/>
    <mergeCell ref="A2:E2"/>
    <mergeCell ref="A3:E3"/>
    <mergeCell ref="A4:E4"/>
    <mergeCell ref="A5:A7"/>
    <mergeCell ref="B5:B7"/>
    <mergeCell ref="C5:E7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3" orientation="portrait" useFirstPageNumber="1" r:id="rId1"/>
  <headerFooter alignWithMargins="0">
    <oddFooter>&amp;C&amp;"細明體,標準"附&amp;"Times New Roman,標準"2-&amp;P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view="pageBreakPreview" zoomScaleNormal="100" zoomScaleSheetLayoutView="100" workbookViewId="0">
      <selection activeCell="C15" sqref="C15"/>
    </sheetView>
  </sheetViews>
  <sheetFormatPr defaultColWidth="9" defaultRowHeight="16.2"/>
  <cols>
    <col min="1" max="1" width="14.44140625" style="6" customWidth="1"/>
    <col min="2" max="2" width="31.88671875" style="568" customWidth="1"/>
    <col min="3" max="3" width="15.44140625" style="6" customWidth="1"/>
    <col min="4" max="4" width="15.21875" style="20" customWidth="1"/>
    <col min="5" max="5" width="13.109375" style="6" customWidth="1"/>
    <col min="6" max="6" width="11.6640625" style="6" bestFit="1" customWidth="1"/>
    <col min="7" max="7" width="13.5546875" style="6" bestFit="1" customWidth="1"/>
    <col min="8" max="16384" width="9" style="6"/>
  </cols>
  <sheetData>
    <row r="1" spans="1:7" ht="22.2">
      <c r="A1" s="798" t="s">
        <v>995</v>
      </c>
      <c r="B1" s="798"/>
      <c r="C1" s="798"/>
      <c r="D1" s="798"/>
      <c r="E1" s="798"/>
    </row>
    <row r="2" spans="1:7" ht="22.2">
      <c r="A2" s="798" t="s">
        <v>996</v>
      </c>
      <c r="B2" s="798"/>
      <c r="C2" s="798"/>
      <c r="D2" s="798"/>
      <c r="E2" s="798"/>
    </row>
    <row r="3" spans="1:7" ht="24.75" customHeight="1">
      <c r="A3" s="800" t="s">
        <v>1022</v>
      </c>
      <c r="B3" s="800"/>
      <c r="C3" s="800"/>
      <c r="D3" s="800"/>
      <c r="E3" s="800"/>
    </row>
    <row r="4" spans="1:7" ht="24.75" customHeight="1" thickBot="1">
      <c r="A4" s="815" t="s">
        <v>1023</v>
      </c>
      <c r="B4" s="815"/>
      <c r="C4" s="815"/>
      <c r="D4" s="815"/>
      <c r="E4" s="815"/>
    </row>
    <row r="5" spans="1:7" ht="15.75" customHeight="1">
      <c r="A5" s="891" t="s">
        <v>1024</v>
      </c>
      <c r="B5" s="947" t="s">
        <v>1025</v>
      </c>
      <c r="C5" s="900" t="s">
        <v>1026</v>
      </c>
      <c r="D5" s="900" t="s">
        <v>1027</v>
      </c>
      <c r="E5" s="897" t="s">
        <v>1028</v>
      </c>
    </row>
    <row r="6" spans="1:7" ht="15.75" customHeight="1">
      <c r="A6" s="892"/>
      <c r="B6" s="948"/>
      <c r="C6" s="901"/>
      <c r="D6" s="901"/>
      <c r="E6" s="898"/>
    </row>
    <row r="7" spans="1:7" ht="15.75" customHeight="1">
      <c r="A7" s="893"/>
      <c r="B7" s="949"/>
      <c r="C7" s="902"/>
      <c r="D7" s="902"/>
      <c r="E7" s="899"/>
    </row>
    <row r="8" spans="1:7" ht="8.25" customHeight="1">
      <c r="A8" s="25"/>
      <c r="B8" s="744"/>
      <c r="C8" s="670"/>
      <c r="D8" s="671"/>
      <c r="E8" s="122"/>
    </row>
    <row r="9" spans="1:7" s="31" customFormat="1" ht="25.2" customHeight="1">
      <c r="A9" s="123">
        <v>109176025</v>
      </c>
      <c r="B9" s="124" t="s">
        <v>1029</v>
      </c>
      <c r="C9" s="125">
        <f>C10+C14+C18+C16</f>
        <v>120303137</v>
      </c>
      <c r="D9" s="125">
        <f>D10+D14+D18+D16</f>
        <v>114694553</v>
      </c>
      <c r="E9" s="126">
        <f>E10+E14+E18+E16</f>
        <v>5608584</v>
      </c>
      <c r="G9" s="788"/>
    </row>
    <row r="10" spans="1:7" s="31" customFormat="1" ht="25.2" customHeight="1">
      <c r="A10" s="123">
        <v>75374486</v>
      </c>
      <c r="B10" s="127" t="s">
        <v>1030</v>
      </c>
      <c r="C10" s="125">
        <f>SUM(C11:C13)</f>
        <v>51609243</v>
      </c>
      <c r="D10" s="125">
        <f>SUM(D11:D13)</f>
        <v>51078824</v>
      </c>
      <c r="E10" s="126">
        <f>SUM(E11:E13)</f>
        <v>530419</v>
      </c>
      <c r="G10" s="788"/>
    </row>
    <row r="11" spans="1:7" s="10" customFormat="1" ht="25.2" customHeight="1">
      <c r="A11" s="128">
        <v>63978209</v>
      </c>
      <c r="B11" s="129" t="s">
        <v>1031</v>
      </c>
      <c r="C11" s="130">
        <v>40773341</v>
      </c>
      <c r="D11" s="130">
        <v>40513969</v>
      </c>
      <c r="E11" s="131">
        <f>C11-D11</f>
        <v>259372</v>
      </c>
      <c r="G11" s="788"/>
    </row>
    <row r="12" spans="1:7" s="10" customFormat="1" ht="25.2" customHeight="1">
      <c r="A12" s="128">
        <v>5815253</v>
      </c>
      <c r="B12" s="129" t="s">
        <v>1032</v>
      </c>
      <c r="C12" s="130">
        <v>5626434</v>
      </c>
      <c r="D12" s="130">
        <v>5297939</v>
      </c>
      <c r="E12" s="131">
        <f>C12-D12</f>
        <v>328495</v>
      </c>
      <c r="G12" s="788"/>
    </row>
    <row r="13" spans="1:7" s="10" customFormat="1" ht="25.2" customHeight="1">
      <c r="A13" s="128">
        <v>5581024</v>
      </c>
      <c r="B13" s="129" t="s">
        <v>1033</v>
      </c>
      <c r="C13" s="130">
        <v>5209468</v>
      </c>
      <c r="D13" s="130">
        <v>5266916</v>
      </c>
      <c r="E13" s="131">
        <f>C13-D13</f>
        <v>-57448</v>
      </c>
      <c r="G13" s="788"/>
    </row>
    <row r="14" spans="1:7" s="31" customFormat="1" ht="25.2" customHeight="1">
      <c r="A14" s="123">
        <v>33644143</v>
      </c>
      <c r="B14" s="132" t="s">
        <v>1034</v>
      </c>
      <c r="C14" s="125">
        <f>SUM(C15:C15)</f>
        <v>68527781</v>
      </c>
      <c r="D14" s="125">
        <f>SUM(D15:D15)</f>
        <v>63450944</v>
      </c>
      <c r="E14" s="126">
        <f>SUM(E15:E15)</f>
        <v>5076837</v>
      </c>
      <c r="G14" s="788"/>
    </row>
    <row r="15" spans="1:7" s="10" customFormat="1" ht="25.2" customHeight="1">
      <c r="A15" s="128">
        <v>33644143</v>
      </c>
      <c r="B15" s="129" t="s">
        <v>1035</v>
      </c>
      <c r="C15" s="130">
        <v>68527781</v>
      </c>
      <c r="D15" s="130">
        <v>63450944</v>
      </c>
      <c r="E15" s="131">
        <f>C15-D15</f>
        <v>5076837</v>
      </c>
      <c r="G15" s="788"/>
    </row>
    <row r="16" spans="1:7" s="31" customFormat="1" ht="25.2" customHeight="1">
      <c r="A16" s="139"/>
      <c r="B16" s="127" t="s">
        <v>89</v>
      </c>
      <c r="C16" s="125">
        <f>SUM(C17:C17)</f>
        <v>4465</v>
      </c>
      <c r="D16" s="140">
        <f>SUM(D17:D17)</f>
        <v>5605</v>
      </c>
      <c r="E16" s="126">
        <f>SUM(E17:E17)</f>
        <v>-1140</v>
      </c>
      <c r="G16" s="788"/>
    </row>
    <row r="17" spans="1:7" s="10" customFormat="1" ht="25.2" customHeight="1">
      <c r="A17" s="142"/>
      <c r="B17" s="129" t="s">
        <v>90</v>
      </c>
      <c r="C17" s="130">
        <v>4465</v>
      </c>
      <c r="D17" s="138">
        <v>5605</v>
      </c>
      <c r="E17" s="131">
        <f>C17-D17</f>
        <v>-1140</v>
      </c>
      <c r="G17" s="788"/>
    </row>
    <row r="18" spans="1:7" s="31" customFormat="1" ht="25.2" customHeight="1">
      <c r="A18" s="123">
        <v>157397</v>
      </c>
      <c r="B18" s="127" t="s">
        <v>1036</v>
      </c>
      <c r="C18" s="125">
        <f>SUM(C19:C19)</f>
        <v>161648</v>
      </c>
      <c r="D18" s="125">
        <f>SUM(D19:D19)</f>
        <v>159180</v>
      </c>
      <c r="E18" s="126">
        <f>SUM(E19:E19)</f>
        <v>2468</v>
      </c>
      <c r="G18" s="788"/>
    </row>
    <row r="19" spans="1:7" s="10" customFormat="1" ht="25.2" customHeight="1">
      <c r="A19" s="128">
        <v>157397</v>
      </c>
      <c r="B19" s="129" t="s">
        <v>28</v>
      </c>
      <c r="C19" s="130">
        <v>161648</v>
      </c>
      <c r="D19" s="130">
        <v>159180</v>
      </c>
      <c r="E19" s="131">
        <f>C19-D19</f>
        <v>2468</v>
      </c>
      <c r="G19" s="788"/>
    </row>
    <row r="20" spans="1:7" s="10" customFormat="1" ht="30" hidden="1" customHeight="1">
      <c r="A20" s="128"/>
      <c r="B20" s="129"/>
      <c r="C20" s="130"/>
      <c r="D20" s="130"/>
      <c r="E20" s="131"/>
      <c r="G20" s="788"/>
    </row>
    <row r="21" spans="1:7" s="10" customFormat="1" ht="30" hidden="1" customHeight="1">
      <c r="A21" s="128"/>
      <c r="B21" s="129"/>
      <c r="C21" s="130"/>
      <c r="D21" s="130"/>
      <c r="E21" s="131"/>
      <c r="G21" s="788"/>
    </row>
    <row r="22" spans="1:7" s="10" customFormat="1" ht="30" hidden="1" customHeight="1">
      <c r="A22" s="128"/>
      <c r="B22" s="129"/>
      <c r="C22" s="130"/>
      <c r="D22" s="130"/>
      <c r="E22" s="131"/>
      <c r="G22" s="788"/>
    </row>
    <row r="23" spans="1:7" s="10" customFormat="1" ht="30" hidden="1" customHeight="1">
      <c r="A23" s="128"/>
      <c r="B23" s="129"/>
      <c r="C23" s="130"/>
      <c r="D23" s="130"/>
      <c r="E23" s="131"/>
      <c r="G23" s="788"/>
    </row>
    <row r="24" spans="1:7" s="10" customFormat="1" ht="30" hidden="1" customHeight="1">
      <c r="A24" s="128"/>
      <c r="B24" s="129"/>
      <c r="C24" s="130"/>
      <c r="D24" s="130"/>
      <c r="E24" s="131"/>
      <c r="G24" s="788"/>
    </row>
    <row r="25" spans="1:7" s="10" customFormat="1" ht="30" hidden="1" customHeight="1">
      <c r="A25" s="128"/>
      <c r="B25" s="129"/>
      <c r="C25" s="130"/>
      <c r="D25" s="130"/>
      <c r="E25" s="131"/>
      <c r="G25" s="788"/>
    </row>
    <row r="26" spans="1:7" s="10" customFormat="1" ht="30" hidden="1" customHeight="1">
      <c r="A26" s="128"/>
      <c r="B26" s="129"/>
      <c r="C26" s="130"/>
      <c r="D26" s="130"/>
      <c r="E26" s="131"/>
      <c r="G26" s="788"/>
    </row>
    <row r="27" spans="1:7" s="10" customFormat="1" ht="23.4" hidden="1" customHeight="1">
      <c r="A27" s="128"/>
      <c r="B27" s="129"/>
      <c r="C27" s="130"/>
      <c r="D27" s="130"/>
      <c r="E27" s="131"/>
      <c r="G27" s="788"/>
    </row>
    <row r="28" spans="1:7" s="10" customFormat="1" ht="29.25" hidden="1" customHeight="1">
      <c r="A28" s="128"/>
      <c r="B28" s="129"/>
      <c r="C28" s="130"/>
      <c r="D28" s="130"/>
      <c r="E28" s="131"/>
      <c r="G28" s="788"/>
    </row>
    <row r="29" spans="1:7" s="31" customFormat="1" ht="32.4" customHeight="1">
      <c r="A29" s="123">
        <v>109176</v>
      </c>
      <c r="B29" s="124" t="s">
        <v>59</v>
      </c>
      <c r="C29" s="125">
        <f>C9</f>
        <v>120303137</v>
      </c>
      <c r="D29" s="125">
        <f>D9</f>
        <v>114694553</v>
      </c>
      <c r="E29" s="126">
        <f>E9</f>
        <v>5608584</v>
      </c>
      <c r="G29" s="788"/>
    </row>
    <row r="30" spans="1:7" s="31" customFormat="1" ht="25.2" customHeight="1">
      <c r="A30" s="123">
        <v>109176025</v>
      </c>
      <c r="B30" s="124" t="s">
        <v>24</v>
      </c>
      <c r="C30" s="125">
        <f>C31+C34</f>
        <v>120303137</v>
      </c>
      <c r="D30" s="125">
        <f>D31+D34</f>
        <v>114694553</v>
      </c>
      <c r="E30" s="126">
        <f>E31+E34</f>
        <v>5608584</v>
      </c>
      <c r="G30" s="788"/>
    </row>
    <row r="31" spans="1:7" s="31" customFormat="1" ht="25.2" customHeight="1">
      <c r="A31" s="123">
        <v>1925</v>
      </c>
      <c r="B31" s="127" t="s">
        <v>1037</v>
      </c>
      <c r="C31" s="125">
        <f>SUM(C32:C33)</f>
        <v>2236</v>
      </c>
      <c r="D31" s="125">
        <f>SUM(D32:D33)</f>
        <v>2030</v>
      </c>
      <c r="E31" s="126">
        <f>SUM(E32:E33)</f>
        <v>206</v>
      </c>
      <c r="G31" s="788"/>
    </row>
    <row r="32" spans="1:7" s="10" customFormat="1" ht="25.2" customHeight="1">
      <c r="A32" s="128">
        <v>53</v>
      </c>
      <c r="B32" s="129" t="s">
        <v>29</v>
      </c>
      <c r="C32" s="130">
        <v>93</v>
      </c>
      <c r="D32" s="130">
        <v>59</v>
      </c>
      <c r="E32" s="131">
        <f>C32-D32</f>
        <v>34</v>
      </c>
      <c r="G32" s="788"/>
    </row>
    <row r="33" spans="1:7" s="10" customFormat="1" ht="25.2" customHeight="1">
      <c r="A33" s="128">
        <v>1871</v>
      </c>
      <c r="B33" s="129" t="s">
        <v>30</v>
      </c>
      <c r="C33" s="130">
        <v>2143</v>
      </c>
      <c r="D33" s="130">
        <v>1971</v>
      </c>
      <c r="E33" s="131">
        <f>C33-D33</f>
        <v>172</v>
      </c>
      <c r="G33" s="788"/>
    </row>
    <row r="34" spans="1:7" s="31" customFormat="1" ht="25.2" customHeight="1">
      <c r="A34" s="123">
        <v>109174101</v>
      </c>
      <c r="B34" s="132" t="s">
        <v>1038</v>
      </c>
      <c r="C34" s="125">
        <f>SUM(C35:C36)</f>
        <v>120300901</v>
      </c>
      <c r="D34" s="125">
        <f>SUM(D35:D36)</f>
        <v>114692523</v>
      </c>
      <c r="E34" s="126">
        <f>SUM(E35:E36)</f>
        <v>5608378</v>
      </c>
      <c r="G34" s="788"/>
    </row>
    <row r="35" spans="1:7" s="10" customFormat="1" ht="25.2" customHeight="1">
      <c r="A35" s="128">
        <v>109173614</v>
      </c>
      <c r="B35" s="129" t="s">
        <v>31</v>
      </c>
      <c r="C35" s="130">
        <v>120300441</v>
      </c>
      <c r="D35" s="130">
        <f>'[1]平衡表-就(2)'!D43</f>
        <v>114692046</v>
      </c>
      <c r="E35" s="131">
        <f>C35-D35</f>
        <v>5608395</v>
      </c>
      <c r="G35" s="788"/>
    </row>
    <row r="36" spans="1:7" s="10" customFormat="1" ht="25.2" customHeight="1">
      <c r="A36" s="128">
        <v>487</v>
      </c>
      <c r="B36" s="129" t="s">
        <v>32</v>
      </c>
      <c r="C36" s="130">
        <v>460</v>
      </c>
      <c r="D36" s="130">
        <v>477</v>
      </c>
      <c r="E36" s="131">
        <f>C36-D36</f>
        <v>-17</v>
      </c>
      <c r="G36" s="788"/>
    </row>
    <row r="37" spans="1:7" s="31" customFormat="1" ht="25.2" customHeight="1">
      <c r="A37" s="139"/>
      <c r="B37" s="124" t="s">
        <v>1039</v>
      </c>
      <c r="C37" s="140">
        <f t="shared" ref="C37:E38" si="0">C38</f>
        <v>0</v>
      </c>
      <c r="D37" s="140">
        <f t="shared" si="0"/>
        <v>0</v>
      </c>
      <c r="E37" s="141">
        <f t="shared" si="0"/>
        <v>0</v>
      </c>
      <c r="G37" s="788"/>
    </row>
    <row r="38" spans="1:7" s="31" customFormat="1" ht="25.2" customHeight="1">
      <c r="A38" s="139"/>
      <c r="B38" s="127" t="s">
        <v>1040</v>
      </c>
      <c r="C38" s="140">
        <f t="shared" si="0"/>
        <v>0</v>
      </c>
      <c r="D38" s="140">
        <f t="shared" si="0"/>
        <v>0</v>
      </c>
      <c r="E38" s="141">
        <f t="shared" si="0"/>
        <v>0</v>
      </c>
      <c r="G38" s="788"/>
    </row>
    <row r="39" spans="1:7" s="10" customFormat="1" ht="25.2" customHeight="1">
      <c r="A39" s="142"/>
      <c r="B39" s="129" t="s">
        <v>33</v>
      </c>
      <c r="C39" s="138">
        <f>'[1]平衡表-就(2)'!C49</f>
        <v>0</v>
      </c>
      <c r="D39" s="138">
        <f>'[1]平衡表-就(2)'!D49</f>
        <v>0</v>
      </c>
      <c r="E39" s="133">
        <v>0</v>
      </c>
      <c r="G39" s="788"/>
    </row>
    <row r="40" spans="1:7" s="10" customFormat="1" ht="30" hidden="1" customHeight="1">
      <c r="A40" s="142"/>
      <c r="B40" s="129"/>
      <c r="C40" s="138"/>
      <c r="D40" s="138"/>
      <c r="E40" s="133"/>
      <c r="G40" s="788"/>
    </row>
    <row r="41" spans="1:7" s="10" customFormat="1" ht="30" hidden="1" customHeight="1">
      <c r="A41" s="142"/>
      <c r="B41" s="129"/>
      <c r="C41" s="138"/>
      <c r="D41" s="138"/>
      <c r="E41" s="133"/>
      <c r="G41" s="788"/>
    </row>
    <row r="42" spans="1:7" s="10" customFormat="1" ht="30" hidden="1" customHeight="1">
      <c r="A42" s="142"/>
      <c r="B42" s="129"/>
      <c r="C42" s="138"/>
      <c r="D42" s="138"/>
      <c r="E42" s="133"/>
      <c r="G42" s="788"/>
    </row>
    <row r="43" spans="1:7" s="10" customFormat="1" ht="30" hidden="1" customHeight="1">
      <c r="A43" s="142"/>
      <c r="B43" s="129"/>
      <c r="C43" s="138"/>
      <c r="D43" s="138"/>
      <c r="E43" s="133"/>
      <c r="G43" s="788"/>
    </row>
    <row r="44" spans="1:7" s="10" customFormat="1" ht="30" hidden="1" customHeight="1">
      <c r="A44" s="142"/>
      <c r="B44" s="129"/>
      <c r="C44" s="138"/>
      <c r="D44" s="138"/>
      <c r="E44" s="133"/>
      <c r="G44" s="788"/>
    </row>
    <row r="45" spans="1:7" s="10" customFormat="1" ht="30" hidden="1" customHeight="1">
      <c r="A45" s="142"/>
      <c r="B45" s="129"/>
      <c r="C45" s="138"/>
      <c r="D45" s="138"/>
      <c r="E45" s="133"/>
      <c r="G45" s="788"/>
    </row>
    <row r="46" spans="1:7" s="10" customFormat="1" ht="22.5" hidden="1" customHeight="1">
      <c r="A46" s="142"/>
      <c r="B46" s="129"/>
      <c r="C46" s="138"/>
      <c r="D46" s="138"/>
      <c r="E46" s="133"/>
      <c r="G46" s="788"/>
    </row>
    <row r="47" spans="1:7" s="10" customFormat="1" ht="30" hidden="1" customHeight="1">
      <c r="A47" s="142"/>
      <c r="B47" s="129"/>
      <c r="C47" s="138"/>
      <c r="D47" s="138"/>
      <c r="E47" s="133"/>
      <c r="G47" s="788"/>
    </row>
    <row r="48" spans="1:7" s="10" customFormat="1" ht="14.4" hidden="1" customHeight="1">
      <c r="A48" s="142"/>
      <c r="B48" s="129"/>
      <c r="C48" s="138"/>
      <c r="D48" s="138"/>
      <c r="E48" s="133"/>
      <c r="G48" s="788"/>
    </row>
    <row r="49" spans="1:7" s="10" customFormat="1" ht="29.25" hidden="1" customHeight="1">
      <c r="A49" s="142"/>
      <c r="B49" s="129"/>
      <c r="C49" s="138"/>
      <c r="D49" s="138"/>
      <c r="E49" s="133"/>
      <c r="G49" s="788"/>
    </row>
    <row r="50" spans="1:7" s="10" customFormat="1" ht="12" customHeight="1">
      <c r="A50" s="142"/>
      <c r="B50" s="129"/>
      <c r="C50" s="138"/>
      <c r="D50" s="138"/>
      <c r="E50" s="133"/>
      <c r="G50" s="788"/>
    </row>
    <row r="51" spans="1:7" s="31" customFormat="1" ht="31.8" customHeight="1" thickBot="1">
      <c r="A51" s="134">
        <v>109176025</v>
      </c>
      <c r="B51" s="135" t="s">
        <v>59</v>
      </c>
      <c r="C51" s="136">
        <f>C30+C37</f>
        <v>120303137</v>
      </c>
      <c r="D51" s="136">
        <f>D30+D37</f>
        <v>114694553</v>
      </c>
      <c r="E51" s="137">
        <f>E30+E37</f>
        <v>5608584</v>
      </c>
      <c r="G51" s="788"/>
    </row>
    <row r="52" spans="1:7" s="225" customFormat="1" ht="16.5" customHeight="1">
      <c r="A52" s="950" t="s">
        <v>1041</v>
      </c>
      <c r="B52" s="950"/>
      <c r="C52" s="950"/>
      <c r="D52" s="950"/>
      <c r="E52" s="950"/>
    </row>
  </sheetData>
  <mergeCells count="10">
    <mergeCell ref="A52:E52"/>
    <mergeCell ref="A1:E1"/>
    <mergeCell ref="A2:E2"/>
    <mergeCell ref="A3:E3"/>
    <mergeCell ref="A4:E4"/>
    <mergeCell ref="A5:A7"/>
    <mergeCell ref="B5:B7"/>
    <mergeCell ref="C5:C7"/>
    <mergeCell ref="D5:D7"/>
    <mergeCell ref="E5:E7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4" orientation="portrait" useFirstPageNumber="1" r:id="rId1"/>
  <headerFooter alignWithMargins="0">
    <oddFooter>&amp;C&amp;"細明體,標準"附&amp;"Times New Roman,標準"2-&amp;P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40"/>
  <sheetViews>
    <sheetView zoomScale="75" zoomScaleNormal="75" zoomScaleSheetLayoutView="125" workbookViewId="0">
      <pane xSplit="7" ySplit="7" topLeftCell="H11" activePane="bottomRight" state="frozen"/>
      <selection activeCell="C1" sqref="C1:C1048576"/>
      <selection pane="topRight" activeCell="C1" sqref="C1:C1048576"/>
      <selection pane="bottomLeft" activeCell="C1" sqref="C1:C1048576"/>
      <selection pane="bottomRight" activeCell="S26" sqref="S26"/>
    </sheetView>
  </sheetViews>
  <sheetFormatPr defaultColWidth="9" defaultRowHeight="16.2"/>
  <cols>
    <col min="1" max="1" width="10.44140625" style="2" customWidth="1"/>
    <col min="2" max="2" width="6.6640625" style="2" customWidth="1"/>
    <col min="3" max="3" width="21.77734375" style="742" customWidth="1"/>
    <col min="4" max="4" width="10.44140625" style="2" customWidth="1"/>
    <col min="5" max="5" width="6.6640625" style="320" customWidth="1"/>
    <col min="6" max="6" width="10.44140625" style="2" customWidth="1"/>
    <col min="7" max="7" width="6.6640625" style="2" customWidth="1"/>
    <col min="8" max="8" width="10.44140625" style="2" customWidth="1"/>
    <col min="9" max="9" width="6.6640625" style="2" customWidth="1"/>
    <col min="10" max="10" width="9" style="2"/>
    <col min="11" max="12" width="11.21875" style="2" hidden="1" customWidth="1"/>
    <col min="13" max="13" width="11" style="2" hidden="1" customWidth="1"/>
    <col min="14" max="16384" width="9" style="2"/>
  </cols>
  <sheetData>
    <row r="1" spans="1:13" ht="21" customHeight="1">
      <c r="A1" s="798" t="s">
        <v>109</v>
      </c>
      <c r="B1" s="798"/>
      <c r="C1" s="798"/>
      <c r="D1" s="798"/>
      <c r="E1" s="798"/>
      <c r="F1" s="798"/>
      <c r="G1" s="798"/>
      <c r="H1" s="798"/>
      <c r="I1" s="798"/>
    </row>
    <row r="2" spans="1:13" ht="21" customHeight="1">
      <c r="A2" s="798" t="s">
        <v>110</v>
      </c>
      <c r="B2" s="798"/>
      <c r="C2" s="798"/>
      <c r="D2" s="798"/>
      <c r="E2" s="798"/>
      <c r="F2" s="798"/>
      <c r="G2" s="798"/>
      <c r="H2" s="798"/>
      <c r="I2" s="798"/>
    </row>
    <row r="3" spans="1:13" ht="24.9" customHeight="1">
      <c r="A3" s="800" t="s">
        <v>1042</v>
      </c>
      <c r="B3" s="800"/>
      <c r="C3" s="800"/>
      <c r="D3" s="800"/>
      <c r="E3" s="800"/>
      <c r="F3" s="800"/>
      <c r="G3" s="800"/>
      <c r="H3" s="800"/>
      <c r="I3" s="800"/>
    </row>
    <row r="4" spans="1:13" ht="24.9" customHeight="1" thickBot="1">
      <c r="A4" s="802" t="s">
        <v>1043</v>
      </c>
      <c r="B4" s="802"/>
      <c r="C4" s="802"/>
      <c r="D4" s="802"/>
      <c r="E4" s="802"/>
      <c r="F4" s="802"/>
      <c r="G4" s="802"/>
      <c r="H4" s="802"/>
      <c r="I4" s="802"/>
    </row>
    <row r="5" spans="1:13" ht="21" customHeight="1">
      <c r="A5" s="945" t="s">
        <v>880</v>
      </c>
      <c r="B5" s="793"/>
      <c r="C5" s="792" t="s">
        <v>18</v>
      </c>
      <c r="D5" s="793" t="s">
        <v>881</v>
      </c>
      <c r="E5" s="793"/>
      <c r="F5" s="793" t="s">
        <v>882</v>
      </c>
      <c r="G5" s="793"/>
      <c r="H5" s="793" t="s">
        <v>883</v>
      </c>
      <c r="I5" s="803"/>
    </row>
    <row r="6" spans="1:13" ht="19.5" customHeight="1">
      <c r="A6" s="682" t="s">
        <v>993</v>
      </c>
      <c r="B6" s="666" t="s">
        <v>885</v>
      </c>
      <c r="C6" s="946"/>
      <c r="D6" s="666" t="s">
        <v>993</v>
      </c>
      <c r="E6" s="684" t="s">
        <v>885</v>
      </c>
      <c r="F6" s="666" t="s">
        <v>993</v>
      </c>
      <c r="G6" s="666" t="s">
        <v>885</v>
      </c>
      <c r="H6" s="666" t="s">
        <v>993</v>
      </c>
      <c r="I6" s="685" t="s">
        <v>885</v>
      </c>
    </row>
    <row r="7" spans="1:13" ht="8.25" customHeight="1">
      <c r="A7" s="686"/>
      <c r="B7" s="177"/>
      <c r="C7" s="176"/>
      <c r="D7" s="177"/>
      <c r="E7" s="688"/>
      <c r="F7" s="177"/>
      <c r="G7" s="177"/>
      <c r="H7" s="177"/>
      <c r="I7" s="689"/>
    </row>
    <row r="8" spans="1:13" s="31" customFormat="1" ht="30" customHeight="1">
      <c r="A8" s="344">
        <v>7718314</v>
      </c>
      <c r="B8" s="690">
        <v>100</v>
      </c>
      <c r="C8" s="691" t="s">
        <v>19</v>
      </c>
      <c r="D8" s="692">
        <f>D11+D13+D9</f>
        <v>7800254</v>
      </c>
      <c r="E8" s="690">
        <v>100</v>
      </c>
      <c r="F8" s="692">
        <f>F11+F13</f>
        <v>8178856</v>
      </c>
      <c r="G8" s="690">
        <v>100</v>
      </c>
      <c r="H8" s="693">
        <f t="shared" ref="H8:H29" si="0">D8-F8</f>
        <v>-378602</v>
      </c>
      <c r="I8" s="360">
        <f t="shared" ref="I8:I24" si="1">ROUND(H8/F8*100,2)</f>
        <v>-4.63</v>
      </c>
      <c r="K8" s="762">
        <f t="shared" ref="K8:K29" si="2">ROUND(A8/$A$8*100,4)</f>
        <v>100</v>
      </c>
      <c r="L8" s="762">
        <f t="shared" ref="L8:L29" si="3">ROUND(D8/$D$8*100,4)</f>
        <v>100</v>
      </c>
      <c r="M8" s="762">
        <f t="shared" ref="M8:M29" si="4">ROUND(F8/$F$8*100,4)</f>
        <v>100</v>
      </c>
    </row>
    <row r="9" spans="1:13" s="31" customFormat="1" ht="30" customHeight="1">
      <c r="A9" s="344">
        <v>561</v>
      </c>
      <c r="B9" s="690">
        <f>ROUND(A9/$A$8*100,2)</f>
        <v>0.01</v>
      </c>
      <c r="C9" s="691" t="s">
        <v>457</v>
      </c>
      <c r="D9" s="692">
        <f>D10</f>
        <v>480</v>
      </c>
      <c r="E9" s="690">
        <f>ROUND(D9/$D$8*100,2)</f>
        <v>0.01</v>
      </c>
      <c r="F9" s="704">
        <f>F10</f>
        <v>0</v>
      </c>
      <c r="G9" s="704">
        <f>ROUND(F9/$F$8*100,2)</f>
        <v>0</v>
      </c>
      <c r="H9" s="693">
        <f t="shared" si="0"/>
        <v>480</v>
      </c>
      <c r="I9" s="715">
        <v>0</v>
      </c>
      <c r="K9" s="762">
        <f t="shared" si="2"/>
        <v>7.3000000000000001E-3</v>
      </c>
      <c r="L9" s="762">
        <f t="shared" si="3"/>
        <v>6.1999999999999998E-3</v>
      </c>
      <c r="M9" s="762">
        <f t="shared" si="4"/>
        <v>0</v>
      </c>
    </row>
    <row r="10" spans="1:13" s="10" customFormat="1" ht="30" customHeight="1">
      <c r="A10" s="696">
        <v>561</v>
      </c>
      <c r="B10" s="697">
        <f t="shared" ref="B10" si="5">ROUND(A10/$A$8*100,2)</f>
        <v>0.01</v>
      </c>
      <c r="C10" s="698" t="s">
        <v>465</v>
      </c>
      <c r="D10" s="702">
        <v>480</v>
      </c>
      <c r="E10" s="697">
        <f t="shared" ref="E10" si="6">ROUND(D10/$D$8*100,2)</f>
        <v>0.01</v>
      </c>
      <c r="F10" s="699">
        <v>0</v>
      </c>
      <c r="G10" s="699">
        <f t="shared" ref="G10" si="7">ROUND(F10/$F$8*100,2)</f>
        <v>0</v>
      </c>
      <c r="H10" s="703">
        <f t="shared" si="0"/>
        <v>480</v>
      </c>
      <c r="I10" s="700">
        <v>0</v>
      </c>
      <c r="K10" s="733">
        <f t="shared" si="2"/>
        <v>7.3000000000000001E-3</v>
      </c>
      <c r="L10" s="733">
        <f t="shared" si="3"/>
        <v>6.1999999999999998E-3</v>
      </c>
      <c r="M10" s="733">
        <f t="shared" si="4"/>
        <v>0</v>
      </c>
    </row>
    <row r="11" spans="1:13" s="31" customFormat="1" ht="30" customHeight="1">
      <c r="A11" s="344">
        <v>4105153</v>
      </c>
      <c r="B11" s="690">
        <f>ROUND(A11/$A$8*100,2)</f>
        <v>53.19</v>
      </c>
      <c r="C11" s="691" t="s">
        <v>472</v>
      </c>
      <c r="D11" s="692">
        <f>D12</f>
        <v>3817522</v>
      </c>
      <c r="E11" s="690">
        <f>ROUND(D11/$D$8*100,2)</f>
        <v>48.94</v>
      </c>
      <c r="F11" s="692">
        <f>F12</f>
        <v>4041848</v>
      </c>
      <c r="G11" s="690">
        <f>ROUND(F11/$F$8*100,2)</f>
        <v>49.42</v>
      </c>
      <c r="H11" s="693">
        <f t="shared" si="0"/>
        <v>-224326</v>
      </c>
      <c r="I11" s="360">
        <f t="shared" si="1"/>
        <v>-5.55</v>
      </c>
      <c r="K11" s="762">
        <f t="shared" si="2"/>
        <v>53.187199999999997</v>
      </c>
      <c r="L11" s="762">
        <f t="shared" si="3"/>
        <v>48.941000000000003</v>
      </c>
      <c r="M11" s="762">
        <f t="shared" si="4"/>
        <v>49.418300000000002</v>
      </c>
    </row>
    <row r="12" spans="1:13" s="10" customFormat="1" ht="30" customHeight="1">
      <c r="A12" s="696">
        <v>4105153</v>
      </c>
      <c r="B12" s="697">
        <f t="shared" ref="B12:B29" si="8">ROUND(A12/$A$8*100,2)</f>
        <v>53.19</v>
      </c>
      <c r="C12" s="698" t="s">
        <v>473</v>
      </c>
      <c r="D12" s="702">
        <v>3817522</v>
      </c>
      <c r="E12" s="697">
        <f t="shared" ref="E12:E29" si="9">ROUND(D12/$D$8*100,2)</f>
        <v>48.94</v>
      </c>
      <c r="F12" s="702">
        <v>4041848</v>
      </c>
      <c r="G12" s="697">
        <f t="shared" ref="G12:G29" si="10">ROUND(F12/$F$8*100,2)</f>
        <v>49.42</v>
      </c>
      <c r="H12" s="703">
        <f t="shared" si="0"/>
        <v>-224326</v>
      </c>
      <c r="I12" s="355">
        <f t="shared" si="1"/>
        <v>-5.55</v>
      </c>
      <c r="K12" s="733">
        <f t="shared" si="2"/>
        <v>53.187199999999997</v>
      </c>
      <c r="L12" s="733">
        <f t="shared" si="3"/>
        <v>48.941000000000003</v>
      </c>
      <c r="M12" s="733">
        <f t="shared" si="4"/>
        <v>49.418300000000002</v>
      </c>
    </row>
    <row r="13" spans="1:13" s="31" customFormat="1" ht="30" customHeight="1">
      <c r="A13" s="344">
        <v>3612600</v>
      </c>
      <c r="B13" s="690">
        <f t="shared" si="8"/>
        <v>46.81</v>
      </c>
      <c r="C13" s="691" t="s">
        <v>475</v>
      </c>
      <c r="D13" s="692">
        <f>D14</f>
        <v>3982252</v>
      </c>
      <c r="E13" s="690">
        <f t="shared" si="9"/>
        <v>51.05</v>
      </c>
      <c r="F13" s="692">
        <f>F14</f>
        <v>4137008</v>
      </c>
      <c r="G13" s="690">
        <f t="shared" si="10"/>
        <v>50.58</v>
      </c>
      <c r="H13" s="763">
        <f t="shared" si="0"/>
        <v>-154756</v>
      </c>
      <c r="I13" s="360">
        <f t="shared" si="1"/>
        <v>-3.74</v>
      </c>
      <c r="K13" s="762">
        <f t="shared" si="2"/>
        <v>46.805599999999998</v>
      </c>
      <c r="L13" s="762">
        <f t="shared" si="3"/>
        <v>51.052900000000001</v>
      </c>
      <c r="M13" s="762">
        <f t="shared" si="4"/>
        <v>50.581699999999998</v>
      </c>
    </row>
    <row r="14" spans="1:13" s="10" customFormat="1" ht="25.8" customHeight="1">
      <c r="A14" s="714">
        <v>3612600</v>
      </c>
      <c r="B14" s="697">
        <f t="shared" si="8"/>
        <v>46.81</v>
      </c>
      <c r="C14" s="716" t="s">
        <v>476</v>
      </c>
      <c r="D14" s="702">
        <v>3982252</v>
      </c>
      <c r="E14" s="697">
        <f t="shared" si="9"/>
        <v>51.05</v>
      </c>
      <c r="F14" s="702">
        <v>4137008</v>
      </c>
      <c r="G14" s="697">
        <f t="shared" si="10"/>
        <v>50.58</v>
      </c>
      <c r="H14" s="703">
        <f t="shared" si="0"/>
        <v>-154756</v>
      </c>
      <c r="I14" s="355">
        <f t="shared" si="1"/>
        <v>-3.74</v>
      </c>
      <c r="K14" s="733">
        <f t="shared" si="2"/>
        <v>46.805599999999998</v>
      </c>
      <c r="L14" s="733">
        <f t="shared" si="3"/>
        <v>51.052900000000001</v>
      </c>
      <c r="M14" s="733">
        <f t="shared" si="4"/>
        <v>50.581699999999998</v>
      </c>
    </row>
    <row r="15" spans="1:13" s="31" customFormat="1" ht="23.25" customHeight="1">
      <c r="A15" s="344">
        <v>7725575</v>
      </c>
      <c r="B15" s="690">
        <f t="shared" si="8"/>
        <v>100.09</v>
      </c>
      <c r="C15" s="691" t="s">
        <v>478</v>
      </c>
      <c r="D15" s="692">
        <f>D16+D19</f>
        <v>7807343</v>
      </c>
      <c r="E15" s="690">
        <f t="shared" si="9"/>
        <v>100.09</v>
      </c>
      <c r="F15" s="692">
        <f>F16+F19</f>
        <v>8185559</v>
      </c>
      <c r="G15" s="690">
        <f t="shared" si="10"/>
        <v>100.08</v>
      </c>
      <c r="H15" s="693">
        <f t="shared" si="0"/>
        <v>-378216</v>
      </c>
      <c r="I15" s="360">
        <f t="shared" si="1"/>
        <v>-4.62</v>
      </c>
      <c r="K15" s="762">
        <f t="shared" si="2"/>
        <v>100.0941</v>
      </c>
      <c r="L15" s="762">
        <f t="shared" si="3"/>
        <v>100.0909</v>
      </c>
      <c r="M15" s="762">
        <f t="shared" si="4"/>
        <v>100.08199999999999</v>
      </c>
    </row>
    <row r="16" spans="1:13" s="31" customFormat="1" ht="30" customHeight="1">
      <c r="A16" s="344">
        <v>7695170</v>
      </c>
      <c r="B16" s="690">
        <f t="shared" si="8"/>
        <v>99.7</v>
      </c>
      <c r="C16" s="691" t="s">
        <v>486</v>
      </c>
      <c r="D16" s="692">
        <f>SUM(D17:D18)</f>
        <v>7732548</v>
      </c>
      <c r="E16" s="690">
        <f t="shared" si="9"/>
        <v>99.13</v>
      </c>
      <c r="F16" s="692">
        <f>SUM(F17:F18)</f>
        <v>8110555</v>
      </c>
      <c r="G16" s="690">
        <f t="shared" si="10"/>
        <v>99.16</v>
      </c>
      <c r="H16" s="693">
        <f t="shared" si="0"/>
        <v>-378007</v>
      </c>
      <c r="I16" s="360">
        <f t="shared" si="1"/>
        <v>-4.66</v>
      </c>
      <c r="K16" s="762">
        <f t="shared" si="2"/>
        <v>99.700100000000006</v>
      </c>
      <c r="L16" s="762">
        <f t="shared" si="3"/>
        <v>99.132000000000005</v>
      </c>
      <c r="M16" s="762">
        <f t="shared" si="4"/>
        <v>99.164900000000003</v>
      </c>
    </row>
    <row r="17" spans="1:13" s="10" customFormat="1" ht="30" customHeight="1">
      <c r="A17" s="696">
        <v>7682105</v>
      </c>
      <c r="B17" s="697">
        <f t="shared" si="8"/>
        <v>99.53</v>
      </c>
      <c r="C17" s="698" t="s">
        <v>487</v>
      </c>
      <c r="D17" s="702">
        <v>7718714</v>
      </c>
      <c r="E17" s="697">
        <f t="shared" si="9"/>
        <v>98.95</v>
      </c>
      <c r="F17" s="702">
        <v>8097834</v>
      </c>
      <c r="G17" s="697">
        <f t="shared" si="10"/>
        <v>99.01</v>
      </c>
      <c r="H17" s="703">
        <f t="shared" si="0"/>
        <v>-379120</v>
      </c>
      <c r="I17" s="355">
        <f t="shared" si="1"/>
        <v>-4.68</v>
      </c>
      <c r="K17" s="733">
        <f t="shared" si="2"/>
        <v>99.530900000000003</v>
      </c>
      <c r="L17" s="733">
        <f t="shared" si="3"/>
        <v>98.954599999999999</v>
      </c>
      <c r="M17" s="733">
        <f t="shared" si="4"/>
        <v>99.009399999999999</v>
      </c>
    </row>
    <row r="18" spans="1:13" s="10" customFormat="1" ht="30" customHeight="1">
      <c r="A18" s="696">
        <v>13065</v>
      </c>
      <c r="B18" s="697">
        <f t="shared" si="8"/>
        <v>0.17</v>
      </c>
      <c r="C18" s="698" t="s">
        <v>495</v>
      </c>
      <c r="D18" s="702">
        <v>13834</v>
      </c>
      <c r="E18" s="697">
        <f t="shared" si="9"/>
        <v>0.18</v>
      </c>
      <c r="F18" s="702">
        <v>12721</v>
      </c>
      <c r="G18" s="697">
        <f t="shared" si="10"/>
        <v>0.16</v>
      </c>
      <c r="H18" s="703">
        <f t="shared" si="0"/>
        <v>1113</v>
      </c>
      <c r="I18" s="355">
        <f t="shared" si="1"/>
        <v>8.75</v>
      </c>
      <c r="K18" s="733">
        <f t="shared" si="2"/>
        <v>0.16930000000000001</v>
      </c>
      <c r="L18" s="733">
        <f t="shared" si="3"/>
        <v>0.1774</v>
      </c>
      <c r="M18" s="733">
        <f t="shared" si="4"/>
        <v>0.1555</v>
      </c>
    </row>
    <row r="19" spans="1:13" s="31" customFormat="1" ht="30" customHeight="1">
      <c r="A19" s="344">
        <v>30405</v>
      </c>
      <c r="B19" s="690">
        <f t="shared" si="8"/>
        <v>0.39</v>
      </c>
      <c r="C19" s="691" t="s">
        <v>496</v>
      </c>
      <c r="D19" s="692">
        <f>SUM(D20:D20)</f>
        <v>74795</v>
      </c>
      <c r="E19" s="690">
        <f t="shared" si="9"/>
        <v>0.96</v>
      </c>
      <c r="F19" s="692">
        <f>SUM(F20:F20)</f>
        <v>75004</v>
      </c>
      <c r="G19" s="690">
        <f t="shared" si="10"/>
        <v>0.92</v>
      </c>
      <c r="H19" s="359">
        <f t="shared" si="0"/>
        <v>-209</v>
      </c>
      <c r="I19" s="360">
        <f t="shared" si="1"/>
        <v>-0.28000000000000003</v>
      </c>
      <c r="K19" s="762">
        <f t="shared" si="2"/>
        <v>0.39389999999999997</v>
      </c>
      <c r="L19" s="762">
        <f t="shared" si="3"/>
        <v>0.95889999999999997</v>
      </c>
      <c r="M19" s="762">
        <f t="shared" si="4"/>
        <v>0.91700000000000004</v>
      </c>
    </row>
    <row r="20" spans="1:13" s="10" customFormat="1" ht="30" customHeight="1">
      <c r="A20" s="696">
        <v>30405</v>
      </c>
      <c r="B20" s="697">
        <f t="shared" si="8"/>
        <v>0.39</v>
      </c>
      <c r="C20" s="698" t="s">
        <v>497</v>
      </c>
      <c r="D20" s="702">
        <v>74795</v>
      </c>
      <c r="E20" s="697">
        <f t="shared" si="9"/>
        <v>0.96</v>
      </c>
      <c r="F20" s="702">
        <v>75004</v>
      </c>
      <c r="G20" s="697">
        <f t="shared" si="10"/>
        <v>0.92</v>
      </c>
      <c r="H20" s="354">
        <f t="shared" si="0"/>
        <v>-209</v>
      </c>
      <c r="I20" s="355">
        <f t="shared" si="1"/>
        <v>-0.28000000000000003</v>
      </c>
      <c r="K20" s="733">
        <f t="shared" si="2"/>
        <v>0.39389999999999997</v>
      </c>
      <c r="L20" s="733">
        <f t="shared" si="3"/>
        <v>0.95889999999999997</v>
      </c>
      <c r="M20" s="733">
        <f t="shared" si="4"/>
        <v>0.91700000000000004</v>
      </c>
    </row>
    <row r="21" spans="1:13" s="31" customFormat="1" ht="30" customHeight="1">
      <c r="A21" s="720">
        <v>-7261</v>
      </c>
      <c r="B21" s="690">
        <f t="shared" si="8"/>
        <v>-0.09</v>
      </c>
      <c r="C21" s="691" t="s">
        <v>498</v>
      </c>
      <c r="D21" s="693">
        <f>+D8-D15</f>
        <v>-7089</v>
      </c>
      <c r="E21" s="690">
        <f t="shared" si="9"/>
        <v>-0.09</v>
      </c>
      <c r="F21" s="693">
        <f>+F8-F15</f>
        <v>-6703</v>
      </c>
      <c r="G21" s="690">
        <f t="shared" si="10"/>
        <v>-0.08</v>
      </c>
      <c r="H21" s="693">
        <f t="shared" si="0"/>
        <v>-386</v>
      </c>
      <c r="I21" s="360">
        <f t="shared" si="1"/>
        <v>5.76</v>
      </c>
      <c r="K21" s="762">
        <f t="shared" si="2"/>
        <v>-9.4100000000000003E-2</v>
      </c>
      <c r="L21" s="762">
        <f t="shared" si="3"/>
        <v>-9.0899999999999995E-2</v>
      </c>
      <c r="M21" s="762">
        <f t="shared" si="4"/>
        <v>-8.2000000000000003E-2</v>
      </c>
    </row>
    <row r="22" spans="1:13" s="31" customFormat="1" ht="25.8" customHeight="1">
      <c r="A22" s="346">
        <v>7261</v>
      </c>
      <c r="B22" s="690">
        <f t="shared" si="8"/>
        <v>0.09</v>
      </c>
      <c r="C22" s="691" t="s">
        <v>499</v>
      </c>
      <c r="D22" s="363">
        <f>D23+D25</f>
        <v>7089</v>
      </c>
      <c r="E22" s="690">
        <f t="shared" si="9"/>
        <v>0.09</v>
      </c>
      <c r="F22" s="363">
        <f>F23+F25</f>
        <v>6703</v>
      </c>
      <c r="G22" s="690">
        <f t="shared" si="10"/>
        <v>0.08</v>
      </c>
      <c r="H22" s="750">
        <f t="shared" si="0"/>
        <v>386</v>
      </c>
      <c r="I22" s="360">
        <f t="shared" si="1"/>
        <v>5.76</v>
      </c>
      <c r="K22" s="762">
        <f t="shared" si="2"/>
        <v>9.4100000000000003E-2</v>
      </c>
      <c r="L22" s="762">
        <f t="shared" si="3"/>
        <v>9.0899999999999995E-2</v>
      </c>
      <c r="M22" s="762">
        <f t="shared" si="4"/>
        <v>8.2000000000000003E-2</v>
      </c>
    </row>
    <row r="23" spans="1:13" s="31" customFormat="1" ht="25.2" customHeight="1">
      <c r="A23" s="344">
        <v>9</v>
      </c>
      <c r="B23" s="348">
        <f t="shared" si="8"/>
        <v>0</v>
      </c>
      <c r="C23" s="691" t="s">
        <v>500</v>
      </c>
      <c r="D23" s="704">
        <f>D24</f>
        <v>14</v>
      </c>
      <c r="E23" s="348">
        <f t="shared" si="9"/>
        <v>0</v>
      </c>
      <c r="F23" s="704">
        <f>F24</f>
        <v>16</v>
      </c>
      <c r="G23" s="348">
        <f t="shared" si="10"/>
        <v>0</v>
      </c>
      <c r="H23" s="693">
        <f t="shared" si="0"/>
        <v>-2</v>
      </c>
      <c r="I23" s="360">
        <f t="shared" si="1"/>
        <v>-12.5</v>
      </c>
      <c r="K23" s="762">
        <f t="shared" si="2"/>
        <v>1E-4</v>
      </c>
      <c r="L23" s="762">
        <f t="shared" si="3"/>
        <v>2.0000000000000001E-4</v>
      </c>
      <c r="M23" s="762">
        <f t="shared" si="4"/>
        <v>2.0000000000000001E-4</v>
      </c>
    </row>
    <row r="24" spans="1:13" s="10" customFormat="1" ht="16.8" customHeight="1">
      <c r="A24" s="696">
        <v>9</v>
      </c>
      <c r="B24" s="348">
        <f t="shared" si="8"/>
        <v>0</v>
      </c>
      <c r="C24" s="698" t="s">
        <v>501</v>
      </c>
      <c r="D24" s="699">
        <v>14</v>
      </c>
      <c r="E24" s="351">
        <f t="shared" si="9"/>
        <v>0</v>
      </c>
      <c r="F24" s="699">
        <v>16</v>
      </c>
      <c r="G24" s="351">
        <f t="shared" si="10"/>
        <v>0</v>
      </c>
      <c r="H24" s="354">
        <f t="shared" si="0"/>
        <v>-2</v>
      </c>
      <c r="I24" s="355">
        <f t="shared" si="1"/>
        <v>-12.5</v>
      </c>
      <c r="K24" s="733">
        <f t="shared" si="2"/>
        <v>1E-4</v>
      </c>
      <c r="L24" s="733">
        <f t="shared" si="3"/>
        <v>2.0000000000000001E-4</v>
      </c>
      <c r="M24" s="733">
        <f t="shared" si="4"/>
        <v>2.0000000000000001E-4</v>
      </c>
    </row>
    <row r="25" spans="1:13" s="31" customFormat="1" ht="28.2" customHeight="1">
      <c r="A25" s="344">
        <v>7252</v>
      </c>
      <c r="B25" s="690">
        <f t="shared" si="8"/>
        <v>0.09</v>
      </c>
      <c r="C25" s="691" t="s">
        <v>502</v>
      </c>
      <c r="D25" s="692">
        <f>SUM(D26:D27)</f>
        <v>7075</v>
      </c>
      <c r="E25" s="690">
        <f t="shared" si="9"/>
        <v>0.09</v>
      </c>
      <c r="F25" s="692">
        <f>SUM(F26:F27)</f>
        <v>6687</v>
      </c>
      <c r="G25" s="690">
        <f t="shared" si="10"/>
        <v>0.08</v>
      </c>
      <c r="H25" s="359">
        <f t="shared" si="0"/>
        <v>388</v>
      </c>
      <c r="I25" s="360">
        <f>ROUND(H25/F25*100,2)</f>
        <v>5.8</v>
      </c>
      <c r="K25" s="762">
        <f t="shared" si="2"/>
        <v>9.4E-2</v>
      </c>
      <c r="L25" s="762">
        <f t="shared" si="3"/>
        <v>9.0700000000000003E-2</v>
      </c>
      <c r="M25" s="762">
        <f t="shared" si="4"/>
        <v>8.1799999999999998E-2</v>
      </c>
    </row>
    <row r="26" spans="1:13" s="10" customFormat="1" ht="21.6" customHeight="1">
      <c r="A26" s="696">
        <v>7232</v>
      </c>
      <c r="B26" s="697">
        <f t="shared" si="8"/>
        <v>0.09</v>
      </c>
      <c r="C26" s="698" t="s">
        <v>504</v>
      </c>
      <c r="D26" s="702">
        <v>7075</v>
      </c>
      <c r="E26" s="697">
        <f t="shared" si="9"/>
        <v>0.09</v>
      </c>
      <c r="F26" s="702">
        <v>6686</v>
      </c>
      <c r="G26" s="697">
        <f t="shared" si="10"/>
        <v>0.08</v>
      </c>
      <c r="H26" s="354">
        <f t="shared" si="0"/>
        <v>389</v>
      </c>
      <c r="I26" s="355">
        <f>ROUND(H26/F26*100,2)</f>
        <v>5.82</v>
      </c>
      <c r="K26" s="733">
        <f t="shared" si="2"/>
        <v>9.3700000000000006E-2</v>
      </c>
      <c r="L26" s="733">
        <f t="shared" si="3"/>
        <v>9.0700000000000003E-2</v>
      </c>
      <c r="M26" s="733">
        <f t="shared" si="4"/>
        <v>8.1699999999999995E-2</v>
      </c>
    </row>
    <row r="27" spans="1:13" s="10" customFormat="1" ht="23.4" customHeight="1">
      <c r="A27" s="696">
        <v>20</v>
      </c>
      <c r="B27" s="412">
        <f t="shared" si="8"/>
        <v>0</v>
      </c>
      <c r="C27" s="698" t="s">
        <v>505</v>
      </c>
      <c r="D27" s="699">
        <v>0</v>
      </c>
      <c r="E27" s="351">
        <f t="shared" si="9"/>
        <v>0</v>
      </c>
      <c r="F27" s="702">
        <v>1</v>
      </c>
      <c r="G27" s="351">
        <f t="shared" si="10"/>
        <v>0</v>
      </c>
      <c r="H27" s="354">
        <f>D27-F27</f>
        <v>-1</v>
      </c>
      <c r="I27" s="355">
        <f>ROUND(H27/F27*100,2)</f>
        <v>-100</v>
      </c>
      <c r="K27" s="733">
        <f t="shared" si="2"/>
        <v>2.9999999999999997E-4</v>
      </c>
      <c r="L27" s="733">
        <f t="shared" si="3"/>
        <v>0</v>
      </c>
      <c r="M27" s="733">
        <f t="shared" si="4"/>
        <v>0</v>
      </c>
    </row>
    <row r="28" spans="1:13" s="31" customFormat="1" ht="21" customHeight="1">
      <c r="A28" s="346">
        <v>7261</v>
      </c>
      <c r="B28" s="690">
        <f t="shared" si="8"/>
        <v>0.09</v>
      </c>
      <c r="C28" s="691" t="s">
        <v>509</v>
      </c>
      <c r="D28" s="363">
        <f>+D22</f>
        <v>7089</v>
      </c>
      <c r="E28" s="690">
        <f t="shared" si="9"/>
        <v>0.09</v>
      </c>
      <c r="F28" s="363">
        <f>+F22</f>
        <v>6703</v>
      </c>
      <c r="G28" s="690">
        <f t="shared" si="10"/>
        <v>0.08</v>
      </c>
      <c r="H28" s="359">
        <f t="shared" si="0"/>
        <v>386</v>
      </c>
      <c r="I28" s="360">
        <f>ROUND(H28/F28*100,2)</f>
        <v>5.76</v>
      </c>
      <c r="K28" s="762">
        <f t="shared" si="2"/>
        <v>9.4100000000000003E-2</v>
      </c>
      <c r="L28" s="762">
        <f t="shared" si="3"/>
        <v>9.0899999999999995E-2</v>
      </c>
      <c r="M28" s="762">
        <f t="shared" si="4"/>
        <v>8.2000000000000003E-2</v>
      </c>
    </row>
    <row r="29" spans="1:13" s="31" customFormat="1" ht="18" customHeight="1">
      <c r="A29" s="726">
        <f>+A21+A28</f>
        <v>0</v>
      </c>
      <c r="B29" s="348">
        <f t="shared" si="8"/>
        <v>0</v>
      </c>
      <c r="C29" s="691" t="s">
        <v>20</v>
      </c>
      <c r="D29" s="727">
        <f>+D21+D28</f>
        <v>0</v>
      </c>
      <c r="E29" s="348">
        <f t="shared" si="9"/>
        <v>0</v>
      </c>
      <c r="F29" s="727">
        <f>+F21+F28</f>
        <v>0</v>
      </c>
      <c r="G29" s="348">
        <f t="shared" si="10"/>
        <v>0</v>
      </c>
      <c r="H29" s="727">
        <f t="shared" si="0"/>
        <v>0</v>
      </c>
      <c r="I29" s="715">
        <v>0</v>
      </c>
      <c r="K29" s="762">
        <f t="shared" si="2"/>
        <v>0</v>
      </c>
      <c r="L29" s="762">
        <f t="shared" si="3"/>
        <v>0</v>
      </c>
      <c r="M29" s="762">
        <f t="shared" si="4"/>
        <v>0</v>
      </c>
    </row>
    <row r="30" spans="1:13" s="10" customFormat="1" ht="8.25" customHeight="1" thickBot="1">
      <c r="A30" s="707"/>
      <c r="B30" s="708"/>
      <c r="C30" s="709"/>
      <c r="D30" s="710"/>
      <c r="E30" s="708"/>
      <c r="F30" s="710"/>
      <c r="G30" s="708"/>
      <c r="H30" s="764"/>
      <c r="I30" s="379"/>
      <c r="K30" s="733"/>
      <c r="L30" s="733"/>
      <c r="M30" s="733"/>
    </row>
    <row r="31" spans="1:13" ht="34.200000000000003" customHeight="1">
      <c r="A31" s="809" t="s">
        <v>1140</v>
      </c>
      <c r="B31" s="809"/>
      <c r="C31" s="809"/>
      <c r="D31" s="809"/>
      <c r="E31" s="809"/>
      <c r="F31" s="809"/>
      <c r="G31" s="809"/>
      <c r="H31" s="809"/>
      <c r="I31" s="809"/>
    </row>
    <row r="32" spans="1:13" ht="15.6">
      <c r="A32" s="757"/>
      <c r="B32" s="758"/>
      <c r="C32" s="759"/>
      <c r="D32" s="758"/>
      <c r="E32" s="760"/>
      <c r="F32" s="758"/>
      <c r="G32" s="758"/>
      <c r="H32" s="758"/>
      <c r="I32" s="758"/>
    </row>
    <row r="33" spans="3:3" ht="15.6">
      <c r="C33" s="761"/>
    </row>
    <row r="34" spans="3:3" ht="15.6">
      <c r="C34" s="761"/>
    </row>
    <row r="35" spans="3:3" ht="15.6">
      <c r="C35" s="761"/>
    </row>
    <row r="36" spans="3:3" ht="15.6">
      <c r="C36" s="761"/>
    </row>
    <row r="37" spans="3:3" ht="15.6">
      <c r="C37" s="761"/>
    </row>
    <row r="38" spans="3:3" ht="15.6">
      <c r="C38" s="761"/>
    </row>
    <row r="39" spans="3:3" ht="15.6">
      <c r="C39" s="761"/>
    </row>
    <row r="40" spans="3:3" ht="15.6">
      <c r="C40" s="761"/>
    </row>
  </sheetData>
  <mergeCells count="10">
    <mergeCell ref="A31:I31"/>
    <mergeCell ref="A1:I1"/>
    <mergeCell ref="A2:I2"/>
    <mergeCell ref="A3:I3"/>
    <mergeCell ref="A4:I4"/>
    <mergeCell ref="A5:B5"/>
    <mergeCell ref="C5:C6"/>
    <mergeCell ref="D5:E5"/>
    <mergeCell ref="F5:G5"/>
    <mergeCell ref="H5:I5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orientation="portrait" useFirstPageNumber="1" r:id="rId1"/>
  <headerFooter alignWithMargins="0">
    <oddFooter>&amp;C&amp;"細明體,標準"附&amp;"Times New Roman,標準"3-&amp;P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opLeftCell="A4" workbookViewId="0">
      <selection activeCell="A22" sqref="A22"/>
    </sheetView>
  </sheetViews>
  <sheetFormatPr defaultColWidth="9" defaultRowHeight="15.6"/>
  <cols>
    <col min="1" max="1" width="42.77734375" style="6" bestFit="1" customWidth="1"/>
    <col min="2" max="2" width="15.88671875" style="6" customWidth="1"/>
    <col min="3" max="3" width="15.44140625" style="6" bestFit="1" customWidth="1"/>
    <col min="4" max="4" width="10.44140625" style="6" bestFit="1" customWidth="1"/>
    <col min="5" max="5" width="5.44140625" style="6" customWidth="1"/>
    <col min="6" max="6" width="39" style="6" customWidth="1"/>
    <col min="7" max="7" width="9" style="6"/>
    <col min="8" max="8" width="26.33203125" style="6" customWidth="1"/>
    <col min="9" max="9" width="19.88671875" style="6" customWidth="1"/>
    <col min="10" max="16384" width="9" style="6"/>
  </cols>
  <sheetData>
    <row r="1" spans="1:8" s="2" customFormat="1" ht="22.2">
      <c r="A1" s="798" t="s">
        <v>995</v>
      </c>
      <c r="B1" s="798"/>
      <c r="C1" s="798"/>
      <c r="D1" s="798"/>
      <c r="E1" s="798"/>
      <c r="F1" s="1"/>
      <c r="G1" s="1"/>
      <c r="H1" s="1"/>
    </row>
    <row r="2" spans="1:8" s="2" customFormat="1" ht="22.2">
      <c r="A2" s="798" t="s">
        <v>996</v>
      </c>
      <c r="B2" s="798"/>
      <c r="C2" s="798"/>
      <c r="D2" s="798"/>
      <c r="E2" s="798"/>
      <c r="F2" s="1"/>
      <c r="G2" s="1"/>
      <c r="H2" s="1"/>
    </row>
    <row r="3" spans="1:8" s="2" customFormat="1" ht="24.75" customHeight="1">
      <c r="A3" s="800" t="s">
        <v>1044</v>
      </c>
      <c r="B3" s="800"/>
      <c r="C3" s="800"/>
      <c r="D3" s="800"/>
      <c r="E3" s="800"/>
      <c r="F3" s="3"/>
      <c r="G3" s="3"/>
      <c r="H3" s="3"/>
    </row>
    <row r="4" spans="1:8" s="2" customFormat="1" ht="24.9" customHeight="1" thickBot="1">
      <c r="A4" s="815" t="s">
        <v>998</v>
      </c>
      <c r="B4" s="815"/>
      <c r="C4" s="815"/>
      <c r="D4" s="815"/>
      <c r="E4" s="815"/>
      <c r="F4" s="4"/>
      <c r="G4" s="4"/>
      <c r="H4" s="4"/>
    </row>
    <row r="5" spans="1:8" ht="15.75" customHeight="1">
      <c r="A5" s="830" t="s">
        <v>999</v>
      </c>
      <c r="B5" s="833" t="s">
        <v>1000</v>
      </c>
      <c r="C5" s="836" t="s">
        <v>114</v>
      </c>
      <c r="D5" s="837"/>
      <c r="E5" s="838"/>
      <c r="F5" s="4"/>
      <c r="G5" s="4"/>
      <c r="H5" s="4"/>
    </row>
    <row r="6" spans="1:8" ht="15.75" customHeight="1">
      <c r="A6" s="831"/>
      <c r="B6" s="834"/>
      <c r="C6" s="839"/>
      <c r="D6" s="840"/>
      <c r="E6" s="841"/>
      <c r="F6" s="4"/>
      <c r="G6" s="4"/>
      <c r="H6" s="4"/>
    </row>
    <row r="7" spans="1:8" ht="15.75" customHeight="1">
      <c r="A7" s="832"/>
      <c r="B7" s="835"/>
      <c r="C7" s="842"/>
      <c r="D7" s="843"/>
      <c r="E7" s="844"/>
    </row>
    <row r="8" spans="1:8" ht="8.25" customHeight="1">
      <c r="A8" s="668"/>
      <c r="B8" s="669"/>
      <c r="C8" s="86"/>
      <c r="D8" s="143"/>
      <c r="E8" s="89"/>
    </row>
    <row r="9" spans="1:8" s="10" customFormat="1" ht="30" customHeight="1">
      <c r="A9" s="420" t="s">
        <v>115</v>
      </c>
      <c r="B9" s="145"/>
      <c r="C9" s="146"/>
      <c r="D9" s="147"/>
      <c r="E9" s="148"/>
    </row>
    <row r="10" spans="1:8" s="31" customFormat="1" ht="30" customHeight="1">
      <c r="A10" s="69" t="s">
        <v>1001</v>
      </c>
      <c r="B10" s="68" t="s">
        <v>11</v>
      </c>
      <c r="C10" s="150"/>
      <c r="D10" s="151"/>
      <c r="E10" s="148"/>
    </row>
    <row r="11" spans="1:8" s="31" customFormat="1" ht="30" customHeight="1">
      <c r="A11" s="69" t="s">
        <v>1002</v>
      </c>
      <c r="B11" s="152">
        <f>D11+D12+D13</f>
        <v>-1318248</v>
      </c>
      <c r="C11" s="672" t="s">
        <v>1003</v>
      </c>
      <c r="D11" s="667">
        <v>13834</v>
      </c>
      <c r="E11" s="673" t="s">
        <v>1004</v>
      </c>
      <c r="F11" s="36"/>
    </row>
    <row r="12" spans="1:8" s="31" customFormat="1" ht="30" customHeight="1">
      <c r="A12" s="69" t="s">
        <v>1007</v>
      </c>
      <c r="B12" s="32"/>
      <c r="C12" s="672" t="s">
        <v>1045</v>
      </c>
      <c r="D12" s="423">
        <v>-1326603</v>
      </c>
      <c r="E12" s="673" t="s">
        <v>1004</v>
      </c>
      <c r="F12" s="37"/>
      <c r="H12" s="11"/>
    </row>
    <row r="13" spans="1:8" s="10" customFormat="1" ht="30" customHeight="1">
      <c r="A13" s="69" t="s">
        <v>1007</v>
      </c>
      <c r="B13" s="32"/>
      <c r="C13" s="672" t="s">
        <v>1046</v>
      </c>
      <c r="D13" s="423">
        <v>-5479</v>
      </c>
      <c r="E13" s="673" t="s">
        <v>1004</v>
      </c>
    </row>
    <row r="14" spans="1:8" s="10" customFormat="1" ht="30" customHeight="1">
      <c r="A14" s="420" t="s">
        <v>1010</v>
      </c>
      <c r="B14" s="28">
        <f>B11</f>
        <v>-1318248</v>
      </c>
      <c r="C14" s="422"/>
      <c r="D14" s="423"/>
      <c r="E14" s="673"/>
    </row>
    <row r="15" spans="1:8" s="10" customFormat="1" ht="30" customHeight="1">
      <c r="A15" s="420" t="s">
        <v>132</v>
      </c>
      <c r="B15" s="153"/>
      <c r="C15" s="427"/>
      <c r="D15" s="428"/>
      <c r="E15" s="426"/>
    </row>
    <row r="16" spans="1:8" s="10" customFormat="1" ht="45" customHeight="1">
      <c r="A16" s="69" t="s">
        <v>1047</v>
      </c>
      <c r="B16" s="32">
        <v>1316900</v>
      </c>
      <c r="C16" s="827" t="s">
        <v>1048</v>
      </c>
      <c r="D16" s="828"/>
      <c r="E16" s="829"/>
    </row>
    <row r="17" spans="1:5" s="10" customFormat="1" ht="30" customHeight="1">
      <c r="A17" s="420" t="s">
        <v>1021</v>
      </c>
      <c r="B17" s="78">
        <f>SUM(B16:B16)</f>
        <v>1316900</v>
      </c>
      <c r="C17" s="429"/>
      <c r="D17" s="430"/>
      <c r="E17" s="431"/>
    </row>
    <row r="18" spans="1:5" s="10" customFormat="1" ht="30" customHeight="1">
      <c r="A18" s="420" t="s">
        <v>134</v>
      </c>
      <c r="B18" s="78">
        <f>B14+B17</f>
        <v>-1348</v>
      </c>
      <c r="C18" s="432"/>
      <c r="D18" s="433"/>
      <c r="E18" s="434"/>
    </row>
    <row r="19" spans="1:5" s="10" customFormat="1" ht="30" customHeight="1">
      <c r="A19" s="420" t="s">
        <v>135</v>
      </c>
      <c r="B19" s="78">
        <v>1155826</v>
      </c>
      <c r="C19" s="432"/>
      <c r="D19" s="433"/>
      <c r="E19" s="434"/>
    </row>
    <row r="20" spans="1:5" s="10" customFormat="1" ht="180.6" customHeight="1">
      <c r="A20" s="420" t="s">
        <v>136</v>
      </c>
      <c r="B20" s="78">
        <f>B18+B19</f>
        <v>1154478</v>
      </c>
      <c r="C20" s="432"/>
      <c r="D20" s="433"/>
      <c r="E20" s="434"/>
    </row>
    <row r="21" spans="1:5" ht="16.2" customHeight="1">
      <c r="A21" s="765"/>
      <c r="B21" s="766"/>
      <c r="C21" s="4"/>
      <c r="D21" s="4"/>
      <c r="E21" s="415"/>
    </row>
    <row r="22" spans="1:5">
      <c r="A22" s="765"/>
      <c r="B22" s="766"/>
      <c r="C22" s="4"/>
      <c r="D22" s="4"/>
      <c r="E22" s="415"/>
    </row>
    <row r="23" spans="1:5">
      <c r="A23" s="765"/>
      <c r="B23" s="766"/>
      <c r="C23" s="4"/>
      <c r="D23" s="4"/>
      <c r="E23" s="415"/>
    </row>
    <row r="24" spans="1:5">
      <c r="A24" s="765"/>
      <c r="B24" s="766"/>
      <c r="C24" s="4"/>
      <c r="D24" s="4"/>
      <c r="E24" s="415"/>
    </row>
    <row r="25" spans="1:5" ht="29.25" customHeight="1" thickBot="1">
      <c r="A25" s="287"/>
      <c r="B25" s="288"/>
      <c r="C25" s="498"/>
      <c r="D25" s="498"/>
      <c r="E25" s="416"/>
    </row>
  </sheetData>
  <mergeCells count="8">
    <mergeCell ref="C16:E16"/>
    <mergeCell ref="A1:E1"/>
    <mergeCell ref="A2:E2"/>
    <mergeCell ref="A3:E3"/>
    <mergeCell ref="A4:E4"/>
    <mergeCell ref="A5:A7"/>
    <mergeCell ref="B5:B7"/>
    <mergeCell ref="C5:E7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2" orientation="portrait" useFirstPageNumber="1" r:id="rId1"/>
  <headerFooter alignWithMargins="0">
    <oddFooter>&amp;C&amp;"細明體,標準"附&amp;"Times New Roman,標準"3-&amp;P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tabSelected="1" view="pageBreakPreview" zoomScale="75" zoomScaleNormal="100" zoomScaleSheetLayoutView="75" workbookViewId="0">
      <selection activeCell="C12" sqref="C12"/>
    </sheetView>
  </sheetViews>
  <sheetFormatPr defaultColWidth="9" defaultRowHeight="16.2"/>
  <cols>
    <col min="1" max="1" width="14.6640625" style="6" customWidth="1"/>
    <col min="2" max="2" width="32.5546875" style="568" customWidth="1"/>
    <col min="3" max="3" width="14.6640625" style="6" customWidth="1"/>
    <col min="4" max="4" width="15" style="20" customWidth="1"/>
    <col min="5" max="5" width="13.109375" style="6" customWidth="1"/>
    <col min="6" max="6" width="9.33203125" style="6" bestFit="1" customWidth="1"/>
    <col min="7" max="7" width="23.5546875" style="6" customWidth="1"/>
    <col min="8" max="16384" width="9" style="6"/>
  </cols>
  <sheetData>
    <row r="1" spans="1:7" ht="22.2">
      <c r="A1" s="798" t="s">
        <v>995</v>
      </c>
      <c r="B1" s="798"/>
      <c r="C1" s="798"/>
      <c r="D1" s="798"/>
      <c r="E1" s="798"/>
    </row>
    <row r="2" spans="1:7" ht="22.2">
      <c r="A2" s="798" t="s">
        <v>996</v>
      </c>
      <c r="B2" s="798"/>
      <c r="C2" s="798"/>
      <c r="D2" s="798"/>
      <c r="E2" s="798"/>
    </row>
    <row r="3" spans="1:7" ht="24.75" customHeight="1">
      <c r="A3" s="800" t="s">
        <v>1049</v>
      </c>
      <c r="B3" s="800"/>
      <c r="C3" s="800"/>
      <c r="D3" s="800"/>
      <c r="E3" s="800"/>
    </row>
    <row r="4" spans="1:7" ht="24.75" customHeight="1" thickBot="1">
      <c r="A4" s="815" t="s">
        <v>1023</v>
      </c>
      <c r="B4" s="815"/>
      <c r="C4" s="815"/>
      <c r="D4" s="815"/>
      <c r="E4" s="815"/>
    </row>
    <row r="5" spans="1:7" ht="15.75" customHeight="1">
      <c r="A5" s="891" t="s">
        <v>1024</v>
      </c>
      <c r="B5" s="947" t="s">
        <v>1025</v>
      </c>
      <c r="C5" s="900" t="s">
        <v>1026</v>
      </c>
      <c r="D5" s="900" t="s">
        <v>1027</v>
      </c>
      <c r="E5" s="897" t="s">
        <v>1028</v>
      </c>
    </row>
    <row r="6" spans="1:7" ht="15.75" customHeight="1">
      <c r="A6" s="892"/>
      <c r="B6" s="948"/>
      <c r="C6" s="901"/>
      <c r="D6" s="901"/>
      <c r="E6" s="898"/>
    </row>
    <row r="7" spans="1:7" ht="15.75" customHeight="1">
      <c r="A7" s="893"/>
      <c r="B7" s="949"/>
      <c r="C7" s="902"/>
      <c r="D7" s="902"/>
      <c r="E7" s="899"/>
    </row>
    <row r="8" spans="1:7" ht="9" customHeight="1">
      <c r="A8" s="25"/>
      <c r="B8" s="744"/>
      <c r="C8" s="670"/>
      <c r="D8" s="671"/>
      <c r="E8" s="122"/>
    </row>
    <row r="9" spans="1:7" s="31" customFormat="1" ht="30" customHeight="1">
      <c r="A9" s="123">
        <v>2327040</v>
      </c>
      <c r="B9" s="124" t="s">
        <v>1029</v>
      </c>
      <c r="C9" s="125">
        <f>C10+C13</f>
        <v>4494661</v>
      </c>
      <c r="D9" s="125">
        <f>D10+D13</f>
        <v>3183240</v>
      </c>
      <c r="E9" s="126">
        <f>E10+E13</f>
        <v>1311421</v>
      </c>
      <c r="G9" s="788"/>
    </row>
    <row r="10" spans="1:7" s="31" customFormat="1" ht="30" customHeight="1">
      <c r="A10" s="123">
        <v>2326837</v>
      </c>
      <c r="B10" s="127" t="s">
        <v>1030</v>
      </c>
      <c r="C10" s="125">
        <f>SUM(C11:C12)</f>
        <v>4494082</v>
      </c>
      <c r="D10" s="125">
        <f>SUM(D11:D12)</f>
        <v>3182619</v>
      </c>
      <c r="E10" s="126">
        <f>SUM(E11:E12)</f>
        <v>1311463</v>
      </c>
      <c r="G10" s="788"/>
    </row>
    <row r="11" spans="1:7" s="10" customFormat="1" ht="30" customHeight="1">
      <c r="A11" s="128">
        <v>1158788</v>
      </c>
      <c r="B11" s="129" t="s">
        <v>1031</v>
      </c>
      <c r="C11" s="130">
        <v>1154478</v>
      </c>
      <c r="D11" s="130">
        <v>1155826</v>
      </c>
      <c r="E11" s="131">
        <f>C11-D11</f>
        <v>-1348</v>
      </c>
      <c r="G11" s="788"/>
    </row>
    <row r="12" spans="1:7" s="10" customFormat="1" ht="30" customHeight="1">
      <c r="A12" s="128">
        <v>1168049</v>
      </c>
      <c r="B12" s="129" t="s">
        <v>1033</v>
      </c>
      <c r="C12" s="130">
        <v>3339604</v>
      </c>
      <c r="D12" s="130">
        <v>2026793</v>
      </c>
      <c r="E12" s="131">
        <f>C12-D12</f>
        <v>1312811</v>
      </c>
      <c r="G12" s="788"/>
    </row>
    <row r="13" spans="1:7" s="31" customFormat="1" ht="30" customHeight="1">
      <c r="A13" s="123">
        <v>203</v>
      </c>
      <c r="B13" s="127" t="s">
        <v>1050</v>
      </c>
      <c r="C13" s="125">
        <f>SUM(C14:C14)</f>
        <v>579</v>
      </c>
      <c r="D13" s="125">
        <f>SUM(D14:D14)</f>
        <v>621</v>
      </c>
      <c r="E13" s="126">
        <f>SUM(E14:E14)</f>
        <v>-42</v>
      </c>
      <c r="G13" s="788"/>
    </row>
    <row r="14" spans="1:7" s="10" customFormat="1" ht="30" customHeight="1">
      <c r="A14" s="128">
        <v>203</v>
      </c>
      <c r="B14" s="129" t="s">
        <v>1051</v>
      </c>
      <c r="C14" s="130">
        <v>579</v>
      </c>
      <c r="D14" s="130">
        <v>621</v>
      </c>
      <c r="E14" s="131">
        <f>C14-D14</f>
        <v>-42</v>
      </c>
      <c r="G14" s="788"/>
    </row>
    <row r="15" spans="1:7" s="10" customFormat="1" ht="30" hidden="1" customHeight="1">
      <c r="A15" s="128"/>
      <c r="B15" s="129"/>
      <c r="C15" s="130"/>
      <c r="D15" s="130"/>
      <c r="E15" s="131"/>
      <c r="G15" s="788"/>
    </row>
    <row r="16" spans="1:7" s="10" customFormat="1" ht="30" hidden="1" customHeight="1">
      <c r="A16" s="128"/>
      <c r="B16" s="129"/>
      <c r="C16" s="130"/>
      <c r="D16" s="130"/>
      <c r="E16" s="131"/>
      <c r="G16" s="788"/>
    </row>
    <row r="17" spans="1:7" s="10" customFormat="1" ht="30" hidden="1" customHeight="1">
      <c r="A17" s="128"/>
      <c r="B17" s="129"/>
      <c r="C17" s="130"/>
      <c r="D17" s="130"/>
      <c r="E17" s="131"/>
      <c r="G17" s="788"/>
    </row>
    <row r="18" spans="1:7" s="10" customFormat="1" ht="30" hidden="1" customHeight="1">
      <c r="A18" s="128"/>
      <c r="B18" s="129"/>
      <c r="C18" s="130"/>
      <c r="D18" s="130"/>
      <c r="E18" s="131"/>
      <c r="G18" s="788"/>
    </row>
    <row r="19" spans="1:7" s="10" customFormat="1" ht="30" hidden="1" customHeight="1">
      <c r="A19" s="128"/>
      <c r="B19" s="129"/>
      <c r="C19" s="130"/>
      <c r="D19" s="130"/>
      <c r="E19" s="131"/>
      <c r="G19" s="788"/>
    </row>
    <row r="20" spans="1:7" s="10" customFormat="1" ht="30" hidden="1" customHeight="1">
      <c r="A20" s="128"/>
      <c r="B20" s="129"/>
      <c r="C20" s="130"/>
      <c r="D20" s="130"/>
      <c r="E20" s="131"/>
      <c r="G20" s="788"/>
    </row>
    <row r="21" spans="1:7" s="10" customFormat="1" ht="30" hidden="1" customHeight="1">
      <c r="A21" s="128"/>
      <c r="B21" s="129"/>
      <c r="C21" s="130"/>
      <c r="D21" s="130"/>
      <c r="E21" s="131"/>
      <c r="G21" s="788"/>
    </row>
    <row r="22" spans="1:7" s="10" customFormat="1" ht="30" hidden="1" customHeight="1">
      <c r="A22" s="128"/>
      <c r="B22" s="129"/>
      <c r="C22" s="130"/>
      <c r="D22" s="130"/>
      <c r="E22" s="131"/>
      <c r="G22" s="788"/>
    </row>
    <row r="23" spans="1:7" s="10" customFormat="1" ht="30" hidden="1" customHeight="1">
      <c r="A23" s="128"/>
      <c r="B23" s="129"/>
      <c r="C23" s="130"/>
      <c r="D23" s="130"/>
      <c r="E23" s="131"/>
      <c r="G23" s="788"/>
    </row>
    <row r="24" spans="1:7" s="10" customFormat="1" ht="30" hidden="1" customHeight="1">
      <c r="A24" s="128"/>
      <c r="B24" s="129"/>
      <c r="C24" s="130"/>
      <c r="D24" s="130"/>
      <c r="E24" s="131"/>
      <c r="G24" s="788"/>
    </row>
    <row r="25" spans="1:7" s="10" customFormat="1" ht="30" hidden="1" customHeight="1">
      <c r="A25" s="128"/>
      <c r="B25" s="129"/>
      <c r="C25" s="130"/>
      <c r="D25" s="130"/>
      <c r="E25" s="131"/>
      <c r="G25" s="788"/>
    </row>
    <row r="26" spans="1:7" s="10" customFormat="1" ht="30" hidden="1" customHeight="1">
      <c r="A26" s="128"/>
      <c r="B26" s="129"/>
      <c r="C26" s="130"/>
      <c r="D26" s="130"/>
      <c r="E26" s="131"/>
      <c r="G26" s="788"/>
    </row>
    <row r="27" spans="1:7" s="10" customFormat="1" ht="23.4" hidden="1" customHeight="1">
      <c r="A27" s="128"/>
      <c r="B27" s="129"/>
      <c r="C27" s="130"/>
      <c r="D27" s="130"/>
      <c r="E27" s="131"/>
      <c r="G27" s="788"/>
    </row>
    <row r="28" spans="1:7" s="10" customFormat="1" ht="29.25" hidden="1" customHeight="1">
      <c r="A28" s="128"/>
      <c r="B28" s="129"/>
      <c r="C28" s="130"/>
      <c r="D28" s="130"/>
      <c r="E28" s="131"/>
      <c r="G28" s="788"/>
    </row>
    <row r="29" spans="1:7" s="10" customFormat="1" ht="20.25" customHeight="1">
      <c r="A29" s="128"/>
      <c r="B29" s="129"/>
      <c r="C29" s="130"/>
      <c r="D29" s="130"/>
      <c r="E29" s="131"/>
      <c r="G29" s="788"/>
    </row>
    <row r="30" spans="1:7" s="31" customFormat="1" ht="36" customHeight="1">
      <c r="A30" s="123">
        <f>A9</f>
        <v>2327040</v>
      </c>
      <c r="B30" s="124" t="s">
        <v>1052</v>
      </c>
      <c r="C30" s="125">
        <f>C9</f>
        <v>4494661</v>
      </c>
      <c r="D30" s="125">
        <f>D9</f>
        <v>3183240</v>
      </c>
      <c r="E30" s="126">
        <f>E9</f>
        <v>1311421</v>
      </c>
      <c r="G30" s="788"/>
    </row>
    <row r="31" spans="1:7" s="31" customFormat="1" ht="36" customHeight="1">
      <c r="A31" s="123"/>
      <c r="B31" s="124"/>
      <c r="C31" s="125"/>
      <c r="D31" s="125"/>
      <c r="E31" s="126"/>
      <c r="G31" s="788"/>
    </row>
    <row r="32" spans="1:7" s="31" customFormat="1" ht="30" customHeight="1">
      <c r="A32" s="123">
        <v>2327040</v>
      </c>
      <c r="B32" s="124" t="s">
        <v>1053</v>
      </c>
      <c r="C32" s="125">
        <f>C33+C37</f>
        <v>4494661</v>
      </c>
      <c r="D32" s="125">
        <f>D33+D37</f>
        <v>3183240</v>
      </c>
      <c r="E32" s="126">
        <f>E33+E37</f>
        <v>1311421</v>
      </c>
      <c r="G32" s="788"/>
    </row>
    <row r="33" spans="1:7" s="31" customFormat="1" ht="35.25" customHeight="1">
      <c r="A33" s="123">
        <v>2326887</v>
      </c>
      <c r="B33" s="127" t="s">
        <v>1054</v>
      </c>
      <c r="C33" s="125">
        <f>SUM(C34:C36)</f>
        <v>4494507</v>
      </c>
      <c r="D33" s="125">
        <f>SUM(D34:D36)</f>
        <v>3183086</v>
      </c>
      <c r="E33" s="126">
        <f>SUM(E34:E36)</f>
        <v>1311421</v>
      </c>
      <c r="G33" s="788"/>
    </row>
    <row r="34" spans="1:7" s="10" customFormat="1" ht="30" customHeight="1">
      <c r="A34" s="128">
        <v>1950000</v>
      </c>
      <c r="B34" s="129" t="s">
        <v>1055</v>
      </c>
      <c r="C34" s="130">
        <v>4124700</v>
      </c>
      <c r="D34" s="130">
        <v>2807800</v>
      </c>
      <c r="E34" s="131">
        <f>C34-D34</f>
        <v>1316900</v>
      </c>
      <c r="G34" s="788"/>
    </row>
    <row r="35" spans="1:7" s="10" customFormat="1" ht="30" customHeight="1">
      <c r="A35" s="128">
        <v>80035</v>
      </c>
      <c r="B35" s="129" t="s">
        <v>1056</v>
      </c>
      <c r="C35" s="130">
        <v>72955</v>
      </c>
      <c r="D35" s="130">
        <v>78434</v>
      </c>
      <c r="E35" s="131">
        <f>C35-D35</f>
        <v>-5479</v>
      </c>
      <c r="G35" s="788"/>
    </row>
    <row r="36" spans="1:7" s="10" customFormat="1" ht="30" customHeight="1">
      <c r="A36" s="128">
        <v>296852</v>
      </c>
      <c r="B36" s="129" t="s">
        <v>1057</v>
      </c>
      <c r="C36" s="130">
        <v>296852</v>
      </c>
      <c r="D36" s="130">
        <v>296852</v>
      </c>
      <c r="E36" s="133">
        <f>C36-D36</f>
        <v>0</v>
      </c>
      <c r="G36" s="788"/>
    </row>
    <row r="37" spans="1:7" s="31" customFormat="1" ht="30" customHeight="1">
      <c r="A37" s="123">
        <v>154</v>
      </c>
      <c r="B37" s="132" t="s">
        <v>1058</v>
      </c>
      <c r="C37" s="125">
        <f>SUM(C38:C38)</f>
        <v>154</v>
      </c>
      <c r="D37" s="125">
        <f>SUM(D38:D38)</f>
        <v>154</v>
      </c>
      <c r="E37" s="141">
        <f>SUM(E38:E38)</f>
        <v>0</v>
      </c>
      <c r="G37" s="788"/>
    </row>
    <row r="38" spans="1:7" s="10" customFormat="1" ht="30" customHeight="1">
      <c r="A38" s="128">
        <v>154</v>
      </c>
      <c r="B38" s="129" t="s">
        <v>1059</v>
      </c>
      <c r="C38" s="130">
        <v>154</v>
      </c>
      <c r="D38" s="130">
        <v>154</v>
      </c>
      <c r="E38" s="133">
        <f>C38-D38</f>
        <v>0</v>
      </c>
      <c r="G38" s="788"/>
    </row>
    <row r="39" spans="1:7" s="31" customFormat="1" ht="29.25" customHeight="1">
      <c r="A39" s="139">
        <f>A40</f>
        <v>0</v>
      </c>
      <c r="B39" s="124" t="s">
        <v>1060</v>
      </c>
      <c r="C39" s="140">
        <f t="shared" ref="C39:E40" si="0">C40</f>
        <v>0</v>
      </c>
      <c r="D39" s="140">
        <f t="shared" si="0"/>
        <v>0</v>
      </c>
      <c r="E39" s="141">
        <f t="shared" si="0"/>
        <v>0</v>
      </c>
      <c r="G39" s="788"/>
    </row>
    <row r="40" spans="1:7" s="31" customFormat="1" ht="30" customHeight="1">
      <c r="A40" s="139">
        <f>A41</f>
        <v>0</v>
      </c>
      <c r="B40" s="127" t="s">
        <v>1061</v>
      </c>
      <c r="C40" s="140">
        <f t="shared" si="0"/>
        <v>0</v>
      </c>
      <c r="D40" s="140">
        <f t="shared" si="0"/>
        <v>0</v>
      </c>
      <c r="E40" s="141">
        <f t="shared" si="0"/>
        <v>0</v>
      </c>
      <c r="G40" s="788"/>
    </row>
    <row r="41" spans="1:7" s="10" customFormat="1" ht="22.8" customHeight="1">
      <c r="A41" s="142">
        <v>0</v>
      </c>
      <c r="B41" s="129" t="s">
        <v>1062</v>
      </c>
      <c r="C41" s="138">
        <v>0</v>
      </c>
      <c r="D41" s="138">
        <v>0</v>
      </c>
      <c r="E41" s="133">
        <v>0</v>
      </c>
      <c r="G41" s="788"/>
    </row>
    <row r="42" spans="1:7" s="10" customFormat="1" ht="30" hidden="1" customHeight="1">
      <c r="A42" s="142"/>
      <c r="B42" s="129"/>
      <c r="C42" s="138"/>
      <c r="D42" s="138"/>
      <c r="E42" s="133"/>
      <c r="G42" s="788"/>
    </row>
    <row r="43" spans="1:7" s="10" customFormat="1" ht="30" hidden="1" customHeight="1">
      <c r="A43" s="142"/>
      <c r="B43" s="129"/>
      <c r="C43" s="138"/>
      <c r="D43" s="138"/>
      <c r="E43" s="133"/>
      <c r="G43" s="788"/>
    </row>
    <row r="44" spans="1:7" s="10" customFormat="1" ht="30" hidden="1" customHeight="1">
      <c r="A44" s="142"/>
      <c r="B44" s="129"/>
      <c r="C44" s="138"/>
      <c r="D44" s="138"/>
      <c r="E44" s="133"/>
      <c r="G44" s="788"/>
    </row>
    <row r="45" spans="1:7" s="10" customFormat="1" ht="30" hidden="1" customHeight="1">
      <c r="A45" s="142"/>
      <c r="B45" s="129"/>
      <c r="C45" s="138"/>
      <c r="D45" s="138"/>
      <c r="E45" s="133"/>
      <c r="G45" s="788"/>
    </row>
    <row r="46" spans="1:7" s="10" customFormat="1" ht="30" hidden="1" customHeight="1">
      <c r="A46" s="142"/>
      <c r="B46" s="129"/>
      <c r="C46" s="138"/>
      <c r="D46" s="138"/>
      <c r="E46" s="133"/>
      <c r="G46" s="788"/>
    </row>
    <row r="47" spans="1:7" s="10" customFormat="1" ht="30" hidden="1" customHeight="1">
      <c r="A47" s="142"/>
      <c r="B47" s="129"/>
      <c r="C47" s="138"/>
      <c r="D47" s="138"/>
      <c r="E47" s="133"/>
      <c r="G47" s="788"/>
    </row>
    <row r="48" spans="1:7" s="10" customFormat="1" ht="30" hidden="1" customHeight="1">
      <c r="A48" s="142"/>
      <c r="B48" s="129"/>
      <c r="C48" s="138"/>
      <c r="D48" s="138"/>
      <c r="E48" s="133"/>
      <c r="G48" s="788"/>
    </row>
    <row r="49" spans="1:7" s="10" customFormat="1" ht="30" hidden="1" customHeight="1">
      <c r="A49" s="142"/>
      <c r="B49" s="129"/>
      <c r="C49" s="138"/>
      <c r="D49" s="138"/>
      <c r="E49" s="133"/>
      <c r="G49" s="788"/>
    </row>
    <row r="50" spans="1:7" s="10" customFormat="1" ht="23.4" hidden="1" customHeight="1">
      <c r="A50" s="142"/>
      <c r="B50" s="129"/>
      <c r="C50" s="138"/>
      <c r="D50" s="138"/>
      <c r="E50" s="133"/>
      <c r="G50" s="788"/>
    </row>
    <row r="51" spans="1:7" s="10" customFormat="1" ht="29.25" hidden="1" customHeight="1">
      <c r="A51" s="142"/>
      <c r="B51" s="129"/>
      <c r="C51" s="138"/>
      <c r="D51" s="138"/>
      <c r="E51" s="133"/>
      <c r="G51" s="788"/>
    </row>
    <row r="52" spans="1:7" s="10" customFormat="1" ht="16.2" customHeight="1">
      <c r="A52" s="142"/>
      <c r="B52" s="129"/>
      <c r="C52" s="138"/>
      <c r="D52" s="138"/>
      <c r="E52" s="133"/>
      <c r="G52" s="788"/>
    </row>
    <row r="53" spans="1:7" s="31" customFormat="1" ht="33" customHeight="1" thickBot="1">
      <c r="A53" s="134">
        <v>2327040</v>
      </c>
      <c r="B53" s="135" t="s">
        <v>1052</v>
      </c>
      <c r="C53" s="136">
        <f>C32+C39</f>
        <v>4494661</v>
      </c>
      <c r="D53" s="136">
        <f>D32+D39</f>
        <v>3183240</v>
      </c>
      <c r="E53" s="137">
        <f>E32+E39</f>
        <v>1311421</v>
      </c>
      <c r="G53" s="788"/>
    </row>
  </sheetData>
  <mergeCells count="9">
    <mergeCell ref="A1:E1"/>
    <mergeCell ref="A2:E2"/>
    <mergeCell ref="A3:E3"/>
    <mergeCell ref="A4:E4"/>
    <mergeCell ref="A5:A7"/>
    <mergeCell ref="B5:B7"/>
    <mergeCell ref="C5:C7"/>
    <mergeCell ref="D5:D7"/>
    <mergeCell ref="E5:E7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3" orientation="portrait" useFirstPageNumber="1" r:id="rId1"/>
  <headerFooter alignWithMargins="0">
    <oddFooter>&amp;C&amp;"細明體,標準"附&amp;"Times New Roman,標準"3-&amp;P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O61"/>
  <sheetViews>
    <sheetView zoomScaleNormal="100" zoomScaleSheetLayoutView="125" workbookViewId="0">
      <pane xSplit="3" ySplit="7" topLeftCell="D44" activePane="bottomRight" state="frozen"/>
      <selection activeCell="A18" sqref="A18"/>
      <selection pane="topRight" activeCell="A18" sqref="A18"/>
      <selection pane="bottomLeft" activeCell="A18" sqref="A18"/>
      <selection pane="bottomRight" activeCell="A53" sqref="A53"/>
    </sheetView>
  </sheetViews>
  <sheetFormatPr defaultColWidth="9" defaultRowHeight="16.2"/>
  <cols>
    <col min="1" max="1" width="10.44140625" style="2" customWidth="1"/>
    <col min="2" max="2" width="6.6640625" style="2" customWidth="1"/>
    <col min="3" max="3" width="21.77734375" style="742" customWidth="1"/>
    <col min="4" max="4" width="10.44140625" style="167" customWidth="1"/>
    <col min="5" max="5" width="6.6640625" style="320" customWidth="1"/>
    <col min="6" max="6" width="10.44140625" style="2" customWidth="1"/>
    <col min="7" max="7" width="6.6640625" style="2" customWidth="1"/>
    <col min="8" max="8" width="10.44140625" style="2" customWidth="1"/>
    <col min="9" max="9" width="6.6640625" style="2" customWidth="1"/>
    <col min="10" max="10" width="9" style="767"/>
    <col min="11" max="13" width="9.6640625" style="2" hidden="1" customWidth="1"/>
    <col min="14" max="16384" width="9" style="2"/>
  </cols>
  <sheetData>
    <row r="1" spans="1:15" ht="21" customHeight="1">
      <c r="A1" s="798" t="s">
        <v>1089</v>
      </c>
      <c r="B1" s="798"/>
      <c r="C1" s="798"/>
      <c r="D1" s="798"/>
      <c r="E1" s="798"/>
      <c r="F1" s="798"/>
      <c r="G1" s="798"/>
      <c r="H1" s="798"/>
      <c r="I1" s="798"/>
    </row>
    <row r="2" spans="1:15" ht="21" customHeight="1">
      <c r="A2" s="798" t="s">
        <v>1088</v>
      </c>
      <c r="B2" s="798"/>
      <c r="C2" s="798"/>
      <c r="D2" s="798"/>
      <c r="E2" s="798"/>
      <c r="F2" s="798"/>
      <c r="G2" s="798"/>
      <c r="H2" s="798"/>
      <c r="I2" s="798"/>
    </row>
    <row r="3" spans="1:15" ht="24.75" customHeight="1">
      <c r="A3" s="800" t="s">
        <v>1087</v>
      </c>
      <c r="B3" s="800"/>
      <c r="C3" s="800"/>
      <c r="D3" s="800"/>
      <c r="E3" s="800"/>
      <c r="F3" s="800"/>
      <c r="G3" s="800"/>
      <c r="H3" s="800"/>
      <c r="I3" s="800"/>
    </row>
    <row r="4" spans="1:15" ht="24.9" customHeight="1" thickBot="1">
      <c r="A4" s="802" t="s">
        <v>1086</v>
      </c>
      <c r="B4" s="802"/>
      <c r="C4" s="802"/>
      <c r="D4" s="802"/>
      <c r="E4" s="802"/>
      <c r="F4" s="802"/>
      <c r="G4" s="802"/>
      <c r="H4" s="802"/>
      <c r="I4" s="802"/>
      <c r="J4" s="767" t="s">
        <v>1085</v>
      </c>
    </row>
    <row r="5" spans="1:15" ht="21" customHeight="1">
      <c r="A5" s="945" t="s">
        <v>880</v>
      </c>
      <c r="B5" s="793"/>
      <c r="C5" s="792" t="s">
        <v>18</v>
      </c>
      <c r="D5" s="793" t="s">
        <v>881</v>
      </c>
      <c r="E5" s="793"/>
      <c r="F5" s="793" t="s">
        <v>882</v>
      </c>
      <c r="G5" s="793"/>
      <c r="H5" s="793" t="s">
        <v>883</v>
      </c>
      <c r="I5" s="803"/>
    </row>
    <row r="6" spans="1:15" ht="19.5" customHeight="1">
      <c r="A6" s="682" t="s">
        <v>1084</v>
      </c>
      <c r="B6" s="674" t="s">
        <v>885</v>
      </c>
      <c r="C6" s="946"/>
      <c r="D6" s="683" t="s">
        <v>1084</v>
      </c>
      <c r="E6" s="684" t="s">
        <v>885</v>
      </c>
      <c r="F6" s="674" t="s">
        <v>1084</v>
      </c>
      <c r="G6" s="674" t="s">
        <v>885</v>
      </c>
      <c r="H6" s="674" t="s">
        <v>1084</v>
      </c>
      <c r="I6" s="685" t="s">
        <v>885</v>
      </c>
    </row>
    <row r="7" spans="1:15" ht="8.25" customHeight="1">
      <c r="A7" s="686"/>
      <c r="B7" s="177"/>
      <c r="C7" s="176"/>
      <c r="D7" s="687"/>
      <c r="E7" s="688"/>
      <c r="F7" s="177"/>
      <c r="G7" s="177"/>
      <c r="H7" s="177"/>
      <c r="I7" s="689"/>
    </row>
    <row r="8" spans="1:15" s="31" customFormat="1" ht="30" customHeight="1">
      <c r="A8" s="344">
        <v>570652</v>
      </c>
      <c r="B8" s="690">
        <v>100</v>
      </c>
      <c r="C8" s="691" t="s">
        <v>19</v>
      </c>
      <c r="D8" s="692">
        <f>D13+D9+D17</f>
        <v>605849</v>
      </c>
      <c r="E8" s="690">
        <v>100</v>
      </c>
      <c r="F8" s="692">
        <f>F13+F9+F17</f>
        <v>676404</v>
      </c>
      <c r="G8" s="690">
        <v>100</v>
      </c>
      <c r="H8" s="693">
        <f t="shared" ref="H8:H46" si="0">D8-F8</f>
        <v>-70555</v>
      </c>
      <c r="I8" s="360">
        <f t="shared" ref="I8:I15" si="1">ROUND(H8/F8*100,2)</f>
        <v>-10.43</v>
      </c>
      <c r="J8" s="779"/>
      <c r="K8" s="762">
        <f t="shared" ref="K8:K46" si="2">ROUND(A8/$A$8*100,4)</f>
        <v>100</v>
      </c>
      <c r="L8" s="762">
        <f t="shared" ref="L8:L46" si="3">ROUND(D8/$D$8*100,4)</f>
        <v>100</v>
      </c>
      <c r="M8" s="762">
        <f t="shared" ref="M8:M46" si="4">ROUND(F8/$F$8*100,4)</f>
        <v>100</v>
      </c>
    </row>
    <row r="9" spans="1:15" s="31" customFormat="1" ht="36" customHeight="1">
      <c r="A9" s="344">
        <v>110182</v>
      </c>
      <c r="B9" s="690">
        <f t="shared" ref="B9:B16" si="5">ROUND(A9/$A$8*100,2)</f>
        <v>19.309999999999999</v>
      </c>
      <c r="C9" s="691" t="s">
        <v>1083</v>
      </c>
      <c r="D9" s="692">
        <f>D10</f>
        <v>65497</v>
      </c>
      <c r="E9" s="695">
        <f t="shared" ref="E9:E46" si="6">ROUND(D9/$D$8*100,2)</f>
        <v>10.81</v>
      </c>
      <c r="F9" s="692">
        <f>F10</f>
        <v>85714</v>
      </c>
      <c r="G9" s="695">
        <f t="shared" ref="G9:G46" si="7">ROUND(F9/$F$8*100,2)</f>
        <v>12.67</v>
      </c>
      <c r="H9" s="693">
        <f t="shared" si="0"/>
        <v>-20217</v>
      </c>
      <c r="I9" s="360">
        <f t="shared" si="1"/>
        <v>-23.59</v>
      </c>
      <c r="J9" s="779"/>
      <c r="K9" s="762">
        <f t="shared" si="2"/>
        <v>19.3081</v>
      </c>
      <c r="L9" s="762">
        <f t="shared" si="3"/>
        <v>10.8108</v>
      </c>
      <c r="M9" s="762">
        <f t="shared" si="4"/>
        <v>12.672000000000001</v>
      </c>
    </row>
    <row r="10" spans="1:15" s="10" customFormat="1" ht="36.75" customHeight="1">
      <c r="A10" s="696">
        <v>110182</v>
      </c>
      <c r="B10" s="697">
        <f t="shared" si="5"/>
        <v>19.309999999999999</v>
      </c>
      <c r="C10" s="698" t="s">
        <v>1082</v>
      </c>
      <c r="D10" s="702">
        <f>SUM(D11:D12)</f>
        <v>65497</v>
      </c>
      <c r="E10" s="412">
        <f t="shared" si="6"/>
        <v>10.81</v>
      </c>
      <c r="F10" s="702">
        <f>SUM(F11:F12)</f>
        <v>85714</v>
      </c>
      <c r="G10" s="412">
        <f t="shared" si="7"/>
        <v>12.67</v>
      </c>
      <c r="H10" s="703">
        <f t="shared" si="0"/>
        <v>-20217</v>
      </c>
      <c r="I10" s="355">
        <f t="shared" si="1"/>
        <v>-23.59</v>
      </c>
      <c r="J10" s="776"/>
      <c r="K10" s="733">
        <f t="shared" si="2"/>
        <v>19.3081</v>
      </c>
      <c r="L10" s="733">
        <f t="shared" si="3"/>
        <v>10.8108</v>
      </c>
      <c r="M10" s="733">
        <f t="shared" si="4"/>
        <v>12.672000000000001</v>
      </c>
    </row>
    <row r="11" spans="1:15" s="10" customFormat="1" ht="30" customHeight="1">
      <c r="A11" s="696">
        <v>108690</v>
      </c>
      <c r="B11" s="697">
        <f t="shared" si="5"/>
        <v>19.05</v>
      </c>
      <c r="C11" s="698" t="s">
        <v>1071</v>
      </c>
      <c r="D11" s="702">
        <v>64499</v>
      </c>
      <c r="E11" s="412">
        <f t="shared" si="6"/>
        <v>10.65</v>
      </c>
      <c r="F11" s="702">
        <v>84382</v>
      </c>
      <c r="G11" s="412">
        <f t="shared" si="7"/>
        <v>12.48</v>
      </c>
      <c r="H11" s="703">
        <f t="shared" si="0"/>
        <v>-19883</v>
      </c>
      <c r="I11" s="355">
        <f t="shared" si="1"/>
        <v>-23.56</v>
      </c>
      <c r="J11" s="776"/>
      <c r="K11" s="733">
        <f t="shared" si="2"/>
        <v>19.046600000000002</v>
      </c>
      <c r="L11" s="733">
        <f t="shared" si="3"/>
        <v>10.646100000000001</v>
      </c>
      <c r="M11" s="733">
        <f t="shared" si="4"/>
        <v>12.475099999999999</v>
      </c>
      <c r="O11" s="783"/>
    </row>
    <row r="12" spans="1:15" s="10" customFormat="1" ht="30" customHeight="1">
      <c r="A12" s="696">
        <v>1492</v>
      </c>
      <c r="B12" s="697">
        <f t="shared" si="5"/>
        <v>0.26</v>
      </c>
      <c r="C12" s="698" t="s">
        <v>1068</v>
      </c>
      <c r="D12" s="702">
        <v>998</v>
      </c>
      <c r="E12" s="412">
        <f t="shared" si="6"/>
        <v>0.16</v>
      </c>
      <c r="F12" s="702">
        <v>1332</v>
      </c>
      <c r="G12" s="412">
        <f t="shared" si="7"/>
        <v>0.2</v>
      </c>
      <c r="H12" s="703">
        <f t="shared" si="0"/>
        <v>-334</v>
      </c>
      <c r="I12" s="355">
        <f t="shared" si="1"/>
        <v>-25.08</v>
      </c>
      <c r="J12" s="776"/>
      <c r="K12" s="733">
        <f t="shared" si="2"/>
        <v>0.26150000000000001</v>
      </c>
      <c r="L12" s="733">
        <f t="shared" si="3"/>
        <v>0.16470000000000001</v>
      </c>
      <c r="M12" s="733">
        <f t="shared" si="4"/>
        <v>0.19689999999999999</v>
      </c>
      <c r="O12" s="782"/>
    </row>
    <row r="13" spans="1:15" s="31" customFormat="1" ht="30" customHeight="1">
      <c r="A13" s="344">
        <v>387471</v>
      </c>
      <c r="B13" s="690">
        <f t="shared" si="5"/>
        <v>67.900000000000006</v>
      </c>
      <c r="C13" s="691" t="s">
        <v>1081</v>
      </c>
      <c r="D13" s="692">
        <f>D14</f>
        <v>507552</v>
      </c>
      <c r="E13" s="695">
        <f t="shared" si="6"/>
        <v>83.78</v>
      </c>
      <c r="F13" s="692">
        <f>F14</f>
        <v>547347</v>
      </c>
      <c r="G13" s="695">
        <f t="shared" si="7"/>
        <v>80.92</v>
      </c>
      <c r="H13" s="693">
        <f t="shared" si="0"/>
        <v>-39795</v>
      </c>
      <c r="I13" s="360">
        <f t="shared" si="1"/>
        <v>-7.27</v>
      </c>
      <c r="J13" s="779"/>
      <c r="K13" s="762">
        <f t="shared" si="2"/>
        <v>67.899699999999996</v>
      </c>
      <c r="L13" s="762">
        <f t="shared" si="3"/>
        <v>83.775300000000001</v>
      </c>
      <c r="M13" s="762">
        <f t="shared" si="4"/>
        <v>80.920100000000005</v>
      </c>
    </row>
    <row r="14" spans="1:15" s="10" customFormat="1" ht="30" customHeight="1">
      <c r="A14" s="696">
        <v>387471</v>
      </c>
      <c r="B14" s="697">
        <f t="shared" si="5"/>
        <v>67.900000000000006</v>
      </c>
      <c r="C14" s="713" t="s">
        <v>1080</v>
      </c>
      <c r="D14" s="702">
        <f>SUM(D15:D16)</f>
        <v>507552</v>
      </c>
      <c r="E14" s="412">
        <f t="shared" si="6"/>
        <v>83.78</v>
      </c>
      <c r="F14" s="702">
        <f>SUM(F15:F16)</f>
        <v>547347</v>
      </c>
      <c r="G14" s="412">
        <f t="shared" si="7"/>
        <v>80.92</v>
      </c>
      <c r="H14" s="703">
        <f t="shared" si="0"/>
        <v>-39795</v>
      </c>
      <c r="I14" s="355">
        <f t="shared" si="1"/>
        <v>-7.27</v>
      </c>
      <c r="J14" s="776"/>
      <c r="K14" s="733">
        <f t="shared" si="2"/>
        <v>67.899699999999996</v>
      </c>
      <c r="L14" s="733">
        <f t="shared" si="3"/>
        <v>83.775300000000001</v>
      </c>
      <c r="M14" s="733">
        <f t="shared" si="4"/>
        <v>80.920100000000005</v>
      </c>
    </row>
    <row r="15" spans="1:15" s="10" customFormat="1" ht="30" customHeight="1">
      <c r="A15" s="696">
        <v>387471</v>
      </c>
      <c r="B15" s="697">
        <f t="shared" si="5"/>
        <v>67.900000000000006</v>
      </c>
      <c r="C15" s="698" t="s">
        <v>1071</v>
      </c>
      <c r="D15" s="702">
        <v>493570</v>
      </c>
      <c r="E15" s="412">
        <f t="shared" si="6"/>
        <v>81.47</v>
      </c>
      <c r="F15" s="702">
        <v>537245</v>
      </c>
      <c r="G15" s="412">
        <f t="shared" si="7"/>
        <v>79.430000000000007</v>
      </c>
      <c r="H15" s="703">
        <f t="shared" si="0"/>
        <v>-43675</v>
      </c>
      <c r="I15" s="355">
        <f t="shared" si="1"/>
        <v>-8.1300000000000008</v>
      </c>
      <c r="J15" s="776"/>
      <c r="K15" s="733">
        <f t="shared" si="2"/>
        <v>67.899699999999996</v>
      </c>
      <c r="L15" s="733">
        <f t="shared" si="3"/>
        <v>81.467500000000001</v>
      </c>
      <c r="M15" s="733">
        <f t="shared" si="4"/>
        <v>79.426599999999993</v>
      </c>
    </row>
    <row r="16" spans="1:15" s="10" customFormat="1" ht="30" customHeight="1">
      <c r="A16" s="714">
        <v>0</v>
      </c>
      <c r="B16" s="704">
        <f t="shared" si="5"/>
        <v>0</v>
      </c>
      <c r="C16" s="698" t="s">
        <v>1068</v>
      </c>
      <c r="D16" s="699">
        <v>13982</v>
      </c>
      <c r="E16" s="412">
        <f t="shared" si="6"/>
        <v>2.31</v>
      </c>
      <c r="F16" s="699">
        <v>10102</v>
      </c>
      <c r="G16" s="412">
        <f t="shared" si="7"/>
        <v>1.49</v>
      </c>
      <c r="H16" s="699">
        <f t="shared" si="0"/>
        <v>3880</v>
      </c>
      <c r="I16" s="700">
        <v>0</v>
      </c>
      <c r="J16" s="776"/>
      <c r="K16" s="733">
        <f t="shared" si="2"/>
        <v>0</v>
      </c>
      <c r="L16" s="733">
        <f t="shared" si="3"/>
        <v>2.3077999999999999</v>
      </c>
      <c r="M16" s="733">
        <f t="shared" si="4"/>
        <v>1.4935</v>
      </c>
    </row>
    <row r="17" spans="1:13" s="31" customFormat="1" ht="28.95" customHeight="1">
      <c r="A17" s="344">
        <v>72999</v>
      </c>
      <c r="B17" s="690">
        <v>12.79</v>
      </c>
      <c r="C17" s="691" t="s">
        <v>1079</v>
      </c>
      <c r="D17" s="692">
        <f>+D20+D18</f>
        <v>32800</v>
      </c>
      <c r="E17" s="695">
        <f t="shared" si="6"/>
        <v>5.41</v>
      </c>
      <c r="F17" s="692">
        <f>+F20+F18</f>
        <v>43343</v>
      </c>
      <c r="G17" s="695">
        <f t="shared" si="7"/>
        <v>6.41</v>
      </c>
      <c r="H17" s="763">
        <f t="shared" si="0"/>
        <v>-10543</v>
      </c>
      <c r="I17" s="360">
        <f>ROUND(H17/F17*100,2)</f>
        <v>-24.32</v>
      </c>
      <c r="J17" s="779"/>
      <c r="K17" s="762">
        <f t="shared" si="2"/>
        <v>12.792199999999999</v>
      </c>
      <c r="L17" s="762">
        <f t="shared" si="3"/>
        <v>5.4138999999999999</v>
      </c>
      <c r="M17" s="762">
        <f t="shared" si="4"/>
        <v>6.4078999999999997</v>
      </c>
    </row>
    <row r="18" spans="1:13" s="10" customFormat="1" ht="28.95" customHeight="1">
      <c r="A18" s="714">
        <f>A19</f>
        <v>70000</v>
      </c>
      <c r="B18" s="697">
        <f t="shared" ref="B18:B46" si="8">ROUND(A18/$A$8*100,2)</f>
        <v>12.27</v>
      </c>
      <c r="C18" s="716" t="s">
        <v>1078</v>
      </c>
      <c r="D18" s="702">
        <f>D19</f>
        <v>30000</v>
      </c>
      <c r="E18" s="412">
        <f t="shared" si="6"/>
        <v>4.95</v>
      </c>
      <c r="F18" s="702">
        <f>F19</f>
        <v>40000</v>
      </c>
      <c r="G18" s="412">
        <f t="shared" si="7"/>
        <v>5.91</v>
      </c>
      <c r="H18" s="703">
        <f t="shared" si="0"/>
        <v>-10000</v>
      </c>
      <c r="I18" s="355">
        <f>ROUND(H18/F18*100,2)</f>
        <v>-25</v>
      </c>
      <c r="J18" s="776"/>
      <c r="K18" s="733">
        <f t="shared" si="2"/>
        <v>12.2667</v>
      </c>
      <c r="L18" s="733">
        <f t="shared" si="3"/>
        <v>4.9516999999999998</v>
      </c>
      <c r="M18" s="733">
        <f t="shared" si="4"/>
        <v>5.9135999999999997</v>
      </c>
    </row>
    <row r="19" spans="1:13" s="10" customFormat="1" ht="28.95" customHeight="1">
      <c r="A19" s="696">
        <v>70000</v>
      </c>
      <c r="B19" s="697">
        <f t="shared" si="8"/>
        <v>12.27</v>
      </c>
      <c r="C19" s="698" t="s">
        <v>1068</v>
      </c>
      <c r="D19" s="702">
        <v>30000</v>
      </c>
      <c r="E19" s="412">
        <f t="shared" si="6"/>
        <v>4.95</v>
      </c>
      <c r="F19" s="702">
        <v>40000</v>
      </c>
      <c r="G19" s="412">
        <f t="shared" si="7"/>
        <v>5.91</v>
      </c>
      <c r="H19" s="703">
        <f t="shared" si="0"/>
        <v>-10000</v>
      </c>
      <c r="I19" s="355">
        <f>ROUND(H19/F19*100,2)</f>
        <v>-25</v>
      </c>
      <c r="J19" s="776"/>
      <c r="K19" s="733">
        <f t="shared" si="2"/>
        <v>12.2667</v>
      </c>
      <c r="L19" s="733">
        <f t="shared" si="3"/>
        <v>4.9516999999999998</v>
      </c>
      <c r="M19" s="733">
        <f t="shared" si="4"/>
        <v>5.9135999999999997</v>
      </c>
    </row>
    <row r="20" spans="1:13" s="10" customFormat="1" ht="28.95" customHeight="1">
      <c r="A20" s="714">
        <v>2999</v>
      </c>
      <c r="B20" s="697">
        <f t="shared" si="8"/>
        <v>0.53</v>
      </c>
      <c r="C20" s="716" t="s">
        <v>1077</v>
      </c>
      <c r="D20" s="702">
        <f>D22</f>
        <v>2800</v>
      </c>
      <c r="E20" s="412">
        <f t="shared" si="6"/>
        <v>0.46</v>
      </c>
      <c r="F20" s="702">
        <f>F22</f>
        <v>3343</v>
      </c>
      <c r="G20" s="412">
        <f t="shared" si="7"/>
        <v>0.49</v>
      </c>
      <c r="H20" s="703">
        <f t="shared" si="0"/>
        <v>-543</v>
      </c>
      <c r="I20" s="355">
        <f>ROUND(H20/F20*100,2)</f>
        <v>-16.239999999999998</v>
      </c>
      <c r="J20" s="776"/>
      <c r="K20" s="733">
        <f t="shared" si="2"/>
        <v>0.52549999999999997</v>
      </c>
      <c r="L20" s="733">
        <f t="shared" si="3"/>
        <v>0.4622</v>
      </c>
      <c r="M20" s="733">
        <f t="shared" si="4"/>
        <v>0.49419999999999997</v>
      </c>
    </row>
    <row r="21" spans="1:13" s="10" customFormat="1" ht="28.95" hidden="1" customHeight="1">
      <c r="A21" s="714">
        <v>0</v>
      </c>
      <c r="B21" s="697">
        <f t="shared" si="8"/>
        <v>0</v>
      </c>
      <c r="C21" s="698" t="s">
        <v>1071</v>
      </c>
      <c r="D21" s="699">
        <v>0</v>
      </c>
      <c r="E21" s="412">
        <f t="shared" si="6"/>
        <v>0</v>
      </c>
      <c r="F21" s="699">
        <v>0</v>
      </c>
      <c r="G21" s="412">
        <f t="shared" si="7"/>
        <v>0</v>
      </c>
      <c r="H21" s="699">
        <f t="shared" si="0"/>
        <v>0</v>
      </c>
      <c r="I21" s="700">
        <v>0</v>
      </c>
      <c r="J21" s="776"/>
      <c r="K21" s="733">
        <f t="shared" si="2"/>
        <v>0</v>
      </c>
      <c r="L21" s="733">
        <f t="shared" si="3"/>
        <v>0</v>
      </c>
      <c r="M21" s="733">
        <f t="shared" si="4"/>
        <v>0</v>
      </c>
    </row>
    <row r="22" spans="1:13" s="10" customFormat="1" ht="28.95" customHeight="1">
      <c r="A22" s="696">
        <v>2999</v>
      </c>
      <c r="B22" s="697">
        <f t="shared" si="8"/>
        <v>0.53</v>
      </c>
      <c r="C22" s="698" t="s">
        <v>1068</v>
      </c>
      <c r="D22" s="702">
        <v>2800</v>
      </c>
      <c r="E22" s="412">
        <f t="shared" si="6"/>
        <v>0.46</v>
      </c>
      <c r="F22" s="702">
        <v>3343</v>
      </c>
      <c r="G22" s="412">
        <f t="shared" si="7"/>
        <v>0.49</v>
      </c>
      <c r="H22" s="703">
        <f t="shared" si="0"/>
        <v>-543</v>
      </c>
      <c r="I22" s="355">
        <f>ROUND(H22/F22*100,2)</f>
        <v>-16.239999999999998</v>
      </c>
      <c r="J22" s="776"/>
      <c r="K22" s="733">
        <f t="shared" si="2"/>
        <v>0.52549999999999997</v>
      </c>
      <c r="L22" s="733">
        <f t="shared" si="3"/>
        <v>0.4622</v>
      </c>
      <c r="M22" s="733">
        <f t="shared" si="4"/>
        <v>0.49419999999999997</v>
      </c>
    </row>
    <row r="23" spans="1:13" s="31" customFormat="1" ht="32.25" customHeight="1">
      <c r="A23" s="344">
        <v>572049</v>
      </c>
      <c r="B23" s="690">
        <f t="shared" si="8"/>
        <v>100.24</v>
      </c>
      <c r="C23" s="691" t="s">
        <v>1076</v>
      </c>
      <c r="D23" s="692">
        <f>D24+D32</f>
        <v>605849</v>
      </c>
      <c r="E23" s="695">
        <f t="shared" si="6"/>
        <v>100</v>
      </c>
      <c r="F23" s="692">
        <f>F24+F32</f>
        <v>676404</v>
      </c>
      <c r="G23" s="695">
        <f t="shared" si="7"/>
        <v>100</v>
      </c>
      <c r="H23" s="693">
        <f t="shared" si="0"/>
        <v>-70555</v>
      </c>
      <c r="I23" s="360">
        <f>ROUND(H23/F23*100,2)</f>
        <v>-10.43</v>
      </c>
      <c r="J23" s="779"/>
      <c r="K23" s="762">
        <f t="shared" si="2"/>
        <v>100.2448</v>
      </c>
      <c r="L23" s="762">
        <f t="shared" si="3"/>
        <v>100</v>
      </c>
      <c r="M23" s="762">
        <f t="shared" si="4"/>
        <v>100</v>
      </c>
    </row>
    <row r="24" spans="1:13" s="31" customFormat="1" ht="32.25" customHeight="1">
      <c r="A24" s="344">
        <v>529756</v>
      </c>
      <c r="B24" s="690">
        <f t="shared" si="8"/>
        <v>92.83</v>
      </c>
      <c r="C24" s="691" t="s">
        <v>1075</v>
      </c>
      <c r="D24" s="692">
        <f>D25+D27+D29</f>
        <v>558909</v>
      </c>
      <c r="E24" s="695">
        <f t="shared" si="6"/>
        <v>92.25</v>
      </c>
      <c r="F24" s="692">
        <f>F25+F27+F29</f>
        <v>622647</v>
      </c>
      <c r="G24" s="695">
        <f t="shared" si="7"/>
        <v>92.05</v>
      </c>
      <c r="H24" s="693">
        <f t="shared" si="0"/>
        <v>-63738</v>
      </c>
      <c r="I24" s="360">
        <f>ROUND(H24/F24*100,2)</f>
        <v>-10.24</v>
      </c>
      <c r="J24" s="779"/>
      <c r="K24" s="762">
        <f t="shared" si="2"/>
        <v>92.833500000000001</v>
      </c>
      <c r="L24" s="762">
        <f t="shared" si="3"/>
        <v>92.252200000000002</v>
      </c>
      <c r="M24" s="762">
        <f t="shared" si="4"/>
        <v>92.052499999999995</v>
      </c>
    </row>
    <row r="25" spans="1:13" s="10" customFormat="1" ht="28.95" customHeight="1">
      <c r="A25" s="696">
        <v>496957</v>
      </c>
      <c r="B25" s="697">
        <f t="shared" si="8"/>
        <v>87.09</v>
      </c>
      <c r="C25" s="698" t="s">
        <v>1074</v>
      </c>
      <c r="D25" s="702">
        <f>SUM(D26:D26)</f>
        <v>558069</v>
      </c>
      <c r="E25" s="412">
        <f t="shared" si="6"/>
        <v>92.11</v>
      </c>
      <c r="F25" s="702">
        <f>SUM(F26:F26)</f>
        <v>621627</v>
      </c>
      <c r="G25" s="412">
        <f t="shared" si="7"/>
        <v>91.9</v>
      </c>
      <c r="H25" s="354">
        <f t="shared" si="0"/>
        <v>-63558</v>
      </c>
      <c r="I25" s="355">
        <f>I26</f>
        <v>-10.220000000000001</v>
      </c>
      <c r="J25" s="776"/>
      <c r="K25" s="733">
        <f t="shared" si="2"/>
        <v>87.085800000000006</v>
      </c>
      <c r="L25" s="733">
        <f t="shared" si="3"/>
        <v>92.113500000000002</v>
      </c>
      <c r="M25" s="733">
        <f t="shared" si="4"/>
        <v>91.901700000000005</v>
      </c>
    </row>
    <row r="26" spans="1:13" s="10" customFormat="1" ht="24.6" customHeight="1">
      <c r="A26" s="696">
        <v>496957</v>
      </c>
      <c r="B26" s="697">
        <f t="shared" si="8"/>
        <v>87.09</v>
      </c>
      <c r="C26" s="698" t="s">
        <v>1071</v>
      </c>
      <c r="D26" s="702">
        <v>558069</v>
      </c>
      <c r="E26" s="412">
        <f t="shared" si="6"/>
        <v>92.11</v>
      </c>
      <c r="F26" s="702">
        <v>621627</v>
      </c>
      <c r="G26" s="412">
        <f t="shared" si="7"/>
        <v>91.9</v>
      </c>
      <c r="H26" s="703">
        <f t="shared" si="0"/>
        <v>-63558</v>
      </c>
      <c r="I26" s="355">
        <f>ROUND(H26/F26*100,2)</f>
        <v>-10.220000000000001</v>
      </c>
      <c r="J26" s="776"/>
      <c r="K26" s="733">
        <f t="shared" si="2"/>
        <v>87.085800000000006</v>
      </c>
      <c r="L26" s="733">
        <f t="shared" si="3"/>
        <v>92.113500000000002</v>
      </c>
      <c r="M26" s="733">
        <f t="shared" si="4"/>
        <v>91.901700000000005</v>
      </c>
    </row>
    <row r="27" spans="1:13" s="10" customFormat="1" ht="28.8" customHeight="1">
      <c r="A27" s="696">
        <v>32799</v>
      </c>
      <c r="B27" s="697">
        <f t="shared" si="8"/>
        <v>5.75</v>
      </c>
      <c r="C27" s="698" t="s">
        <v>1073</v>
      </c>
      <c r="D27" s="699">
        <f>SUM(D28:D28)</f>
        <v>0</v>
      </c>
      <c r="E27" s="412">
        <f t="shared" si="6"/>
        <v>0</v>
      </c>
      <c r="F27" s="699">
        <f>SUM(F28:F28)</f>
        <v>0</v>
      </c>
      <c r="G27" s="412">
        <f t="shared" si="7"/>
        <v>0</v>
      </c>
      <c r="H27" s="699">
        <f t="shared" si="0"/>
        <v>0</v>
      </c>
      <c r="I27" s="700">
        <v>0</v>
      </c>
      <c r="J27" s="776"/>
      <c r="K27" s="733">
        <f t="shared" si="2"/>
        <v>5.7476000000000003</v>
      </c>
      <c r="L27" s="733">
        <f t="shared" si="3"/>
        <v>0</v>
      </c>
      <c r="M27" s="733">
        <f t="shared" si="4"/>
        <v>0</v>
      </c>
    </row>
    <row r="28" spans="1:13" s="10" customFormat="1" ht="29.4" customHeight="1">
      <c r="A28" s="696">
        <v>32799</v>
      </c>
      <c r="B28" s="697">
        <f t="shared" si="8"/>
        <v>5.75</v>
      </c>
      <c r="C28" s="698" t="s">
        <v>1068</v>
      </c>
      <c r="D28" s="699">
        <v>0</v>
      </c>
      <c r="E28" s="412">
        <f t="shared" si="6"/>
        <v>0</v>
      </c>
      <c r="F28" s="699">
        <v>0</v>
      </c>
      <c r="G28" s="412">
        <f t="shared" si="7"/>
        <v>0</v>
      </c>
      <c r="H28" s="699">
        <f t="shared" si="0"/>
        <v>0</v>
      </c>
      <c r="I28" s="700">
        <v>0</v>
      </c>
      <c r="J28" s="776"/>
      <c r="K28" s="733">
        <f t="shared" si="2"/>
        <v>5.7476000000000003</v>
      </c>
      <c r="L28" s="733">
        <f t="shared" si="3"/>
        <v>0</v>
      </c>
      <c r="M28" s="733">
        <f t="shared" si="4"/>
        <v>0</v>
      </c>
    </row>
    <row r="29" spans="1:13" s="10" customFormat="1" ht="24" customHeight="1" thickBot="1">
      <c r="A29" s="781">
        <v>0</v>
      </c>
      <c r="B29" s="755">
        <f t="shared" si="8"/>
        <v>0</v>
      </c>
      <c r="C29" s="709" t="s">
        <v>1072</v>
      </c>
      <c r="D29" s="710">
        <f>SUM(D30:D31)</f>
        <v>840</v>
      </c>
      <c r="E29" s="439">
        <f t="shared" si="6"/>
        <v>0.14000000000000001</v>
      </c>
      <c r="F29" s="710">
        <f>SUM(F30:F31)</f>
        <v>1020</v>
      </c>
      <c r="G29" s="439">
        <f t="shared" si="7"/>
        <v>0.15</v>
      </c>
      <c r="H29" s="711">
        <f t="shared" si="0"/>
        <v>-180</v>
      </c>
      <c r="I29" s="379">
        <f>ROUND(H29/F29*100,2)</f>
        <v>-17.649999999999999</v>
      </c>
      <c r="J29" s="776"/>
      <c r="K29" s="733">
        <f t="shared" si="2"/>
        <v>0</v>
      </c>
      <c r="L29" s="733">
        <f t="shared" si="3"/>
        <v>0.1386</v>
      </c>
      <c r="M29" s="733">
        <f t="shared" si="4"/>
        <v>0.15079999999999999</v>
      </c>
    </row>
    <row r="30" spans="1:13" s="10" customFormat="1" ht="30" hidden="1" customHeight="1" thickBot="1">
      <c r="A30" s="714">
        <v>0</v>
      </c>
      <c r="B30" s="755">
        <f t="shared" si="8"/>
        <v>0</v>
      </c>
      <c r="C30" s="698" t="s">
        <v>1071</v>
      </c>
      <c r="D30" s="412">
        <v>0</v>
      </c>
      <c r="E30" s="412">
        <f t="shared" si="6"/>
        <v>0</v>
      </c>
      <c r="F30" s="412">
        <v>0</v>
      </c>
      <c r="G30" s="412">
        <f t="shared" si="7"/>
        <v>0</v>
      </c>
      <c r="H30" s="699">
        <f t="shared" si="0"/>
        <v>0</v>
      </c>
      <c r="I30" s="700">
        <v>0</v>
      </c>
      <c r="J30" s="776"/>
      <c r="K30" s="733">
        <f t="shared" si="2"/>
        <v>0</v>
      </c>
      <c r="L30" s="733">
        <f t="shared" si="3"/>
        <v>0</v>
      </c>
      <c r="M30" s="733">
        <f t="shared" si="4"/>
        <v>0</v>
      </c>
    </row>
    <row r="31" spans="1:13" s="10" customFormat="1" ht="30" customHeight="1">
      <c r="A31" s="714">
        <v>0</v>
      </c>
      <c r="B31" s="699">
        <f t="shared" si="8"/>
        <v>0</v>
      </c>
      <c r="C31" s="698" t="s">
        <v>1068</v>
      </c>
      <c r="D31" s="702">
        <v>840</v>
      </c>
      <c r="E31" s="412">
        <f t="shared" si="6"/>
        <v>0.14000000000000001</v>
      </c>
      <c r="F31" s="702">
        <v>1020</v>
      </c>
      <c r="G31" s="412">
        <f t="shared" si="7"/>
        <v>0.15</v>
      </c>
      <c r="H31" s="703">
        <f t="shared" si="0"/>
        <v>-180</v>
      </c>
      <c r="I31" s="355">
        <f>ROUND(H31/F31*100,2)</f>
        <v>-17.649999999999999</v>
      </c>
      <c r="J31" s="776"/>
      <c r="K31" s="733">
        <f t="shared" si="2"/>
        <v>0</v>
      </c>
      <c r="L31" s="733">
        <f t="shared" si="3"/>
        <v>0.1386</v>
      </c>
      <c r="M31" s="733">
        <f t="shared" si="4"/>
        <v>0.15079999999999999</v>
      </c>
    </row>
    <row r="32" spans="1:13" s="31" customFormat="1" ht="30" customHeight="1">
      <c r="A32" s="344">
        <v>42293</v>
      </c>
      <c r="B32" s="690">
        <f t="shared" si="8"/>
        <v>7.41</v>
      </c>
      <c r="C32" s="691" t="s">
        <v>1070</v>
      </c>
      <c r="D32" s="692">
        <f>SUM(D33:D33)</f>
        <v>46940</v>
      </c>
      <c r="E32" s="695">
        <f t="shared" si="6"/>
        <v>7.75</v>
      </c>
      <c r="F32" s="692">
        <f>SUM(F33:F33)</f>
        <v>53757</v>
      </c>
      <c r="G32" s="695">
        <f t="shared" si="7"/>
        <v>7.95</v>
      </c>
      <c r="H32" s="693">
        <f t="shared" si="0"/>
        <v>-6817</v>
      </c>
      <c r="I32" s="360">
        <f>ROUND(H32/F32*100,2)</f>
        <v>-12.68</v>
      </c>
      <c r="J32" s="779"/>
      <c r="K32" s="762">
        <f t="shared" si="2"/>
        <v>7.4112999999999998</v>
      </c>
      <c r="L32" s="762">
        <f t="shared" si="3"/>
        <v>7.7477999999999998</v>
      </c>
      <c r="M32" s="762">
        <f t="shared" si="4"/>
        <v>7.9474999999999998</v>
      </c>
    </row>
    <row r="33" spans="1:13" s="10" customFormat="1" ht="30" customHeight="1">
      <c r="A33" s="696">
        <v>42293</v>
      </c>
      <c r="B33" s="697">
        <f t="shared" si="8"/>
        <v>7.41</v>
      </c>
      <c r="C33" s="698" t="s">
        <v>1069</v>
      </c>
      <c r="D33" s="702">
        <f>SUM(D34:D34)</f>
        <v>46940</v>
      </c>
      <c r="E33" s="412">
        <f t="shared" si="6"/>
        <v>7.75</v>
      </c>
      <c r="F33" s="702">
        <f>SUM(F34:F34)</f>
        <v>53757</v>
      </c>
      <c r="G33" s="412">
        <f t="shared" si="7"/>
        <v>7.95</v>
      </c>
      <c r="H33" s="703">
        <f t="shared" si="0"/>
        <v>-6817</v>
      </c>
      <c r="I33" s="355">
        <f>ROUND(H33/F33*100,2)</f>
        <v>-12.68</v>
      </c>
      <c r="J33" s="776"/>
      <c r="K33" s="733">
        <f t="shared" si="2"/>
        <v>7.4112999999999998</v>
      </c>
      <c r="L33" s="733">
        <f t="shared" si="3"/>
        <v>7.7477999999999998</v>
      </c>
      <c r="M33" s="733">
        <f t="shared" si="4"/>
        <v>7.9474999999999998</v>
      </c>
    </row>
    <row r="34" spans="1:13" s="10" customFormat="1" ht="30" customHeight="1">
      <c r="A34" s="696">
        <v>42293</v>
      </c>
      <c r="B34" s="697">
        <f t="shared" si="8"/>
        <v>7.41</v>
      </c>
      <c r="C34" s="698" t="s">
        <v>1068</v>
      </c>
      <c r="D34" s="702">
        <v>46940</v>
      </c>
      <c r="E34" s="412">
        <f t="shared" si="6"/>
        <v>7.75</v>
      </c>
      <c r="F34" s="702">
        <v>53757</v>
      </c>
      <c r="G34" s="412">
        <f t="shared" si="7"/>
        <v>7.95</v>
      </c>
      <c r="H34" s="703">
        <f t="shared" si="0"/>
        <v>-6817</v>
      </c>
      <c r="I34" s="355">
        <f>ROUND(H34/F34*100,2)</f>
        <v>-12.68</v>
      </c>
      <c r="J34" s="776"/>
      <c r="K34" s="733">
        <f t="shared" si="2"/>
        <v>7.4112999999999998</v>
      </c>
      <c r="L34" s="733">
        <f t="shared" si="3"/>
        <v>7.7477999999999998</v>
      </c>
      <c r="M34" s="733">
        <f t="shared" si="4"/>
        <v>7.9474999999999998</v>
      </c>
    </row>
    <row r="35" spans="1:13" s="31" customFormat="1" ht="30" customHeight="1">
      <c r="A35" s="344">
        <f>SUM(A36:A37)</f>
        <v>-1397</v>
      </c>
      <c r="B35" s="697">
        <f t="shared" si="8"/>
        <v>-0.24</v>
      </c>
      <c r="C35" s="691" t="s">
        <v>1067</v>
      </c>
      <c r="D35" s="727">
        <f>SUM(D36:D37)</f>
        <v>0</v>
      </c>
      <c r="E35" s="695">
        <f t="shared" si="6"/>
        <v>0</v>
      </c>
      <c r="F35" s="727">
        <f>SUM(F36:F37)</f>
        <v>0</v>
      </c>
      <c r="G35" s="695">
        <f t="shared" si="7"/>
        <v>0</v>
      </c>
      <c r="H35" s="727">
        <f t="shared" si="0"/>
        <v>0</v>
      </c>
      <c r="I35" s="715">
        <v>0</v>
      </c>
      <c r="J35" s="779"/>
      <c r="K35" s="762">
        <f t="shared" si="2"/>
        <v>-0.24479999999999999</v>
      </c>
      <c r="L35" s="762">
        <f t="shared" si="3"/>
        <v>0</v>
      </c>
      <c r="M35" s="762">
        <f t="shared" si="4"/>
        <v>0</v>
      </c>
    </row>
    <row r="36" spans="1:13" s="10" customFormat="1" ht="30" customHeight="1">
      <c r="A36" s="780">
        <f>A11+A15+A21-A26-A30-1</f>
        <v>-797</v>
      </c>
      <c r="B36" s="697">
        <f t="shared" si="8"/>
        <v>-0.14000000000000001</v>
      </c>
      <c r="C36" s="698" t="s">
        <v>1064</v>
      </c>
      <c r="D36" s="699">
        <f>D11+D15+D21-D26-D30</f>
        <v>0</v>
      </c>
      <c r="E36" s="412">
        <f t="shared" si="6"/>
        <v>0</v>
      </c>
      <c r="F36" s="699">
        <f>F11+F15+F21-F26-F30</f>
        <v>0</v>
      </c>
      <c r="G36" s="412">
        <f t="shared" si="7"/>
        <v>0</v>
      </c>
      <c r="H36" s="699">
        <f t="shared" si="0"/>
        <v>0</v>
      </c>
      <c r="I36" s="700">
        <v>0</v>
      </c>
      <c r="J36" s="776"/>
      <c r="K36" s="733">
        <f t="shared" si="2"/>
        <v>-0.13969999999999999</v>
      </c>
      <c r="L36" s="733">
        <f t="shared" si="3"/>
        <v>0</v>
      </c>
      <c r="M36" s="733">
        <f t="shared" si="4"/>
        <v>0</v>
      </c>
    </row>
    <row r="37" spans="1:13" s="10" customFormat="1" ht="30" customHeight="1">
      <c r="A37" s="696">
        <f>A12+A19+A22-A28-A31-A34+A16+1</f>
        <v>-600</v>
      </c>
      <c r="B37" s="697">
        <f t="shared" si="8"/>
        <v>-0.11</v>
      </c>
      <c r="C37" s="698" t="s">
        <v>1063</v>
      </c>
      <c r="D37" s="699">
        <f>D12+D19+D22-D28-D31-D34+D16</f>
        <v>0</v>
      </c>
      <c r="E37" s="412">
        <f t="shared" si="6"/>
        <v>0</v>
      </c>
      <c r="F37" s="699">
        <f>F12+F19+F22-F28-F31-F34+F16</f>
        <v>0</v>
      </c>
      <c r="G37" s="412">
        <f t="shared" si="7"/>
        <v>0</v>
      </c>
      <c r="H37" s="699">
        <f t="shared" si="0"/>
        <v>0</v>
      </c>
      <c r="I37" s="700">
        <v>0</v>
      </c>
      <c r="J37" s="775"/>
      <c r="K37" s="733">
        <f t="shared" si="2"/>
        <v>-0.1051</v>
      </c>
      <c r="L37" s="733">
        <f t="shared" si="3"/>
        <v>0</v>
      </c>
      <c r="M37" s="733">
        <f t="shared" si="4"/>
        <v>0</v>
      </c>
    </row>
    <row r="38" spans="1:13" s="31" customFormat="1" ht="30" customHeight="1">
      <c r="A38" s="337">
        <v>1397</v>
      </c>
      <c r="B38" s="697">
        <f t="shared" si="8"/>
        <v>0.24</v>
      </c>
      <c r="C38" s="691" t="s">
        <v>499</v>
      </c>
      <c r="D38" s="727">
        <f>SUM(D39:D41)</f>
        <v>0</v>
      </c>
      <c r="E38" s="695">
        <f t="shared" si="6"/>
        <v>0</v>
      </c>
      <c r="F38" s="727">
        <v>0</v>
      </c>
      <c r="G38" s="695">
        <f t="shared" si="7"/>
        <v>0</v>
      </c>
      <c r="H38" s="727">
        <f t="shared" si="0"/>
        <v>0</v>
      </c>
      <c r="I38" s="715">
        <v>0</v>
      </c>
      <c r="J38" s="779"/>
      <c r="K38" s="762">
        <f t="shared" si="2"/>
        <v>0.24479999999999999</v>
      </c>
      <c r="L38" s="762">
        <f t="shared" si="3"/>
        <v>0</v>
      </c>
      <c r="M38" s="762">
        <f t="shared" si="4"/>
        <v>0</v>
      </c>
    </row>
    <row r="39" spans="1:13" s="31" customFormat="1" ht="30" customHeight="1">
      <c r="A39" s="337">
        <v>1397</v>
      </c>
      <c r="B39" s="697">
        <f t="shared" si="8"/>
        <v>0.24</v>
      </c>
      <c r="C39" s="691" t="s">
        <v>1066</v>
      </c>
      <c r="D39" s="727">
        <f>SUM(D41:D42)</f>
        <v>0</v>
      </c>
      <c r="E39" s="695">
        <f t="shared" si="6"/>
        <v>0</v>
      </c>
      <c r="F39" s="727">
        <v>0</v>
      </c>
      <c r="G39" s="695">
        <f t="shared" si="7"/>
        <v>0</v>
      </c>
      <c r="H39" s="727">
        <f t="shared" si="0"/>
        <v>0</v>
      </c>
      <c r="I39" s="715">
        <v>0</v>
      </c>
      <c r="J39" s="779"/>
      <c r="K39" s="762">
        <f t="shared" si="2"/>
        <v>0.24479999999999999</v>
      </c>
      <c r="L39" s="762">
        <f t="shared" si="3"/>
        <v>0</v>
      </c>
      <c r="M39" s="762">
        <f t="shared" si="4"/>
        <v>0</v>
      </c>
    </row>
    <row r="40" spans="1:13" s="31" customFormat="1" ht="30" customHeight="1">
      <c r="A40" s="337">
        <v>1397</v>
      </c>
      <c r="B40" s="697">
        <f t="shared" si="8"/>
        <v>0.24</v>
      </c>
      <c r="C40" s="698" t="s">
        <v>1065</v>
      </c>
      <c r="D40" s="727">
        <f>SUM(D42:D43)</f>
        <v>0</v>
      </c>
      <c r="E40" s="695">
        <f t="shared" si="6"/>
        <v>0</v>
      </c>
      <c r="F40" s="727">
        <v>0</v>
      </c>
      <c r="G40" s="695">
        <f t="shared" si="7"/>
        <v>0</v>
      </c>
      <c r="H40" s="727">
        <f t="shared" si="0"/>
        <v>0</v>
      </c>
      <c r="I40" s="715">
        <v>0</v>
      </c>
      <c r="J40" s="779"/>
      <c r="K40" s="762">
        <f t="shared" si="2"/>
        <v>0.24479999999999999</v>
      </c>
      <c r="L40" s="762">
        <f t="shared" si="3"/>
        <v>0</v>
      </c>
      <c r="M40" s="762">
        <f t="shared" si="4"/>
        <v>0</v>
      </c>
    </row>
    <row r="41" spans="1:13" s="10" customFormat="1" ht="30" customHeight="1">
      <c r="A41" s="777">
        <v>797</v>
      </c>
      <c r="B41" s="697">
        <f t="shared" si="8"/>
        <v>0.14000000000000001</v>
      </c>
      <c r="C41" s="698" t="s">
        <v>1064</v>
      </c>
      <c r="D41" s="699">
        <v>0</v>
      </c>
      <c r="E41" s="412">
        <f t="shared" si="6"/>
        <v>0</v>
      </c>
      <c r="F41" s="699">
        <v>0</v>
      </c>
      <c r="G41" s="412">
        <f t="shared" si="7"/>
        <v>0</v>
      </c>
      <c r="H41" s="699">
        <f t="shared" si="0"/>
        <v>0</v>
      </c>
      <c r="I41" s="700">
        <v>0</v>
      </c>
      <c r="J41" s="776"/>
      <c r="K41" s="733">
        <f t="shared" si="2"/>
        <v>0.13969999999999999</v>
      </c>
      <c r="L41" s="733">
        <f t="shared" si="3"/>
        <v>0</v>
      </c>
      <c r="M41" s="733">
        <f t="shared" si="4"/>
        <v>0</v>
      </c>
    </row>
    <row r="42" spans="1:13" s="10" customFormat="1" ht="30" customHeight="1">
      <c r="A42" s="714">
        <v>600</v>
      </c>
      <c r="B42" s="697">
        <f t="shared" si="8"/>
        <v>0.11</v>
      </c>
      <c r="C42" s="698" t="s">
        <v>1063</v>
      </c>
      <c r="D42" s="699">
        <v>0</v>
      </c>
      <c r="E42" s="412">
        <f t="shared" si="6"/>
        <v>0</v>
      </c>
      <c r="F42" s="699">
        <v>0</v>
      </c>
      <c r="G42" s="412">
        <f t="shared" si="7"/>
        <v>0</v>
      </c>
      <c r="H42" s="699">
        <f t="shared" si="0"/>
        <v>0</v>
      </c>
      <c r="I42" s="700">
        <v>0</v>
      </c>
      <c r="J42" s="775"/>
      <c r="K42" s="733">
        <f t="shared" si="2"/>
        <v>0.1051</v>
      </c>
      <c r="L42" s="733">
        <f t="shared" si="3"/>
        <v>0</v>
      </c>
      <c r="M42" s="733">
        <f t="shared" si="4"/>
        <v>0</v>
      </c>
    </row>
    <row r="43" spans="1:13" s="31" customFormat="1" ht="30" customHeight="1">
      <c r="A43" s="712">
        <f>+A39</f>
        <v>1397</v>
      </c>
      <c r="B43" s="778">
        <f t="shared" si="8"/>
        <v>0.24</v>
      </c>
      <c r="C43" s="691" t="s">
        <v>509</v>
      </c>
      <c r="D43" s="727">
        <f>+D39</f>
        <v>0</v>
      </c>
      <c r="E43" s="695">
        <f t="shared" si="6"/>
        <v>0</v>
      </c>
      <c r="F43" s="727">
        <v>0</v>
      </c>
      <c r="G43" s="695">
        <f t="shared" si="7"/>
        <v>0</v>
      </c>
      <c r="H43" s="727">
        <f t="shared" si="0"/>
        <v>0</v>
      </c>
      <c r="I43" s="715">
        <v>0</v>
      </c>
      <c r="J43" s="33"/>
      <c r="K43" s="762">
        <f t="shared" si="2"/>
        <v>0.24479999999999999</v>
      </c>
      <c r="L43" s="762">
        <f t="shared" si="3"/>
        <v>0</v>
      </c>
      <c r="M43" s="762">
        <f t="shared" si="4"/>
        <v>0</v>
      </c>
    </row>
    <row r="44" spans="1:13" s="10" customFormat="1" ht="30" customHeight="1">
      <c r="A44" s="777">
        <v>797</v>
      </c>
      <c r="B44" s="697">
        <f t="shared" si="8"/>
        <v>0.14000000000000001</v>
      </c>
      <c r="C44" s="698" t="s">
        <v>1064</v>
      </c>
      <c r="D44" s="699">
        <v>0</v>
      </c>
      <c r="E44" s="412">
        <f t="shared" si="6"/>
        <v>0</v>
      </c>
      <c r="F44" s="699">
        <v>0</v>
      </c>
      <c r="G44" s="412">
        <f t="shared" si="7"/>
        <v>0</v>
      </c>
      <c r="H44" s="699">
        <f t="shared" si="0"/>
        <v>0</v>
      </c>
      <c r="I44" s="700">
        <v>0</v>
      </c>
      <c r="J44" s="776"/>
      <c r="K44" s="733">
        <f t="shared" si="2"/>
        <v>0.13969999999999999</v>
      </c>
      <c r="L44" s="733">
        <f t="shared" si="3"/>
        <v>0</v>
      </c>
      <c r="M44" s="733">
        <f t="shared" si="4"/>
        <v>0</v>
      </c>
    </row>
    <row r="45" spans="1:13" s="10" customFormat="1" ht="30" customHeight="1">
      <c r="A45" s="714">
        <v>600</v>
      </c>
      <c r="B45" s="697">
        <f t="shared" si="8"/>
        <v>0.11</v>
      </c>
      <c r="C45" s="698" t="s">
        <v>1063</v>
      </c>
      <c r="D45" s="699">
        <v>0</v>
      </c>
      <c r="E45" s="412">
        <f t="shared" si="6"/>
        <v>0</v>
      </c>
      <c r="F45" s="699">
        <v>0</v>
      </c>
      <c r="G45" s="412">
        <f t="shared" si="7"/>
        <v>0</v>
      </c>
      <c r="H45" s="699">
        <f t="shared" si="0"/>
        <v>0</v>
      </c>
      <c r="I45" s="700">
        <v>0</v>
      </c>
      <c r="J45" s="775"/>
      <c r="K45" s="733">
        <f t="shared" si="2"/>
        <v>0.1051</v>
      </c>
      <c r="L45" s="733">
        <f t="shared" si="3"/>
        <v>0</v>
      </c>
      <c r="M45" s="733">
        <f t="shared" si="4"/>
        <v>0</v>
      </c>
    </row>
    <row r="46" spans="1:13" s="31" customFormat="1" ht="30" customHeight="1">
      <c r="A46" s="712">
        <v>0</v>
      </c>
      <c r="B46" s="699">
        <f t="shared" si="8"/>
        <v>0</v>
      </c>
      <c r="C46" s="691" t="s">
        <v>20</v>
      </c>
      <c r="D46" s="727">
        <f>+D35</f>
        <v>0</v>
      </c>
      <c r="E46" s="695">
        <f t="shared" si="6"/>
        <v>0</v>
      </c>
      <c r="F46" s="727">
        <v>0</v>
      </c>
      <c r="G46" s="695">
        <f t="shared" si="7"/>
        <v>0</v>
      </c>
      <c r="H46" s="727">
        <f t="shared" si="0"/>
        <v>0</v>
      </c>
      <c r="I46" s="715">
        <v>0</v>
      </c>
      <c r="J46" s="33"/>
      <c r="K46" s="762">
        <f t="shared" si="2"/>
        <v>0</v>
      </c>
      <c r="L46" s="762">
        <f t="shared" si="3"/>
        <v>0</v>
      </c>
      <c r="M46" s="762">
        <f t="shared" si="4"/>
        <v>0</v>
      </c>
    </row>
    <row r="47" spans="1:13" s="31" customFormat="1" ht="59.4" customHeight="1">
      <c r="A47" s="712"/>
      <c r="B47" s="704"/>
      <c r="C47" s="691"/>
      <c r="D47" s="727"/>
      <c r="E47" s="704"/>
      <c r="F47" s="727"/>
      <c r="G47" s="704"/>
      <c r="H47" s="727"/>
      <c r="I47" s="715"/>
      <c r="J47" s="33"/>
      <c r="K47" s="762"/>
      <c r="L47" s="762"/>
      <c r="M47" s="762"/>
    </row>
    <row r="48" spans="1:13" s="31" customFormat="1" ht="11.4" customHeight="1">
      <c r="A48" s="712"/>
      <c r="B48" s="704"/>
      <c r="C48" s="691"/>
      <c r="D48" s="727"/>
      <c r="E48" s="704"/>
      <c r="F48" s="727"/>
      <c r="G48" s="704"/>
      <c r="H48" s="727"/>
      <c r="I48" s="715"/>
      <c r="J48" s="33"/>
      <c r="K48" s="762"/>
      <c r="L48" s="762"/>
      <c r="M48" s="762"/>
    </row>
    <row r="49" spans="1:13" s="31" customFormat="1" ht="10.8" customHeight="1">
      <c r="A49" s="712"/>
      <c r="B49" s="704"/>
      <c r="C49" s="691"/>
      <c r="D49" s="727"/>
      <c r="E49" s="704"/>
      <c r="F49" s="727"/>
      <c r="G49" s="704"/>
      <c r="H49" s="727"/>
      <c r="I49" s="715"/>
      <c r="J49" s="33"/>
      <c r="K49" s="762"/>
      <c r="L49" s="762"/>
      <c r="M49" s="762"/>
    </row>
    <row r="50" spans="1:13" s="31" customFormat="1" ht="6.75" customHeight="1">
      <c r="A50" s="712"/>
      <c r="B50" s="704"/>
      <c r="C50" s="691"/>
      <c r="D50" s="727"/>
      <c r="E50" s="704"/>
      <c r="F50" s="727"/>
      <c r="G50" s="704"/>
      <c r="H50" s="727"/>
      <c r="I50" s="715"/>
      <c r="J50" s="33"/>
      <c r="K50" s="762"/>
      <c r="L50" s="762"/>
      <c r="M50" s="762"/>
    </row>
    <row r="51" spans="1:13" s="6" customFormat="1" ht="27.75" customHeight="1" thickBot="1">
      <c r="A51" s="774"/>
      <c r="B51" s="771"/>
      <c r="C51" s="773"/>
      <c r="D51" s="772"/>
      <c r="E51" s="771"/>
      <c r="F51" s="772"/>
      <c r="G51" s="771"/>
      <c r="H51" s="770"/>
      <c r="I51" s="769"/>
      <c r="J51" s="4"/>
    </row>
    <row r="52" spans="1:13" ht="34.200000000000003" customHeight="1">
      <c r="A52" s="809" t="s">
        <v>1140</v>
      </c>
      <c r="B52" s="809"/>
      <c r="C52" s="809"/>
      <c r="D52" s="809"/>
      <c r="E52" s="809"/>
      <c r="F52" s="809"/>
      <c r="G52" s="809"/>
      <c r="H52" s="809"/>
      <c r="I52" s="809"/>
      <c r="J52" s="2"/>
    </row>
    <row r="53" spans="1:13" ht="15.6">
      <c r="A53" s="757"/>
      <c r="B53" s="758"/>
      <c r="C53" s="759"/>
      <c r="D53" s="768"/>
      <c r="E53" s="760"/>
      <c r="F53" s="758"/>
      <c r="G53" s="758"/>
      <c r="H53" s="758"/>
      <c r="I53" s="758"/>
    </row>
    <row r="54" spans="1:13" ht="15.6">
      <c r="C54" s="761"/>
    </row>
    <row r="55" spans="1:13" ht="15.6">
      <c r="C55" s="761"/>
    </row>
    <row r="56" spans="1:13" ht="15.6">
      <c r="C56" s="761"/>
    </row>
    <row r="57" spans="1:13" ht="15.6">
      <c r="C57" s="761"/>
    </row>
    <row r="58" spans="1:13" ht="15.6">
      <c r="C58" s="761"/>
    </row>
    <row r="59" spans="1:13" ht="15.6">
      <c r="C59" s="761"/>
    </row>
    <row r="60" spans="1:13" ht="15.6">
      <c r="C60" s="761"/>
    </row>
    <row r="61" spans="1:13" ht="15.6">
      <c r="C61" s="761"/>
    </row>
  </sheetData>
  <mergeCells count="10">
    <mergeCell ref="A52:I52"/>
    <mergeCell ref="A4:I4"/>
    <mergeCell ref="A1:I1"/>
    <mergeCell ref="A2:I2"/>
    <mergeCell ref="A3:I3"/>
    <mergeCell ref="H5:I5"/>
    <mergeCell ref="A5:B5"/>
    <mergeCell ref="C5:C6"/>
    <mergeCell ref="D5:E5"/>
    <mergeCell ref="F5:G5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orientation="portrait" useFirstPageNumber="1" r:id="rId1"/>
  <headerFooter alignWithMargins="0">
    <oddFooter>&amp;C&amp;"細明體,標準"附&amp;"Times New Roman,標準"4-&amp;P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39"/>
  <sheetViews>
    <sheetView topLeftCell="A4" workbookViewId="0">
      <selection activeCell="D13" sqref="D13"/>
    </sheetView>
  </sheetViews>
  <sheetFormatPr defaultColWidth="9" defaultRowHeight="15.6"/>
  <cols>
    <col min="1" max="1" width="42.77734375" style="6" bestFit="1" customWidth="1"/>
    <col min="2" max="2" width="15.88671875" style="6" customWidth="1"/>
    <col min="3" max="3" width="15.44140625" style="6" bestFit="1" customWidth="1"/>
    <col min="4" max="4" width="10.44140625" style="6" bestFit="1" customWidth="1"/>
    <col min="5" max="5" width="5.6640625" style="6" customWidth="1"/>
    <col min="6" max="6" width="39" style="6" customWidth="1"/>
    <col min="7" max="7" width="9" style="6"/>
    <col min="8" max="8" width="26.33203125" style="6" customWidth="1"/>
    <col min="9" max="9" width="19.88671875" style="6" customWidth="1"/>
    <col min="10" max="16384" width="9" style="6"/>
  </cols>
  <sheetData>
    <row r="1" spans="1:8" s="2" customFormat="1" ht="22.2">
      <c r="A1" s="798" t="s">
        <v>1114</v>
      </c>
      <c r="B1" s="798"/>
      <c r="C1" s="798"/>
      <c r="D1" s="798"/>
      <c r="E1" s="798"/>
      <c r="F1" s="1"/>
      <c r="G1" s="1"/>
      <c r="H1" s="1"/>
    </row>
    <row r="2" spans="1:8" s="2" customFormat="1" ht="22.2">
      <c r="A2" s="798" t="s">
        <v>1115</v>
      </c>
      <c r="B2" s="798"/>
      <c r="C2" s="798"/>
      <c r="D2" s="798"/>
      <c r="E2" s="798"/>
      <c r="F2" s="1"/>
      <c r="G2" s="1"/>
      <c r="H2" s="1"/>
    </row>
    <row r="3" spans="1:8" s="2" customFormat="1" ht="24.75" customHeight="1">
      <c r="A3" s="800" t="s">
        <v>1116</v>
      </c>
      <c r="B3" s="800"/>
      <c r="C3" s="800"/>
      <c r="D3" s="800"/>
      <c r="E3" s="800"/>
      <c r="F3" s="3"/>
      <c r="G3" s="3"/>
      <c r="H3" s="3"/>
    </row>
    <row r="4" spans="1:8" s="2" customFormat="1" ht="24.75" customHeight="1" thickBot="1">
      <c r="A4" s="815" t="s">
        <v>1117</v>
      </c>
      <c r="B4" s="815"/>
      <c r="C4" s="815"/>
      <c r="D4" s="815"/>
      <c r="E4" s="815"/>
      <c r="F4" s="4"/>
      <c r="G4" s="4"/>
      <c r="H4" s="4"/>
    </row>
    <row r="5" spans="1:8">
      <c r="A5" s="830" t="s">
        <v>112</v>
      </c>
      <c r="B5" s="833" t="s">
        <v>113</v>
      </c>
      <c r="C5" s="836" t="s">
        <v>114</v>
      </c>
      <c r="D5" s="837"/>
      <c r="E5" s="838"/>
      <c r="F5" s="4"/>
      <c r="G5" s="4"/>
      <c r="H5" s="4"/>
    </row>
    <row r="6" spans="1:8">
      <c r="A6" s="831"/>
      <c r="B6" s="834"/>
      <c r="C6" s="839"/>
      <c r="D6" s="840"/>
      <c r="E6" s="841"/>
      <c r="F6" s="4"/>
      <c r="G6" s="4"/>
      <c r="H6" s="4"/>
    </row>
    <row r="7" spans="1:8">
      <c r="A7" s="832"/>
      <c r="B7" s="835"/>
      <c r="C7" s="842"/>
      <c r="D7" s="843"/>
      <c r="E7" s="844"/>
    </row>
    <row r="8" spans="1:8" ht="8.25" customHeight="1">
      <c r="A8" s="676"/>
      <c r="B8" s="677"/>
      <c r="C8" s="86"/>
      <c r="D8" s="143"/>
      <c r="E8" s="89"/>
    </row>
    <row r="9" spans="1:8" s="10" customFormat="1" ht="30" customHeight="1">
      <c r="A9" s="420" t="s">
        <v>115</v>
      </c>
      <c r="B9" s="145"/>
      <c r="C9" s="146"/>
      <c r="D9" s="147"/>
      <c r="E9" s="148"/>
    </row>
    <row r="10" spans="1:8" s="31" customFormat="1" ht="30" customHeight="1">
      <c r="A10" s="69" t="s">
        <v>934</v>
      </c>
      <c r="B10" s="68" t="s">
        <v>11</v>
      </c>
      <c r="C10" s="150"/>
      <c r="D10" s="151"/>
      <c r="E10" s="148"/>
    </row>
    <row r="11" spans="1:8" s="31" customFormat="1" ht="30" customHeight="1">
      <c r="A11" s="69" t="s">
        <v>1118</v>
      </c>
      <c r="B11" s="152">
        <f>D11+D12+D13+D14</f>
        <v>-509433</v>
      </c>
      <c r="C11" s="680" t="s">
        <v>1119</v>
      </c>
      <c r="D11" s="675">
        <v>840</v>
      </c>
      <c r="E11" s="681" t="s">
        <v>1120</v>
      </c>
      <c r="F11" s="36"/>
    </row>
    <row r="12" spans="1:8" s="31" customFormat="1" ht="30" customHeight="1">
      <c r="A12" s="69"/>
      <c r="B12" s="152"/>
      <c r="C12" s="680" t="s">
        <v>1121</v>
      </c>
      <c r="D12" s="675">
        <f>-507552</f>
        <v>-507552</v>
      </c>
      <c r="E12" s="681" t="s">
        <v>1120</v>
      </c>
      <c r="F12" s="36"/>
    </row>
    <row r="13" spans="1:8" s="31" customFormat="1" ht="30" customHeight="1">
      <c r="A13" s="69" t="s">
        <v>1122</v>
      </c>
      <c r="B13" s="32"/>
      <c r="C13" s="680" t="s">
        <v>1123</v>
      </c>
      <c r="D13" s="423">
        <v>-15250</v>
      </c>
      <c r="E13" s="681" t="s">
        <v>1120</v>
      </c>
      <c r="F13" s="37"/>
      <c r="H13" s="11"/>
    </row>
    <row r="14" spans="1:8" s="10" customFormat="1" ht="30" customHeight="1">
      <c r="A14" s="69" t="s">
        <v>1122</v>
      </c>
      <c r="B14" s="32"/>
      <c r="C14" s="680" t="s">
        <v>1124</v>
      </c>
      <c r="D14" s="423">
        <v>12529</v>
      </c>
      <c r="E14" s="681" t="s">
        <v>1120</v>
      </c>
    </row>
    <row r="15" spans="1:8" s="10" customFormat="1" ht="30" customHeight="1">
      <c r="A15" s="420" t="s">
        <v>1125</v>
      </c>
      <c r="B15" s="28">
        <f>B11</f>
        <v>-509433</v>
      </c>
      <c r="C15" s="422"/>
      <c r="D15" s="423"/>
      <c r="E15" s="681"/>
    </row>
    <row r="16" spans="1:8" s="10" customFormat="1" ht="30" customHeight="1">
      <c r="A16" s="420" t="s">
        <v>134</v>
      </c>
      <c r="B16" s="78">
        <f>B15</f>
        <v>-509433</v>
      </c>
      <c r="C16" s="432"/>
      <c r="D16" s="433"/>
      <c r="E16" s="434"/>
    </row>
    <row r="17" spans="1:5" s="10" customFormat="1" ht="30" customHeight="1">
      <c r="A17" s="420" t="s">
        <v>135</v>
      </c>
      <c r="B17" s="78">
        <v>10609605</v>
      </c>
      <c r="C17" s="432"/>
      <c r="D17" s="433"/>
      <c r="E17" s="434"/>
    </row>
    <row r="18" spans="1:5" s="10" customFormat="1" ht="30" customHeight="1">
      <c r="A18" s="420" t="s">
        <v>136</v>
      </c>
      <c r="B18" s="78">
        <f>B16+B17</f>
        <v>10100172</v>
      </c>
      <c r="C18" s="433"/>
      <c r="D18" s="433"/>
      <c r="E18" s="434"/>
    </row>
    <row r="19" spans="1:5" ht="21" customHeight="1">
      <c r="A19" s="765"/>
      <c r="B19" s="766"/>
      <c r="C19" s="4"/>
      <c r="D19" s="4"/>
      <c r="E19" s="415"/>
    </row>
    <row r="20" spans="1:5">
      <c r="A20" s="765"/>
      <c r="B20" s="766"/>
      <c r="C20" s="4"/>
      <c r="D20" s="4"/>
      <c r="E20" s="415"/>
    </row>
    <row r="21" spans="1:5">
      <c r="A21" s="765"/>
      <c r="B21" s="766"/>
      <c r="C21" s="4"/>
      <c r="D21" s="4"/>
      <c r="E21" s="415"/>
    </row>
    <row r="22" spans="1:5">
      <c r="A22" s="765"/>
      <c r="B22" s="766"/>
      <c r="C22" s="4"/>
      <c r="D22" s="4"/>
      <c r="E22" s="415"/>
    </row>
    <row r="23" spans="1:5">
      <c r="A23" s="765"/>
      <c r="B23" s="766"/>
      <c r="C23" s="4"/>
      <c r="D23" s="4"/>
      <c r="E23" s="415"/>
    </row>
    <row r="24" spans="1:5">
      <c r="A24" s="765"/>
      <c r="B24" s="766"/>
      <c r="C24" s="4"/>
      <c r="D24" s="4"/>
      <c r="E24" s="415"/>
    </row>
    <row r="25" spans="1:5">
      <c r="A25" s="765"/>
      <c r="B25" s="766"/>
      <c r="C25" s="4"/>
      <c r="D25" s="4"/>
      <c r="E25" s="415"/>
    </row>
    <row r="26" spans="1:5">
      <c r="A26" s="765"/>
      <c r="B26" s="766"/>
      <c r="C26" s="4"/>
      <c r="D26" s="4"/>
      <c r="E26" s="415"/>
    </row>
    <row r="27" spans="1:5">
      <c r="A27" s="765"/>
      <c r="B27" s="766"/>
      <c r="C27" s="4"/>
      <c r="D27" s="4"/>
      <c r="E27" s="415"/>
    </row>
    <row r="28" spans="1:5">
      <c r="A28" s="765"/>
      <c r="B28" s="766"/>
      <c r="C28" s="4"/>
      <c r="D28" s="4"/>
      <c r="E28" s="415"/>
    </row>
    <row r="29" spans="1:5">
      <c r="A29" s="765"/>
      <c r="B29" s="766"/>
      <c r="C29" s="4"/>
      <c r="D29" s="4"/>
      <c r="E29" s="415"/>
    </row>
    <row r="30" spans="1:5">
      <c r="A30" s="765"/>
      <c r="B30" s="766"/>
      <c r="C30" s="4"/>
      <c r="D30" s="4"/>
      <c r="E30" s="415"/>
    </row>
    <row r="31" spans="1:5">
      <c r="A31" s="765"/>
      <c r="B31" s="766"/>
      <c r="C31" s="4"/>
      <c r="D31" s="4"/>
      <c r="E31" s="415"/>
    </row>
    <row r="32" spans="1:5" ht="10.199999999999999" customHeight="1">
      <c r="A32" s="765"/>
      <c r="B32" s="766"/>
      <c r="C32" s="4"/>
      <c r="D32" s="4"/>
      <c r="E32" s="415"/>
    </row>
    <row r="33" spans="1:5" ht="6" customHeight="1">
      <c r="A33" s="765"/>
      <c r="B33" s="766"/>
      <c r="C33" s="4"/>
      <c r="D33" s="4"/>
      <c r="E33" s="415"/>
    </row>
    <row r="34" spans="1:5">
      <c r="A34" s="765"/>
      <c r="B34" s="766"/>
      <c r="C34" s="4"/>
      <c r="D34" s="4"/>
      <c r="E34" s="415"/>
    </row>
    <row r="35" spans="1:5">
      <c r="A35" s="765"/>
      <c r="B35" s="766"/>
      <c r="C35" s="4"/>
      <c r="D35" s="4"/>
      <c r="E35" s="415"/>
    </row>
    <row r="36" spans="1:5">
      <c r="A36" s="765"/>
      <c r="B36" s="766"/>
      <c r="C36" s="4"/>
      <c r="D36" s="4"/>
      <c r="E36" s="415"/>
    </row>
    <row r="37" spans="1:5">
      <c r="A37" s="765"/>
      <c r="B37" s="766"/>
      <c r="C37" s="4"/>
      <c r="D37" s="4"/>
      <c r="E37" s="415"/>
    </row>
    <row r="38" spans="1:5" ht="12" customHeight="1">
      <c r="A38" s="765"/>
      <c r="B38" s="766"/>
      <c r="C38" s="4"/>
      <c r="D38" s="4"/>
      <c r="E38" s="415"/>
    </row>
    <row r="39" spans="1:5" ht="20.25" customHeight="1" thickBot="1">
      <c r="A39" s="287"/>
      <c r="B39" s="288"/>
      <c r="C39" s="498"/>
      <c r="D39" s="498"/>
      <c r="E39" s="416"/>
    </row>
  </sheetData>
  <mergeCells count="7">
    <mergeCell ref="A1:E1"/>
    <mergeCell ref="A2:E2"/>
    <mergeCell ref="A3:E3"/>
    <mergeCell ref="A4:E4"/>
    <mergeCell ref="A5:A7"/>
    <mergeCell ref="B5:B7"/>
    <mergeCell ref="C5:E7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3" orientation="portrait" useFirstPageNumber="1" r:id="rId1"/>
  <headerFooter alignWithMargins="0">
    <oddFooter>&amp;C&amp;"細明體,標準"附&amp;"Times New Roman,標準"4-&amp;P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55"/>
  <sheetViews>
    <sheetView view="pageBreakPreview" topLeftCell="A4" zoomScale="60" zoomScaleNormal="100" workbookViewId="0">
      <selection activeCell="E37" sqref="E37"/>
    </sheetView>
  </sheetViews>
  <sheetFormatPr defaultColWidth="9" defaultRowHeight="16.2"/>
  <cols>
    <col min="1" max="1" width="14.6640625" style="6" customWidth="1"/>
    <col min="2" max="2" width="32.88671875" style="568" customWidth="1"/>
    <col min="3" max="3" width="14.77734375" style="6" customWidth="1"/>
    <col min="4" max="4" width="14.77734375" style="20" customWidth="1"/>
    <col min="5" max="5" width="13.109375" style="6" customWidth="1"/>
    <col min="6" max="6" width="11" style="6" bestFit="1" customWidth="1"/>
    <col min="7" max="7" width="26.5546875" style="6" customWidth="1"/>
    <col min="8" max="16384" width="9" style="6"/>
  </cols>
  <sheetData>
    <row r="1" spans="1:7" ht="22.2">
      <c r="A1" s="798" t="s">
        <v>1089</v>
      </c>
      <c r="B1" s="798"/>
      <c r="C1" s="798"/>
      <c r="D1" s="798"/>
      <c r="E1" s="798"/>
    </row>
    <row r="2" spans="1:7" ht="22.2">
      <c r="A2" s="798" t="s">
        <v>1088</v>
      </c>
      <c r="B2" s="798"/>
      <c r="C2" s="798"/>
      <c r="D2" s="798"/>
      <c r="E2" s="798"/>
    </row>
    <row r="3" spans="1:7" ht="24.75" customHeight="1">
      <c r="A3" s="800" t="s">
        <v>1113</v>
      </c>
      <c r="B3" s="800"/>
      <c r="C3" s="800"/>
      <c r="D3" s="800"/>
      <c r="E3" s="800"/>
    </row>
    <row r="4" spans="1:7" ht="24.75" customHeight="1" thickBot="1">
      <c r="A4" s="815" t="s">
        <v>1112</v>
      </c>
      <c r="B4" s="815"/>
      <c r="C4" s="815"/>
      <c r="D4" s="815"/>
      <c r="E4" s="815"/>
    </row>
    <row r="5" spans="1:7" ht="15.75" customHeight="1">
      <c r="A5" s="891" t="s">
        <v>1111</v>
      </c>
      <c r="B5" s="947" t="s">
        <v>1110</v>
      </c>
      <c r="C5" s="900" t="s">
        <v>1109</v>
      </c>
      <c r="D5" s="900" t="s">
        <v>1108</v>
      </c>
      <c r="E5" s="897" t="s">
        <v>1107</v>
      </c>
    </row>
    <row r="6" spans="1:7" ht="15.75" customHeight="1">
      <c r="A6" s="892"/>
      <c r="B6" s="948"/>
      <c r="C6" s="901"/>
      <c r="D6" s="901"/>
      <c r="E6" s="898"/>
    </row>
    <row r="7" spans="1:7" ht="15.75" customHeight="1">
      <c r="A7" s="893"/>
      <c r="B7" s="949"/>
      <c r="C7" s="902"/>
      <c r="D7" s="902"/>
      <c r="E7" s="899"/>
    </row>
    <row r="8" spans="1:7" ht="9" customHeight="1">
      <c r="A8" s="25"/>
      <c r="B8" s="744"/>
      <c r="C8" s="678"/>
      <c r="D8" s="679"/>
      <c r="E8" s="122"/>
    </row>
    <row r="9" spans="1:7" s="31" customFormat="1" ht="30" customHeight="1">
      <c r="A9" s="123">
        <v>10980051</v>
      </c>
      <c r="B9" s="124" t="s">
        <v>1106</v>
      </c>
      <c r="C9" s="125">
        <f>C10+C14</f>
        <v>10130201</v>
      </c>
      <c r="D9" s="125">
        <f>D10+D14</f>
        <v>10625224</v>
      </c>
      <c r="E9" s="126">
        <f>E10+E14</f>
        <v>-495023</v>
      </c>
      <c r="G9" s="788"/>
    </row>
    <row r="10" spans="1:7" s="31" customFormat="1" ht="30" customHeight="1">
      <c r="A10" s="123">
        <v>10978555</v>
      </c>
      <c r="B10" s="127" t="s">
        <v>1105</v>
      </c>
      <c r="C10" s="125">
        <f>SUM(C11:C13)</f>
        <v>10130015</v>
      </c>
      <c r="D10" s="125">
        <f>SUM(D11:D13)</f>
        <v>10624448</v>
      </c>
      <c r="E10" s="126">
        <f>SUM(E11:E13)</f>
        <v>-494433</v>
      </c>
      <c r="G10" s="788"/>
    </row>
    <row r="11" spans="1:7" s="10" customFormat="1" ht="30" customHeight="1">
      <c r="A11" s="128">
        <v>10899726</v>
      </c>
      <c r="B11" s="129" t="s">
        <v>1104</v>
      </c>
      <c r="C11" s="130">
        <v>10100172</v>
      </c>
      <c r="D11" s="130">
        <v>10609605</v>
      </c>
      <c r="E11" s="131">
        <f>C11-D11</f>
        <v>-509433</v>
      </c>
      <c r="G11" s="788"/>
    </row>
    <row r="12" spans="1:7" s="10" customFormat="1" ht="30" customHeight="1">
      <c r="A12" s="128">
        <v>58323</v>
      </c>
      <c r="B12" s="129" t="s">
        <v>1103</v>
      </c>
      <c r="C12" s="130">
        <v>19343</v>
      </c>
      <c r="D12" s="130">
        <v>4343</v>
      </c>
      <c r="E12" s="131">
        <f>C12-D12</f>
        <v>15000</v>
      </c>
      <c r="G12" s="788"/>
    </row>
    <row r="13" spans="1:7" s="10" customFormat="1" ht="30" customHeight="1">
      <c r="A13" s="128">
        <v>20506</v>
      </c>
      <c r="B13" s="129" t="s">
        <v>1102</v>
      </c>
      <c r="C13" s="130">
        <v>10500</v>
      </c>
      <c r="D13" s="130">
        <v>10500</v>
      </c>
      <c r="E13" s="133">
        <f>C13-D13</f>
        <v>0</v>
      </c>
      <c r="G13" s="788"/>
    </row>
    <row r="14" spans="1:7" s="31" customFormat="1" ht="30" customHeight="1">
      <c r="A14" s="123">
        <v>1496</v>
      </c>
      <c r="B14" s="127" t="s">
        <v>1101</v>
      </c>
      <c r="C14" s="125">
        <f>SUM(C15:C15)</f>
        <v>186</v>
      </c>
      <c r="D14" s="125">
        <f>SUM(D15:D15)</f>
        <v>776</v>
      </c>
      <c r="E14" s="126">
        <f>SUM(E15:E15)</f>
        <v>-590</v>
      </c>
      <c r="G14" s="788"/>
    </row>
    <row r="15" spans="1:7" s="10" customFormat="1" ht="30" customHeight="1">
      <c r="A15" s="128">
        <v>1496</v>
      </c>
      <c r="B15" s="129" t="s">
        <v>1100</v>
      </c>
      <c r="C15" s="130">
        <v>186</v>
      </c>
      <c r="D15" s="130">
        <v>776</v>
      </c>
      <c r="E15" s="131">
        <f>C15-D15</f>
        <v>-590</v>
      </c>
      <c r="G15" s="788"/>
    </row>
    <row r="16" spans="1:7" s="10" customFormat="1" ht="30" hidden="1" customHeight="1">
      <c r="A16" s="128"/>
      <c r="B16" s="129"/>
      <c r="C16" s="130"/>
      <c r="D16" s="130"/>
      <c r="E16" s="131"/>
      <c r="G16" s="788"/>
    </row>
    <row r="17" spans="1:7" s="10" customFormat="1" ht="30" hidden="1" customHeight="1">
      <c r="A17" s="128"/>
      <c r="B17" s="129"/>
      <c r="C17" s="130"/>
      <c r="D17" s="130"/>
      <c r="E17" s="131"/>
      <c r="G17" s="788"/>
    </row>
    <row r="18" spans="1:7" s="10" customFormat="1" ht="30" hidden="1" customHeight="1">
      <c r="A18" s="128"/>
      <c r="B18" s="129"/>
      <c r="C18" s="130"/>
      <c r="D18" s="130"/>
      <c r="E18" s="131"/>
      <c r="G18" s="788"/>
    </row>
    <row r="19" spans="1:7" s="10" customFormat="1" ht="30" hidden="1" customHeight="1">
      <c r="A19" s="128"/>
      <c r="B19" s="129"/>
      <c r="C19" s="130"/>
      <c r="D19" s="130"/>
      <c r="E19" s="131"/>
      <c r="G19" s="788"/>
    </row>
    <row r="20" spans="1:7" s="10" customFormat="1" ht="30" hidden="1" customHeight="1">
      <c r="A20" s="128"/>
      <c r="B20" s="129"/>
      <c r="C20" s="130"/>
      <c r="D20" s="130"/>
      <c r="E20" s="131"/>
      <c r="G20" s="788"/>
    </row>
    <row r="21" spans="1:7" s="10" customFormat="1" ht="30" hidden="1" customHeight="1">
      <c r="A21" s="128"/>
      <c r="B21" s="129"/>
      <c r="C21" s="130"/>
      <c r="D21" s="130"/>
      <c r="E21" s="131"/>
      <c r="G21" s="788"/>
    </row>
    <row r="22" spans="1:7" s="10" customFormat="1" ht="30" hidden="1" customHeight="1">
      <c r="A22" s="128"/>
      <c r="B22" s="129"/>
      <c r="C22" s="130"/>
      <c r="D22" s="130"/>
      <c r="E22" s="131"/>
      <c r="G22" s="788"/>
    </row>
    <row r="23" spans="1:7" s="10" customFormat="1" ht="30" hidden="1" customHeight="1">
      <c r="A23" s="128"/>
      <c r="B23" s="129"/>
      <c r="C23" s="130"/>
      <c r="D23" s="130"/>
      <c r="E23" s="131"/>
      <c r="G23" s="788"/>
    </row>
    <row r="24" spans="1:7" s="10" customFormat="1" ht="30" hidden="1" customHeight="1">
      <c r="A24" s="128"/>
      <c r="B24" s="129"/>
      <c r="C24" s="130"/>
      <c r="D24" s="130"/>
      <c r="E24" s="131"/>
      <c r="G24" s="788"/>
    </row>
    <row r="25" spans="1:7" s="10" customFormat="1" ht="30" hidden="1" customHeight="1">
      <c r="A25" s="128"/>
      <c r="B25" s="129"/>
      <c r="C25" s="130"/>
      <c r="D25" s="130"/>
      <c r="E25" s="131"/>
      <c r="G25" s="788"/>
    </row>
    <row r="26" spans="1:7" s="10" customFormat="1" ht="30" hidden="1" customHeight="1">
      <c r="A26" s="128"/>
      <c r="B26" s="129"/>
      <c r="C26" s="130"/>
      <c r="D26" s="130"/>
      <c r="E26" s="131"/>
      <c r="G26" s="788"/>
    </row>
    <row r="27" spans="1:7" s="10" customFormat="1" ht="30" hidden="1" customHeight="1">
      <c r="A27" s="128"/>
      <c r="B27" s="129"/>
      <c r="C27" s="130"/>
      <c r="D27" s="130"/>
      <c r="E27" s="131"/>
      <c r="G27" s="788"/>
    </row>
    <row r="28" spans="1:7" s="10" customFormat="1" ht="22.95" hidden="1" customHeight="1">
      <c r="A28" s="128"/>
      <c r="B28" s="129"/>
      <c r="C28" s="130"/>
      <c r="D28" s="130"/>
      <c r="E28" s="131"/>
      <c r="G28" s="788"/>
    </row>
    <row r="29" spans="1:7" s="10" customFormat="1" ht="26.4" customHeight="1">
      <c r="A29" s="128"/>
      <c r="B29" s="129"/>
      <c r="C29" s="130"/>
      <c r="D29" s="130"/>
      <c r="E29" s="131"/>
      <c r="G29" s="788"/>
    </row>
    <row r="30" spans="1:7" s="31" customFormat="1" ht="36" customHeight="1">
      <c r="A30" s="123">
        <v>10980051</v>
      </c>
      <c r="B30" s="124" t="s">
        <v>1090</v>
      </c>
      <c r="C30" s="125">
        <f>C9</f>
        <v>10130201</v>
      </c>
      <c r="D30" s="125">
        <f>D9</f>
        <v>10625224</v>
      </c>
      <c r="E30" s="126">
        <f>E9</f>
        <v>-495023</v>
      </c>
      <c r="G30" s="788"/>
    </row>
    <row r="31" spans="1:7" s="31" customFormat="1" ht="29.4" customHeight="1">
      <c r="A31" s="123"/>
      <c r="B31" s="124"/>
      <c r="C31" s="125"/>
      <c r="D31" s="125"/>
      <c r="E31" s="126"/>
      <c r="G31" s="788"/>
    </row>
    <row r="32" spans="1:7" s="31" customFormat="1" ht="31.2" customHeight="1">
      <c r="A32" s="123">
        <v>10980051</v>
      </c>
      <c r="B32" s="124" t="s">
        <v>1099</v>
      </c>
      <c r="C32" s="125">
        <f>C33+C35</f>
        <v>10130201</v>
      </c>
      <c r="D32" s="125">
        <f>D33+D35</f>
        <v>10625224</v>
      </c>
      <c r="E32" s="126">
        <f>E33+E35</f>
        <v>-495023</v>
      </c>
      <c r="G32" s="788"/>
    </row>
    <row r="33" spans="1:7" s="31" customFormat="1" ht="31.2" customHeight="1">
      <c r="A33" s="123">
        <v>21823</v>
      </c>
      <c r="B33" s="127" t="s">
        <v>1098</v>
      </c>
      <c r="C33" s="125">
        <f>SUM(C34:C34)</f>
        <v>15001</v>
      </c>
      <c r="D33" s="125">
        <f>SUM(D34:D34)</f>
        <v>2472</v>
      </c>
      <c r="E33" s="126">
        <f>SUM(E34:E34)</f>
        <v>12529</v>
      </c>
      <c r="G33" s="788"/>
    </row>
    <row r="34" spans="1:7" s="10" customFormat="1" ht="31.2" customHeight="1">
      <c r="A34" s="128">
        <v>21823</v>
      </c>
      <c r="B34" s="129" t="s">
        <v>1097</v>
      </c>
      <c r="C34" s="130">
        <v>15001</v>
      </c>
      <c r="D34" s="130">
        <v>2472</v>
      </c>
      <c r="E34" s="131">
        <f>C34-D34</f>
        <v>12529</v>
      </c>
      <c r="G34" s="788"/>
    </row>
    <row r="35" spans="1:7" s="31" customFormat="1" ht="31.2" customHeight="1">
      <c r="A35" s="123">
        <v>10958228</v>
      </c>
      <c r="B35" s="132" t="s">
        <v>1096</v>
      </c>
      <c r="C35" s="125">
        <f>SUM(C36:C36)</f>
        <v>10115200</v>
      </c>
      <c r="D35" s="125">
        <f>SUM(D36:D36)</f>
        <v>10622752</v>
      </c>
      <c r="E35" s="126">
        <f>SUM(E36:E36)</f>
        <v>-507552</v>
      </c>
      <c r="G35" s="788"/>
    </row>
    <row r="36" spans="1:7" s="10" customFormat="1" ht="31.2" customHeight="1">
      <c r="A36" s="128">
        <v>10952817</v>
      </c>
      <c r="B36" s="129" t="s">
        <v>1095</v>
      </c>
      <c r="C36" s="130">
        <v>10115200</v>
      </c>
      <c r="D36" s="130">
        <v>10622752</v>
      </c>
      <c r="E36" s="131">
        <f>C36-D36</f>
        <v>-507552</v>
      </c>
      <c r="G36" s="788"/>
    </row>
    <row r="37" spans="1:7" s="10" customFormat="1" ht="31.2" customHeight="1">
      <c r="A37" s="128">
        <v>5411</v>
      </c>
      <c r="B37" s="129" t="s">
        <v>1094</v>
      </c>
      <c r="C37" s="138">
        <v>0</v>
      </c>
      <c r="D37" s="138">
        <v>0</v>
      </c>
      <c r="E37" s="138">
        <f>C37-D37</f>
        <v>0</v>
      </c>
      <c r="G37" s="788"/>
    </row>
    <row r="38" spans="1:7" s="31" customFormat="1" ht="25.8" customHeight="1">
      <c r="A38" s="139"/>
      <c r="B38" s="124" t="s">
        <v>1093</v>
      </c>
      <c r="C38" s="140">
        <f t="shared" ref="C38:E39" si="0">C39</f>
        <v>0</v>
      </c>
      <c r="D38" s="140">
        <f t="shared" si="0"/>
        <v>0</v>
      </c>
      <c r="E38" s="141">
        <f t="shared" si="0"/>
        <v>0</v>
      </c>
      <c r="G38" s="788"/>
    </row>
    <row r="39" spans="1:7" s="31" customFormat="1" ht="30" customHeight="1">
      <c r="A39" s="139"/>
      <c r="B39" s="127" t="s">
        <v>1092</v>
      </c>
      <c r="C39" s="140">
        <f t="shared" si="0"/>
        <v>0</v>
      </c>
      <c r="D39" s="140">
        <f t="shared" si="0"/>
        <v>0</v>
      </c>
      <c r="E39" s="141">
        <f t="shared" si="0"/>
        <v>0</v>
      </c>
      <c r="G39" s="788"/>
    </row>
    <row r="40" spans="1:7" s="10" customFormat="1" ht="21" customHeight="1">
      <c r="A40" s="142"/>
      <c r="B40" s="129" t="s">
        <v>1091</v>
      </c>
      <c r="C40" s="138">
        <f>'[1]平衡表-職(2)'!C42</f>
        <v>0</v>
      </c>
      <c r="D40" s="138">
        <f>'[1]平衡表-職(2)'!D42</f>
        <v>0</v>
      </c>
      <c r="E40" s="133">
        <v>0</v>
      </c>
      <c r="G40" s="788"/>
    </row>
    <row r="41" spans="1:7" s="10" customFormat="1" ht="30" hidden="1" customHeight="1">
      <c r="A41" s="142"/>
      <c r="B41" s="129"/>
      <c r="C41" s="138"/>
      <c r="D41" s="138"/>
      <c r="E41" s="133"/>
      <c r="G41" s="788"/>
    </row>
    <row r="42" spans="1:7" s="10" customFormat="1" ht="30" hidden="1" customHeight="1">
      <c r="A42" s="142"/>
      <c r="B42" s="129"/>
      <c r="C42" s="138"/>
      <c r="D42" s="138"/>
      <c r="E42" s="133"/>
      <c r="G42" s="788"/>
    </row>
    <row r="43" spans="1:7" s="10" customFormat="1" ht="30" hidden="1" customHeight="1">
      <c r="A43" s="142"/>
      <c r="B43" s="129"/>
      <c r="C43" s="138"/>
      <c r="D43" s="138"/>
      <c r="E43" s="133"/>
      <c r="G43" s="788"/>
    </row>
    <row r="44" spans="1:7" s="10" customFormat="1" ht="30" hidden="1" customHeight="1">
      <c r="A44" s="142"/>
      <c r="B44" s="129"/>
      <c r="C44" s="138"/>
      <c r="D44" s="138"/>
      <c r="E44" s="133"/>
      <c r="G44" s="788"/>
    </row>
    <row r="45" spans="1:7" s="10" customFormat="1" ht="30" hidden="1" customHeight="1">
      <c r="A45" s="142"/>
      <c r="B45" s="129"/>
      <c r="C45" s="138"/>
      <c r="D45" s="138"/>
      <c r="E45" s="133"/>
      <c r="G45" s="788"/>
    </row>
    <row r="46" spans="1:7" s="10" customFormat="1" ht="30" hidden="1" customHeight="1">
      <c r="A46" s="142"/>
      <c r="B46" s="129"/>
      <c r="C46" s="138"/>
      <c r="D46" s="138"/>
      <c r="E46" s="133"/>
      <c r="G46" s="788"/>
    </row>
    <row r="47" spans="1:7" s="10" customFormat="1" ht="30" hidden="1" customHeight="1">
      <c r="A47" s="142"/>
      <c r="B47" s="129"/>
      <c r="C47" s="138"/>
      <c r="D47" s="138"/>
      <c r="E47" s="133"/>
      <c r="G47" s="788"/>
    </row>
    <row r="48" spans="1:7" s="10" customFormat="1" ht="30" hidden="1" customHeight="1">
      <c r="A48" s="142"/>
      <c r="B48" s="129"/>
      <c r="C48" s="138"/>
      <c r="D48" s="138"/>
      <c r="E48" s="133"/>
      <c r="G48" s="788"/>
    </row>
    <row r="49" spans="1:7" s="10" customFormat="1" ht="30" hidden="1" customHeight="1">
      <c r="A49" s="142"/>
      <c r="B49" s="129"/>
      <c r="C49" s="138"/>
      <c r="D49" s="138"/>
      <c r="E49" s="133"/>
      <c r="G49" s="788"/>
    </row>
    <row r="50" spans="1:7" s="10" customFormat="1" ht="30" hidden="1" customHeight="1">
      <c r="A50" s="142"/>
      <c r="B50" s="129"/>
      <c r="C50" s="138"/>
      <c r="D50" s="138"/>
      <c r="E50" s="133"/>
      <c r="G50" s="788"/>
    </row>
    <row r="51" spans="1:7" s="10" customFormat="1" ht="22.95" hidden="1" customHeight="1">
      <c r="A51" s="142"/>
      <c r="B51" s="129"/>
      <c r="C51" s="138"/>
      <c r="D51" s="138"/>
      <c r="E51" s="133"/>
      <c r="G51" s="788"/>
    </row>
    <row r="52" spans="1:7" s="10" customFormat="1" ht="29.25" hidden="1" customHeight="1">
      <c r="A52" s="142"/>
      <c r="B52" s="129"/>
      <c r="C52" s="138"/>
      <c r="D52" s="138"/>
      <c r="E52" s="133"/>
      <c r="G52" s="788"/>
    </row>
    <row r="53" spans="1:7" s="10" customFormat="1" ht="15" customHeight="1">
      <c r="A53" s="142"/>
      <c r="B53" s="129"/>
      <c r="C53" s="138"/>
      <c r="D53" s="138"/>
      <c r="E53" s="133"/>
      <c r="G53" s="788"/>
    </row>
    <row r="54" spans="1:7" s="31" customFormat="1" ht="30" customHeight="1">
      <c r="A54" s="123">
        <v>10980051</v>
      </c>
      <c r="B54" s="124" t="s">
        <v>1090</v>
      </c>
      <c r="C54" s="125">
        <f>C32+C38</f>
        <v>10130201</v>
      </c>
      <c r="D54" s="125">
        <f>D32+D38</f>
        <v>10625224</v>
      </c>
      <c r="E54" s="126">
        <f>E32+E38</f>
        <v>-495023</v>
      </c>
      <c r="G54" s="788"/>
    </row>
    <row r="55" spans="1:7" s="10" customFormat="1" ht="5.25" customHeight="1" thickBot="1">
      <c r="A55" s="787"/>
      <c r="B55" s="786"/>
      <c r="C55" s="785"/>
      <c r="D55" s="785"/>
      <c r="E55" s="784"/>
    </row>
  </sheetData>
  <mergeCells count="9">
    <mergeCell ref="A3:E3"/>
    <mergeCell ref="A2:E2"/>
    <mergeCell ref="A1:E1"/>
    <mergeCell ref="A5:A7"/>
    <mergeCell ref="B5:B7"/>
    <mergeCell ref="E5:E7"/>
    <mergeCell ref="C5:C7"/>
    <mergeCell ref="D5:D7"/>
    <mergeCell ref="A4:E4"/>
  </mergeCells>
  <phoneticPr fontId="2" type="noConversion"/>
  <printOptions horizontalCentered="1"/>
  <pageMargins left="0.59055118110236227" right="0.59055118110236227" top="0.59055118110236227" bottom="0.78740157480314965" header="0.51181102362204722" footer="0.51181102362204722"/>
  <pageSetup paperSize="9" firstPageNumber="4" orientation="portrait" useFirstPageNumber="1" r:id="rId1"/>
  <headerFooter alignWithMargins="0">
    <oddFooter>&amp;C&amp;"細明體,標準"附&amp;"Times New Roman,標準"4-&amp;P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/>
  <sheetData/>
  <phoneticPr fontId="2" type="noConversion"/>
  <pageMargins left="0.7" right="0.7" top="0.75" bottom="0.75" header="0.3" footer="0.3"/>
  <pageSetup paperSize="9" orientation="portrait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41</vt:i4>
      </vt:variant>
      <vt:variant>
        <vt:lpstr>已命名的範圍</vt:lpstr>
      </vt:variant>
      <vt:variant>
        <vt:i4>38</vt:i4>
      </vt:variant>
    </vt:vector>
  </HeadingPairs>
  <TitlesOfParts>
    <vt:vector size="79" baseType="lpstr">
      <vt:lpstr>圖1</vt:lpstr>
      <vt:lpstr>圖2</vt:lpstr>
      <vt:lpstr>收支餘絀預計表-總</vt:lpstr>
      <vt:lpstr>收支餘絀預計表說明</vt:lpstr>
      <vt:lpstr>餘絀撥補預計表</vt:lpstr>
      <vt:lpstr>現金流量預計表-總</vt:lpstr>
      <vt:lpstr>投融資業務收入明細表</vt:lpstr>
      <vt:lpstr>保險收入明細表</vt:lpstr>
      <vt:lpstr>其他業務收入明細表</vt:lpstr>
      <vt:lpstr>業務外收入明細表</vt:lpstr>
      <vt:lpstr>投融資業務成本明細表</vt:lpstr>
      <vt:lpstr>投融資業務成本說明</vt:lpstr>
      <vt:lpstr>保險成本明細表</vt:lpstr>
      <vt:lpstr>保險成本說明</vt:lpstr>
      <vt:lpstr>其他業務成本明細表</vt:lpstr>
      <vt:lpstr>其他業務成本說明</vt:lpstr>
      <vt:lpstr>業務外費用明細表</vt:lpstr>
      <vt:lpstr>業務外費用說明</vt:lpstr>
      <vt:lpstr>基金數額增減明細表</vt:lpstr>
      <vt:lpstr>平衡表-總</vt:lpstr>
      <vt:lpstr>5年來主要營運項目分析表</vt:lpstr>
      <vt:lpstr>各項費用彙計表</vt:lpstr>
      <vt:lpstr>各項費用彙計表 (單位)</vt:lpstr>
      <vt:lpstr>不動產投資收入分析表</vt:lpstr>
      <vt:lpstr>保費收入分析表</vt:lpstr>
      <vt:lpstr>保費收入分析表(附表)</vt:lpstr>
      <vt:lpstr>保險給付分析表</vt:lpstr>
      <vt:lpstr>雜項業務成本分析-職災保護</vt:lpstr>
      <vt:lpstr>收支餘絀預計表-勞</vt:lpstr>
      <vt:lpstr>現金流量預計表-勞</vt:lpstr>
      <vt:lpstr>預計平衡表-勞</vt:lpstr>
      <vt:lpstr>收支餘絀預計表-就</vt:lpstr>
      <vt:lpstr>現金流量預計表-就</vt:lpstr>
      <vt:lpstr>預計平衡表-就</vt:lpstr>
      <vt:lpstr>收支餘絀預計表-農</vt:lpstr>
      <vt:lpstr>現金流量預計表-農</vt:lpstr>
      <vt:lpstr>預計平衡表-農</vt:lpstr>
      <vt:lpstr>收支餘絀預計表-職災 </vt:lpstr>
      <vt:lpstr>現金流量預計表-職</vt:lpstr>
      <vt:lpstr>預計平衡表-職</vt:lpstr>
      <vt:lpstr>Sheet4</vt:lpstr>
      <vt:lpstr>'5年來主要營運項目分析表'!Print_Area</vt:lpstr>
      <vt:lpstr>'收支餘絀預計表-勞'!Print_Area</vt:lpstr>
      <vt:lpstr>'收支餘絀預計表-就'!Print_Area</vt:lpstr>
      <vt:lpstr>'收支餘絀預計表-農'!Print_Area</vt:lpstr>
      <vt:lpstr>收支餘絀預計表說明!Print_Area</vt:lpstr>
      <vt:lpstr>'收支餘絀預計表-總'!Print_Area</vt:lpstr>
      <vt:lpstr>'收支餘絀預計表-職災 '!Print_Area</vt:lpstr>
      <vt:lpstr>其他業務收入明細表!Print_Area</vt:lpstr>
      <vt:lpstr>保險給付分析表!Print_Area</vt:lpstr>
      <vt:lpstr>業務外收入明細表!Print_Area</vt:lpstr>
      <vt:lpstr>業務外費用明細表!Print_Area</vt:lpstr>
      <vt:lpstr>業務外費用說明!Print_Area</vt:lpstr>
      <vt:lpstr>'預計平衡表-農'!Print_Area</vt:lpstr>
      <vt:lpstr>圖1!Print_Area</vt:lpstr>
      <vt:lpstr>圖2!Print_Area</vt:lpstr>
      <vt:lpstr>'雜項業務成本分析-職災保護'!Print_Area</vt:lpstr>
      <vt:lpstr>'平衡表-總'!Print_Titles</vt:lpstr>
      <vt:lpstr>各項費用彙計表!Print_Titles</vt:lpstr>
      <vt:lpstr>'各項費用彙計表 (單位)'!Print_Titles</vt:lpstr>
      <vt:lpstr>'收支餘絀預計表-勞'!Print_Titles</vt:lpstr>
      <vt:lpstr>'收支餘絀預計表-就'!Print_Titles</vt:lpstr>
      <vt:lpstr>'收支餘絀預計表-農'!Print_Titles</vt:lpstr>
      <vt:lpstr>'收支餘絀預計表-總'!Print_Titles</vt:lpstr>
      <vt:lpstr>'收支餘絀預計表-職災 '!Print_Titles</vt:lpstr>
      <vt:lpstr>投融資業務成本明細表!Print_Titles</vt:lpstr>
      <vt:lpstr>投融資業務成本說明!Print_Titles</vt:lpstr>
      <vt:lpstr>投融資業務收入明細表!Print_Titles</vt:lpstr>
      <vt:lpstr>保費收入分析表!Print_Titles</vt:lpstr>
      <vt:lpstr>'保費收入分析表(附表)'!Print_Titles</vt:lpstr>
      <vt:lpstr>保險成本明細表!Print_Titles</vt:lpstr>
      <vt:lpstr>保險成本說明!Print_Titles</vt:lpstr>
      <vt:lpstr>保險給付分析表!Print_Titles</vt:lpstr>
      <vt:lpstr>業務外收入明細表!Print_Titles</vt:lpstr>
      <vt:lpstr>'預計平衡表-勞'!Print_Titles</vt:lpstr>
      <vt:lpstr>'預計平衡表-就'!Print_Titles</vt:lpstr>
      <vt:lpstr>'預計平衡表-農'!Print_Titles</vt:lpstr>
      <vt:lpstr>'預計平衡表-職'!Print_Titles</vt:lpstr>
      <vt:lpstr>'雜項業務成本分析-職災保護'!Print_Titles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bli</dc:creator>
  <cp:lastModifiedBy>王瓊瑤</cp:lastModifiedBy>
  <cp:lastPrinted>2017-12-04T05:59:58Z</cp:lastPrinted>
  <dcterms:created xsi:type="dcterms:W3CDTF">2010-11-22T09:06:47Z</dcterms:created>
  <dcterms:modified xsi:type="dcterms:W3CDTF">2017-12-04T09:48:18Z</dcterms:modified>
</cp:coreProperties>
</file>