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7"/>
  <workbookPr codeName="ThisWorkbook" defaultThemeVersion="124226"/>
  <mc:AlternateContent xmlns:mc="http://schemas.openxmlformats.org/markup-compatibility/2006">
    <mc:Choice Requires="x15">
      <x15ac:absPath xmlns:x15ac="http://schemas.microsoft.com/office/spreadsheetml/2010/11/ac" url="D:\備份-工作\000勞保基金預算\110年度\00法定預算\印110預算書檔11003\"/>
    </mc:Choice>
  </mc:AlternateContent>
  <xr:revisionPtr revIDLastSave="0" documentId="13_ncr:1_{3E49A7CA-B40F-4720-BBF8-016493BF35DD}" xr6:coauthVersionLast="36" xr6:coauthVersionMax="36" xr10:uidLastSave="{00000000-0000-0000-0000-000000000000}"/>
  <bookViews>
    <workbookView xWindow="118" yWindow="353" windowWidth="14950" windowHeight="8116" firstSheet="28" activeTab="29" xr2:uid="{00000000-000D-0000-FFFF-FFFF00000000}"/>
  </bookViews>
  <sheets>
    <sheet name="圖1" sheetId="52" r:id="rId1"/>
    <sheet name="圖2" sheetId="53" r:id="rId2"/>
    <sheet name="收支餘絀預計表-總 (2)" sheetId="80" r:id="rId3"/>
    <sheet name="收支餘絀預計表說明" sheetId="40" r:id="rId4"/>
    <sheet name="餘絀撥補預計表" sheetId="24" r:id="rId5"/>
    <sheet name="現金流量預計表-總" sheetId="30" r:id="rId6"/>
    <sheet name="租金及權利金收入明細表" sheetId="16" r:id="rId7"/>
    <sheet name="投融資業務收入明細表 " sheetId="68" r:id="rId8"/>
    <sheet name="保險收入明細表" sheetId="46" r:id="rId9"/>
    <sheet name="其他業務收入明細表" sheetId="1" r:id="rId10"/>
    <sheet name="業務外收入明細表" sheetId="2" r:id="rId11"/>
    <sheet name="出租資產成本明細表" sheetId="17" r:id="rId12"/>
    <sheet name="出租資產成本說明" sheetId="3" r:id="rId13"/>
    <sheet name="投融資業務成本明細表" sheetId="69" r:id="rId14"/>
    <sheet name="投融資業務成本說明" sheetId="70" r:id="rId15"/>
    <sheet name="保險成本明細表" sheetId="28" r:id="rId16"/>
    <sheet name="保險成本說明" sheetId="6" r:id="rId17"/>
    <sheet name="其他業務成本明細表" sheetId="19" r:id="rId18"/>
    <sheet name="其他業務成本說明" sheetId="7" r:id="rId19"/>
    <sheet name="業務外費用明細表" sheetId="20" r:id="rId20"/>
    <sheet name="業務外費用說明" sheetId="9" r:id="rId21"/>
    <sheet name="基金數額增減明細表" sheetId="31" r:id="rId22"/>
    <sheet name="資產折舊明細表(新增)" sheetId="78" r:id="rId23"/>
    <sheet name="貸出款明細表 " sheetId="77" r:id="rId24"/>
    <sheet name="平衡表-總" sheetId="29" r:id="rId25"/>
    <sheet name="5年來主要營運項目分析表" sheetId="41" r:id="rId26"/>
    <sheet name="各項費用彙計表" sheetId="42" r:id="rId27"/>
    <sheet name="各項費用彙計表 (單位)" sheetId="49" r:id="rId28"/>
    <sheet name="不動產投資收入分析表" sheetId="10" r:id="rId29"/>
    <sheet name="保費收入分析表" sheetId="47" r:id="rId30"/>
    <sheet name="保費收入分析表(附表)" sheetId="51" r:id="rId31"/>
    <sheet name="保險給付分析表" sheetId="75" r:id="rId32"/>
    <sheet name="雜項業務成本分析-職災保護" sheetId="43" r:id="rId33"/>
    <sheet name="收支餘絀預計表-勞" sheetId="54" r:id="rId34"/>
    <sheet name="現金流量預計表-勞" sheetId="71" r:id="rId35"/>
    <sheet name="預計平衡表-勞" sheetId="56" r:id="rId36"/>
    <sheet name="收支餘絀預計表-就" sheetId="58" r:id="rId37"/>
    <sheet name="現金流量預計表-就" sheetId="72" r:id="rId38"/>
    <sheet name="預計平衡表-就" sheetId="60" r:id="rId39"/>
    <sheet name="收支餘絀預計表-農" sheetId="61" r:id="rId40"/>
    <sheet name="現金流量預計表-農" sheetId="73" r:id="rId41"/>
    <sheet name="預計平衡表-農" sheetId="63" r:id="rId42"/>
    <sheet name="收支餘絀預計表-職災 " sheetId="64" r:id="rId43"/>
    <sheet name="現金流量預計表-職" sheetId="74" r:id="rId44"/>
    <sheet name="預計平衡表-職" sheetId="65" r:id="rId45"/>
  </sheets>
  <externalReferences>
    <externalReference r:id="rId46"/>
    <externalReference r:id="rId47"/>
    <externalReference r:id="rId48"/>
    <externalReference r:id="rId49"/>
    <externalReference r:id="rId50"/>
    <externalReference r:id="rId51"/>
  </externalReferences>
  <definedNames>
    <definedName name="\0" localSheetId="23">[1]稅捐!#REF!</definedName>
    <definedName name="\0">[1]稅捐!#REF!</definedName>
    <definedName name="\d">#REF!</definedName>
    <definedName name="_Dist_Values" localSheetId="23" hidden="1">#REF!</definedName>
    <definedName name="_Dist_Values" hidden="1">#REF!</definedName>
    <definedName name="_Fill" localSheetId="23" hidden="1">#REF!</definedName>
    <definedName name="_Fill" hidden="1">#REF!</definedName>
    <definedName name="_Key1" hidden="1">#REF!</definedName>
    <definedName name="_Order1" hidden="1">255</definedName>
    <definedName name="_Order2" hidden="1">0</definedName>
    <definedName name="_Parse_Out" hidden="1">#REF!</definedName>
    <definedName name="_R" localSheetId="13">#REF!</definedName>
    <definedName name="_R" localSheetId="14">#REF!</definedName>
    <definedName name="_R" localSheetId="7">#REF!</definedName>
    <definedName name="_R" localSheetId="30">#REF!</definedName>
    <definedName name="_R" localSheetId="31">#REF!</definedName>
    <definedName name="_R" localSheetId="34">#REF!</definedName>
    <definedName name="_R" localSheetId="37">#REF!</definedName>
    <definedName name="_R" localSheetId="40">#REF!</definedName>
    <definedName name="_R" localSheetId="43">#REF!</definedName>
    <definedName name="_R">#REF!</definedName>
    <definedName name="_Sort" hidden="1">#REF!</definedName>
    <definedName name="a" localSheetId="13">#REF!</definedName>
    <definedName name="a" localSheetId="14">#REF!</definedName>
    <definedName name="a" localSheetId="7">#REF!</definedName>
    <definedName name="a" localSheetId="30">#REF!</definedName>
    <definedName name="a" localSheetId="31">#REF!</definedName>
    <definedName name="a" localSheetId="34">#REF!</definedName>
    <definedName name="a" localSheetId="37">#REF!</definedName>
    <definedName name="a" localSheetId="40">#REF!</definedName>
    <definedName name="a" localSheetId="43">#REF!</definedName>
    <definedName name="a" localSheetId="23">#REF!</definedName>
    <definedName name="a">#REF!</definedName>
    <definedName name="aa" localSheetId="13">#REF!</definedName>
    <definedName name="aa" localSheetId="14">#REF!</definedName>
    <definedName name="aa" localSheetId="7">#REF!</definedName>
    <definedName name="aa" localSheetId="30">#REF!</definedName>
    <definedName name="aa" localSheetId="31">#REF!</definedName>
    <definedName name="aa" localSheetId="34">#REF!</definedName>
    <definedName name="aa" localSheetId="37">#REF!</definedName>
    <definedName name="aa" localSheetId="40">#REF!</definedName>
    <definedName name="aa" localSheetId="43">#REF!</definedName>
    <definedName name="aa" localSheetId="23">#REF!</definedName>
    <definedName name="aa">#REF!</definedName>
    <definedName name="aaaa" localSheetId="13">#REF!</definedName>
    <definedName name="aaaa" localSheetId="14">#REF!</definedName>
    <definedName name="aaaa" localSheetId="7">#REF!</definedName>
    <definedName name="aaaa" localSheetId="30">#REF!</definedName>
    <definedName name="aaaa" localSheetId="31">#REF!</definedName>
    <definedName name="aaaa" localSheetId="34">#REF!</definedName>
    <definedName name="aaaa" localSheetId="37">#REF!</definedName>
    <definedName name="aaaa" localSheetId="40">#REF!</definedName>
    <definedName name="aaaa" localSheetId="43">#REF!</definedName>
    <definedName name="aaaa">#REF!</definedName>
    <definedName name="abcd" localSheetId="13">#REF!</definedName>
    <definedName name="abcd" localSheetId="14">#REF!</definedName>
    <definedName name="abcd" localSheetId="7">#REF!</definedName>
    <definedName name="abcd" localSheetId="30">#REF!</definedName>
    <definedName name="abcd" localSheetId="31">#REF!</definedName>
    <definedName name="abcd" localSheetId="34">#REF!</definedName>
    <definedName name="abcd" localSheetId="37">#REF!</definedName>
    <definedName name="abcd" localSheetId="40">#REF!</definedName>
    <definedName name="abcd" localSheetId="43">#REF!</definedName>
    <definedName name="abcd">#REF!</definedName>
    <definedName name="Discount">#REF!</definedName>
    <definedName name="Discount1">#REF!</definedName>
    <definedName name="K" localSheetId="13">#REF!</definedName>
    <definedName name="K" localSheetId="14">#REF!</definedName>
    <definedName name="K" localSheetId="7">#REF!</definedName>
    <definedName name="K" localSheetId="30">#REF!</definedName>
    <definedName name="K" localSheetId="31">#REF!</definedName>
    <definedName name="K" localSheetId="34">#REF!</definedName>
    <definedName name="K" localSheetId="37">#REF!</definedName>
    <definedName name="K" localSheetId="40">#REF!</definedName>
    <definedName name="K" localSheetId="43">#REF!</definedName>
    <definedName name="K">#REF!</definedName>
    <definedName name="M">#REF!</definedName>
    <definedName name="_xlnm.Print_Area" localSheetId="25">'5年來主要營運項目分析表'!$A$1:$F$41</definedName>
    <definedName name="_xlnm.Print_Area" localSheetId="24">'平衡表-總'!$A$1:$E$49</definedName>
    <definedName name="_xlnm.Print_Area" localSheetId="36">'收支餘絀預計表-就'!$A$1:$I$54</definedName>
    <definedName name="_xlnm.Print_Area" localSheetId="39">'收支餘絀預計表-農'!$A$1:$I$54</definedName>
    <definedName name="_xlnm.Print_Area" localSheetId="3">收支餘絀預計表說明!$A$1:$C$23</definedName>
    <definedName name="_xlnm.Print_Area" localSheetId="2">'收支餘絀預計表-總 (2)'!$A$1:$I$137</definedName>
    <definedName name="_xlnm.Print_Area" localSheetId="42">'收支餘絀預計表-職災 '!$A$1:$I$64</definedName>
    <definedName name="_xlnm.Print_Area" localSheetId="13">投融資業務成本明細表!$A$1:$D$55</definedName>
    <definedName name="_xlnm.Print_Area" localSheetId="7">'投融資業務收入明細表 '!$A$1:$F$48</definedName>
    <definedName name="_xlnm.Print_Area" localSheetId="17">其他業務成本明細表!$A$1:$D$30</definedName>
    <definedName name="_xlnm.Print_Area" localSheetId="9">其他業務收入明細表!$A$1:$C$29</definedName>
    <definedName name="_xlnm.Print_Area" localSheetId="15">保險成本明細表!$A$1:$D$59</definedName>
    <definedName name="_xlnm.Print_Area" localSheetId="16">保險成本說明!$A$1:$C$56</definedName>
    <definedName name="_xlnm.Print_Area" localSheetId="8">保險收入明細表!$A$1:$C$53</definedName>
    <definedName name="_xlnm.Print_Area" localSheetId="31">保險給付分析表!$A$1:$E$161</definedName>
    <definedName name="_xlnm.Print_Area" localSheetId="23">'貸出款明細表 '!$A$1:$H$21</definedName>
    <definedName name="_xlnm.Print_Area" localSheetId="10">業務外收入明細表!$A$1:$C$54</definedName>
    <definedName name="_xlnm.Print_Area" localSheetId="19">業務外費用明細表!$A$1:$D$27</definedName>
    <definedName name="_xlnm.Print_Area" localSheetId="20">業務外費用說明!$A$1:$C$30</definedName>
    <definedName name="_xlnm.Print_Area" localSheetId="22">'資產折舊明細表(新增)'!$A$1:$L$17</definedName>
    <definedName name="_xlnm.Print_Area" localSheetId="41">'預計平衡表-農'!$A$1:$E$52</definedName>
    <definedName name="_xlnm.Print_Area" localSheetId="0">圖1!$A$1:$D$28</definedName>
    <definedName name="_xlnm.Print_Area" localSheetId="1">圖2!$A$1:$F$24</definedName>
    <definedName name="_xlnm.Print_Area" localSheetId="32">'雜項業務成本分析-職災保護'!$A$1:$E$25</definedName>
    <definedName name="Print_Area_MI">#REF!</definedName>
    <definedName name="_xlnm.Print_Titles" localSheetId="11">出租資產成本明細表!$1:$6</definedName>
    <definedName name="_xlnm.Print_Titles" localSheetId="12">出租資產成本說明!$1:$6</definedName>
    <definedName name="_xlnm.Print_Titles" localSheetId="24">'平衡表-總'!$1:$8</definedName>
    <definedName name="_xlnm.Print_Titles" localSheetId="26">各項費用彙計表!$1:$7</definedName>
    <definedName name="_xlnm.Print_Titles" localSheetId="27">'各項費用彙計表 (單位)'!$1:$7</definedName>
    <definedName name="_xlnm.Print_Titles" localSheetId="33">'收支餘絀預計表-勞'!$1:$7</definedName>
    <definedName name="_xlnm.Print_Titles" localSheetId="36">'收支餘絀預計表-就'!$1:$7</definedName>
    <definedName name="_xlnm.Print_Titles" localSheetId="39">'收支餘絀預計表-農'!$1:$6</definedName>
    <definedName name="_xlnm.Print_Titles" localSheetId="2">'收支餘絀預計表-總 (2)'!$1:$7</definedName>
    <definedName name="_xlnm.Print_Titles" localSheetId="42">'收支餘絀預計表-職災 '!$1:$7</definedName>
    <definedName name="_xlnm.Print_Titles" localSheetId="13">投融資業務成本明細表!$1:$6</definedName>
    <definedName name="_xlnm.Print_Titles" localSheetId="14">投融資業務成本說明!$1:$6</definedName>
    <definedName name="_xlnm.Print_Titles" localSheetId="7">'投融資業務收入明細表 '!$1:$8</definedName>
    <definedName name="_xlnm.Print_Titles" localSheetId="29">保費收入分析表!$1:$8</definedName>
    <definedName name="_xlnm.Print_Titles" localSheetId="30">'保費收入分析表(附表)'!$1:$8</definedName>
    <definedName name="_xlnm.Print_Titles" localSheetId="15">保險成本明細表!$1:$6</definedName>
    <definedName name="_xlnm.Print_Titles" localSheetId="16">保險成本說明!$1:$6</definedName>
    <definedName name="_xlnm.Print_Titles" localSheetId="8">保險收入明細表!$1:$8</definedName>
    <definedName name="_xlnm.Print_Titles" localSheetId="31">保險給付分析表!$1:$6</definedName>
    <definedName name="_xlnm.Print_Titles" localSheetId="6">租金及權利金收入明細表!$1:$8</definedName>
    <definedName name="_xlnm.Print_Titles" localSheetId="5">'現金流量預計表-總'!$1:$8</definedName>
    <definedName name="_xlnm.Print_Titles" localSheetId="23">'貸出款明細表 '!$4:$6</definedName>
    <definedName name="_xlnm.Print_Titles" localSheetId="10">業務外收入明細表!$1:$8</definedName>
    <definedName name="_xlnm.Print_Titles" localSheetId="35">'預計平衡表-勞'!$1:$8</definedName>
    <definedName name="_xlnm.Print_Titles" localSheetId="38">'預計平衡表-就'!$1:$8</definedName>
    <definedName name="_xlnm.Print_Titles" localSheetId="41">'預計平衡表-農'!$1:$8</definedName>
    <definedName name="_xlnm.Print_Titles" localSheetId="44">'預計平衡表-職'!$1:$8</definedName>
    <definedName name="_xlnm.Print_Titles" localSheetId="32">'雜項業務成本分析-職災保護'!$1:$6</definedName>
    <definedName name="Rate3" localSheetId="23">[2]Rate!$B$3</definedName>
    <definedName name="Rate3">[2]Rate!$B$3</definedName>
    <definedName name="Rate4">[3]Rate!$B$3</definedName>
    <definedName name="S" localSheetId="13">#REF!</definedName>
    <definedName name="S" localSheetId="14">#REF!</definedName>
    <definedName name="S" localSheetId="7">#REF!</definedName>
    <definedName name="S" localSheetId="30">#REF!</definedName>
    <definedName name="S" localSheetId="31">#REF!</definedName>
    <definedName name="S" localSheetId="34">#REF!</definedName>
    <definedName name="S" localSheetId="37">#REF!</definedName>
    <definedName name="S" localSheetId="40">#REF!</definedName>
    <definedName name="S" localSheetId="43">#REF!</definedName>
    <definedName name="S">#REF!</definedName>
    <definedName name="SALE_UNIT">#N/A</definedName>
    <definedName name="Sigma" localSheetId="13">#REF!</definedName>
    <definedName name="Sigma" localSheetId="14">#REF!</definedName>
    <definedName name="Sigma" localSheetId="7">#REF!</definedName>
    <definedName name="Sigma" localSheetId="30">#REF!</definedName>
    <definedName name="Sigma" localSheetId="31">#REF!</definedName>
    <definedName name="Sigma" localSheetId="34">#REF!</definedName>
    <definedName name="Sigma" localSheetId="37">#REF!</definedName>
    <definedName name="Sigma" localSheetId="40">#REF!</definedName>
    <definedName name="Sigma" localSheetId="43">#REF!</definedName>
    <definedName name="Sigma">#REF!</definedName>
    <definedName name="T" localSheetId="13">#REF!</definedName>
    <definedName name="T" localSheetId="14">#REF!</definedName>
    <definedName name="T" localSheetId="7">#REF!</definedName>
    <definedName name="T" localSheetId="30">#REF!</definedName>
    <definedName name="T" localSheetId="31">#REF!</definedName>
    <definedName name="T" localSheetId="34">#REF!</definedName>
    <definedName name="T" localSheetId="37">#REF!</definedName>
    <definedName name="T" localSheetId="40">#REF!</definedName>
    <definedName name="T" localSheetId="43">#REF!</definedName>
    <definedName name="T">#REF!</definedName>
    <definedName name="否">#REF!</definedName>
    <definedName name="昌" localSheetId="13">#REF!</definedName>
    <definedName name="昌" localSheetId="14">#REF!</definedName>
    <definedName name="昌" localSheetId="7">#REF!</definedName>
    <definedName name="昌" localSheetId="30">#REF!</definedName>
    <definedName name="昌" localSheetId="31">#REF!</definedName>
    <definedName name="昌" localSheetId="34">#REF!</definedName>
    <definedName name="昌" localSheetId="37">#REF!</definedName>
    <definedName name="昌" localSheetId="40">#REF!</definedName>
    <definedName name="昌" localSheetId="43">#REF!</definedName>
    <definedName name="昌">#REF!</definedName>
    <definedName name="非計劃資本支付" localSheetId="23">'[4](91)主機增租'!$C$15</definedName>
    <definedName name="非計劃資本支付">'[4](91)主機增租'!$C$15</definedName>
    <definedName name="非計劃資本支出" localSheetId="23">'[5](91)主機增租(NEC報價)'!$C$15</definedName>
    <definedName name="非計劃資本支出">'[5](91)主機增租(NEC報價)'!$C$15</definedName>
    <definedName name="契約">[6]Rate!$B$3</definedName>
    <definedName name="流" localSheetId="43">#REF!</definedName>
    <definedName name="流">#REF!</definedName>
    <definedName name="原住民" localSheetId="13">#REF!</definedName>
    <definedName name="原住民" localSheetId="14">#REF!</definedName>
    <definedName name="原住民" localSheetId="7">#REF!</definedName>
    <definedName name="原住民" localSheetId="30">#REF!</definedName>
    <definedName name="原住民" localSheetId="31">#REF!</definedName>
    <definedName name="原住民" localSheetId="34">#REF!</definedName>
    <definedName name="原住民" localSheetId="37">#REF!</definedName>
    <definedName name="原住民" localSheetId="40">#REF!</definedName>
    <definedName name="原住民" localSheetId="43">#REF!</definedName>
    <definedName name="原住民">#REF!</definedName>
    <definedName name="原住民1" localSheetId="13">#REF!</definedName>
    <definedName name="原住民1" localSheetId="14">#REF!</definedName>
    <definedName name="原住民1" localSheetId="7">#REF!</definedName>
    <definedName name="原住民1" localSheetId="30">#REF!</definedName>
    <definedName name="原住民1" localSheetId="31">#REF!</definedName>
    <definedName name="原住民1" localSheetId="34">#REF!</definedName>
    <definedName name="原住民1" localSheetId="37">#REF!</definedName>
    <definedName name="原住民1" localSheetId="40">#REF!</definedName>
    <definedName name="原住民1" localSheetId="43">#REF!</definedName>
    <definedName name="原住民1">#REF!</definedName>
    <definedName name="就" localSheetId="40">#REF!</definedName>
    <definedName name="就" localSheetId="43">#REF!</definedName>
    <definedName name="就">#REF!</definedName>
    <definedName name="農" localSheetId="43">#REF!</definedName>
    <definedName name="農">#REF!</definedName>
    <definedName name="預算一欄表">[6]Rate!$B$3</definedName>
    <definedName name="圖" localSheetId="13">#REF!</definedName>
    <definedName name="圖" localSheetId="14">#REF!</definedName>
    <definedName name="圖" localSheetId="7">#REF!</definedName>
    <definedName name="圖" localSheetId="30">#REF!</definedName>
    <definedName name="圖" localSheetId="31">#REF!</definedName>
    <definedName name="圖" localSheetId="34">#REF!</definedName>
    <definedName name="圖" localSheetId="37">#REF!</definedName>
    <definedName name="圖" localSheetId="40">#REF!</definedName>
    <definedName name="圖" localSheetId="43">#REF!</definedName>
    <definedName name="圖">#REF!</definedName>
    <definedName name="職">#REF!</definedName>
    <definedName name="職災">#REF!</definedName>
  </definedNames>
  <calcPr calcId="179021"/>
  <fileRecoveryPr autoRecover="0"/>
</workbook>
</file>

<file path=xl/calcChain.xml><?xml version="1.0" encoding="utf-8"?>
<calcChain xmlns="http://schemas.openxmlformats.org/spreadsheetml/2006/main">
  <c r="G30" i="42" l="1"/>
  <c r="C38" i="29"/>
  <c r="D15" i="30"/>
  <c r="B14" i="30" s="1"/>
  <c r="M16" i="53"/>
  <c r="F20" i="53"/>
  <c r="F16" i="53"/>
  <c r="D24" i="52" l="1"/>
  <c r="B24" i="52"/>
  <c r="D77" i="80" l="1"/>
  <c r="D39" i="80"/>
  <c r="D43" i="80"/>
  <c r="E48" i="28" l="1"/>
  <c r="E36" i="28"/>
  <c r="F36" i="28" s="1"/>
  <c r="E25" i="28"/>
  <c r="F25" i="28" s="1"/>
  <c r="E8" i="28"/>
  <c r="F8" i="28" s="1"/>
  <c r="E7" i="28"/>
  <c r="F7" i="28" s="1"/>
  <c r="E48" i="69"/>
  <c r="D131" i="75" l="1"/>
  <c r="G7" i="6" l="1"/>
  <c r="E9" i="1"/>
  <c r="E7" i="19" l="1"/>
  <c r="D10" i="19"/>
  <c r="B10" i="19"/>
  <c r="D25" i="68"/>
  <c r="F159" i="80" l="1"/>
  <c r="D159" i="80"/>
  <c r="H159" i="80" s="1"/>
  <c r="F158" i="80"/>
  <c r="D158" i="80"/>
  <c r="F157" i="80"/>
  <c r="D157" i="80"/>
  <c r="H157" i="80" s="1"/>
  <c r="F156" i="80"/>
  <c r="D156" i="80"/>
  <c r="F155" i="80"/>
  <c r="D155" i="80"/>
  <c r="F154" i="80"/>
  <c r="F160" i="80" s="1"/>
  <c r="D154" i="80"/>
  <c r="D160" i="80" s="1"/>
  <c r="F152" i="80"/>
  <c r="D152" i="80"/>
  <c r="F151" i="80"/>
  <c r="D151" i="80"/>
  <c r="F150" i="80"/>
  <c r="D150" i="80"/>
  <c r="F149" i="80"/>
  <c r="D149" i="80"/>
  <c r="H149" i="80" s="1"/>
  <c r="F148" i="80"/>
  <c r="D148" i="80"/>
  <c r="F147" i="80"/>
  <c r="F153" i="80" s="1"/>
  <c r="D147" i="80"/>
  <c r="D153" i="80" s="1"/>
  <c r="H153" i="80" s="1"/>
  <c r="F145" i="80"/>
  <c r="D145" i="80"/>
  <c r="F144" i="80"/>
  <c r="D144" i="80"/>
  <c r="F143" i="80"/>
  <c r="D143" i="80"/>
  <c r="H143" i="80" s="1"/>
  <c r="F142" i="80"/>
  <c r="D142" i="80"/>
  <c r="F141" i="80"/>
  <c r="D141" i="80"/>
  <c r="H141" i="80" s="1"/>
  <c r="F140" i="80"/>
  <c r="F146" i="80" s="1"/>
  <c r="D140" i="80"/>
  <c r="D146" i="80" s="1"/>
  <c r="K136" i="80"/>
  <c r="A131" i="80"/>
  <c r="B131" i="80" s="1"/>
  <c r="K130" i="80"/>
  <c r="B130" i="80"/>
  <c r="K129" i="80"/>
  <c r="H129" i="80"/>
  <c r="B129" i="80"/>
  <c r="K128" i="80"/>
  <c r="H128" i="80"/>
  <c r="B128" i="80"/>
  <c r="K127" i="80"/>
  <c r="H127" i="80"/>
  <c r="I127" i="80" s="1"/>
  <c r="B127" i="80"/>
  <c r="K126" i="80"/>
  <c r="H126" i="80"/>
  <c r="I126" i="80" s="1"/>
  <c r="B126" i="80"/>
  <c r="K125" i="80"/>
  <c r="F125" i="80"/>
  <c r="F124" i="80" s="1"/>
  <c r="F123" i="80" s="1"/>
  <c r="D125" i="80"/>
  <c r="B125" i="80"/>
  <c r="K124" i="80"/>
  <c r="D124" i="80"/>
  <c r="B124" i="80"/>
  <c r="K123" i="80"/>
  <c r="B123" i="80"/>
  <c r="K122" i="80"/>
  <c r="H122" i="80"/>
  <c r="B122" i="80"/>
  <c r="K121" i="80"/>
  <c r="H121" i="80"/>
  <c r="B121" i="80"/>
  <c r="K120" i="80"/>
  <c r="H120" i="80"/>
  <c r="B120" i="80"/>
  <c r="K119" i="80"/>
  <c r="H119" i="80"/>
  <c r="I119" i="80" s="1"/>
  <c r="B119" i="80"/>
  <c r="K118" i="80"/>
  <c r="H118" i="80"/>
  <c r="I118" i="80" s="1"/>
  <c r="B118" i="80"/>
  <c r="K117" i="80"/>
  <c r="H117" i="80"/>
  <c r="I117" i="80" s="1"/>
  <c r="B117" i="80"/>
  <c r="K116" i="80"/>
  <c r="F116" i="80"/>
  <c r="D116" i="80"/>
  <c r="H116" i="80" s="1"/>
  <c r="I116" i="80" s="1"/>
  <c r="B116" i="80"/>
  <c r="K115" i="80"/>
  <c r="H115" i="80"/>
  <c r="B115" i="80"/>
  <c r="K114" i="80"/>
  <c r="H114" i="80"/>
  <c r="I114" i="80" s="1"/>
  <c r="B114" i="80"/>
  <c r="K113" i="80"/>
  <c r="H113" i="80"/>
  <c r="I113" i="80" s="1"/>
  <c r="B113" i="80"/>
  <c r="K112" i="80"/>
  <c r="H112" i="80"/>
  <c r="I112" i="80" s="1"/>
  <c r="B112" i="80"/>
  <c r="K111" i="80"/>
  <c r="H111" i="80"/>
  <c r="I111" i="80" s="1"/>
  <c r="B111" i="80"/>
  <c r="K110" i="80"/>
  <c r="F110" i="80"/>
  <c r="D110" i="80"/>
  <c r="B110" i="80"/>
  <c r="K109" i="80"/>
  <c r="H109" i="80"/>
  <c r="I109" i="80" s="1"/>
  <c r="B109" i="80"/>
  <c r="K108" i="80"/>
  <c r="H108" i="80"/>
  <c r="B108" i="80"/>
  <c r="K107" i="80"/>
  <c r="H107" i="80"/>
  <c r="B107" i="80"/>
  <c r="K106" i="80"/>
  <c r="H106" i="80"/>
  <c r="B106" i="80"/>
  <c r="K105" i="80"/>
  <c r="F105" i="80"/>
  <c r="D105" i="80"/>
  <c r="B105" i="80"/>
  <c r="K104" i="80"/>
  <c r="F104" i="80"/>
  <c r="B104" i="80"/>
  <c r="K103" i="80"/>
  <c r="H103" i="80"/>
  <c r="I103" i="80" s="1"/>
  <c r="B103" i="80"/>
  <c r="K102" i="80"/>
  <c r="H102" i="80"/>
  <c r="I102" i="80" s="1"/>
  <c r="B102" i="80"/>
  <c r="K101" i="80"/>
  <c r="H101" i="80"/>
  <c r="I101" i="80" s="1"/>
  <c r="B101" i="80"/>
  <c r="K100" i="80"/>
  <c r="H100" i="80"/>
  <c r="I100" i="80" s="1"/>
  <c r="B100" i="80"/>
  <c r="K99" i="80"/>
  <c r="F99" i="80"/>
  <c r="F98" i="80" s="1"/>
  <c r="D99" i="80"/>
  <c r="B99" i="80"/>
  <c r="K98" i="80"/>
  <c r="B98" i="80"/>
  <c r="K97" i="80"/>
  <c r="B97" i="80"/>
  <c r="K96" i="80"/>
  <c r="B96" i="80"/>
  <c r="K95" i="80"/>
  <c r="H95" i="80"/>
  <c r="I95" i="80" s="1"/>
  <c r="B95" i="80"/>
  <c r="K94" i="80"/>
  <c r="H94" i="80"/>
  <c r="I94" i="80" s="1"/>
  <c r="B94" i="80"/>
  <c r="K93" i="80"/>
  <c r="H93" i="80"/>
  <c r="I93" i="80" s="1"/>
  <c r="B93" i="80"/>
  <c r="K92" i="80"/>
  <c r="H92" i="80"/>
  <c r="B92" i="80"/>
  <c r="K91" i="80"/>
  <c r="F91" i="80"/>
  <c r="D91" i="80"/>
  <c r="D90" i="80" s="1"/>
  <c r="B91" i="80"/>
  <c r="K90" i="80"/>
  <c r="B90" i="80"/>
  <c r="K89" i="80"/>
  <c r="H89" i="80"/>
  <c r="B89" i="80"/>
  <c r="K88" i="80"/>
  <c r="B88" i="80"/>
  <c r="K87" i="80"/>
  <c r="H87" i="80"/>
  <c r="I87" i="80" s="1"/>
  <c r="B87" i="80"/>
  <c r="K86" i="80"/>
  <c r="H86" i="80"/>
  <c r="I86" i="80" s="1"/>
  <c r="B86" i="80"/>
  <c r="K85" i="80"/>
  <c r="H85" i="80"/>
  <c r="I85" i="80" s="1"/>
  <c r="B85" i="80"/>
  <c r="K84" i="80"/>
  <c r="H84" i="80"/>
  <c r="I84" i="80" s="1"/>
  <c r="B84" i="80"/>
  <c r="K83" i="80"/>
  <c r="F83" i="80"/>
  <c r="D83" i="80"/>
  <c r="B83" i="80"/>
  <c r="K82" i="80"/>
  <c r="H82" i="80"/>
  <c r="B82" i="80"/>
  <c r="G145" i="80" s="1"/>
  <c r="K81" i="80"/>
  <c r="H81" i="80"/>
  <c r="I81" i="80" s="1"/>
  <c r="B81" i="80"/>
  <c r="K80" i="80"/>
  <c r="H80" i="80"/>
  <c r="I80" i="80" s="1"/>
  <c r="B80" i="80"/>
  <c r="K79" i="80"/>
  <c r="H79" i="80"/>
  <c r="B79" i="80"/>
  <c r="K78" i="80"/>
  <c r="F78" i="80"/>
  <c r="D78" i="80"/>
  <c r="B78" i="80"/>
  <c r="K77" i="80"/>
  <c r="H77" i="80"/>
  <c r="I77" i="80" s="1"/>
  <c r="B77" i="80"/>
  <c r="K76" i="80"/>
  <c r="H76" i="80"/>
  <c r="I76" i="80" s="1"/>
  <c r="B76" i="80"/>
  <c r="K75" i="80"/>
  <c r="H75" i="80"/>
  <c r="I75" i="80" s="1"/>
  <c r="B75" i="80"/>
  <c r="K74" i="80"/>
  <c r="H74" i="80"/>
  <c r="I74" i="80" s="1"/>
  <c r="B74" i="80"/>
  <c r="K73" i="80"/>
  <c r="H73" i="80"/>
  <c r="I73" i="80" s="1"/>
  <c r="B73" i="80"/>
  <c r="K72" i="80"/>
  <c r="H72" i="80"/>
  <c r="I72" i="80" s="1"/>
  <c r="B72" i="80"/>
  <c r="K71" i="80"/>
  <c r="F71" i="80"/>
  <c r="D71" i="80"/>
  <c r="B71" i="80"/>
  <c r="K70" i="80"/>
  <c r="B70" i="80"/>
  <c r="K69" i="80"/>
  <c r="B69" i="80"/>
  <c r="K68" i="80"/>
  <c r="B68" i="80"/>
  <c r="K67" i="80"/>
  <c r="H67" i="80"/>
  <c r="F67" i="80"/>
  <c r="D67" i="80"/>
  <c r="B67" i="80"/>
  <c r="K66" i="80"/>
  <c r="I66" i="80"/>
  <c r="H66" i="80"/>
  <c r="B66" i="80"/>
  <c r="K65" i="80"/>
  <c r="F65" i="80"/>
  <c r="F59" i="80" s="1"/>
  <c r="D65" i="80"/>
  <c r="B65" i="80"/>
  <c r="K64" i="80"/>
  <c r="H64" i="80"/>
  <c r="I64" i="80" s="1"/>
  <c r="B64" i="80"/>
  <c r="K63" i="80"/>
  <c r="H63" i="80"/>
  <c r="I63" i="80" s="1"/>
  <c r="B63" i="80"/>
  <c r="K62" i="80"/>
  <c r="H62" i="80"/>
  <c r="B62" i="80"/>
  <c r="K61" i="80"/>
  <c r="H61" i="80"/>
  <c r="I61" i="80" s="1"/>
  <c r="B61" i="80"/>
  <c r="K60" i="80"/>
  <c r="F60" i="80"/>
  <c r="D60" i="80"/>
  <c r="H60" i="80" s="1"/>
  <c r="I60" i="80" s="1"/>
  <c r="B60" i="80"/>
  <c r="K59" i="80"/>
  <c r="B59" i="80"/>
  <c r="K58" i="80"/>
  <c r="H58" i="80"/>
  <c r="I58" i="80" s="1"/>
  <c r="B58" i="80"/>
  <c r="K57" i="80"/>
  <c r="F57" i="80"/>
  <c r="D57" i="80"/>
  <c r="B57" i="80"/>
  <c r="K56" i="80"/>
  <c r="B56" i="80"/>
  <c r="K55" i="80"/>
  <c r="B55" i="80"/>
  <c r="K54" i="80"/>
  <c r="H54" i="80"/>
  <c r="B54" i="80"/>
  <c r="K53" i="80"/>
  <c r="H53" i="80"/>
  <c r="B53" i="80"/>
  <c r="K52" i="80"/>
  <c r="H52" i="80"/>
  <c r="B52" i="80"/>
  <c r="K51" i="80"/>
  <c r="F51" i="80"/>
  <c r="D51" i="80"/>
  <c r="B51" i="80"/>
  <c r="K50" i="80"/>
  <c r="H50" i="80"/>
  <c r="I50" i="80" s="1"/>
  <c r="B50" i="80"/>
  <c r="K49" i="80"/>
  <c r="H49" i="80"/>
  <c r="I49" i="80" s="1"/>
  <c r="B49" i="80"/>
  <c r="K48" i="80"/>
  <c r="H48" i="80"/>
  <c r="I48" i="80" s="1"/>
  <c r="B48" i="80"/>
  <c r="K47" i="80"/>
  <c r="H47" i="80"/>
  <c r="I47" i="80" s="1"/>
  <c r="B47" i="80"/>
  <c r="K46" i="80"/>
  <c r="F46" i="80"/>
  <c r="D46" i="80"/>
  <c r="H46" i="80" s="1"/>
  <c r="I46" i="80" s="1"/>
  <c r="B46" i="80"/>
  <c r="K45" i="80"/>
  <c r="B45" i="80"/>
  <c r="K44" i="80"/>
  <c r="H44" i="80"/>
  <c r="I44" i="80" s="1"/>
  <c r="B44" i="80"/>
  <c r="K43" i="80"/>
  <c r="H43" i="80"/>
  <c r="I43" i="80" s="1"/>
  <c r="B43" i="80"/>
  <c r="K42" i="80"/>
  <c r="B42" i="80"/>
  <c r="K41" i="80"/>
  <c r="H41" i="80"/>
  <c r="B41" i="80"/>
  <c r="K40" i="80"/>
  <c r="H40" i="80"/>
  <c r="I40" i="80" s="1"/>
  <c r="B40" i="80"/>
  <c r="K39" i="80"/>
  <c r="F39" i="80"/>
  <c r="B39" i="80"/>
  <c r="K38" i="80"/>
  <c r="H38" i="80"/>
  <c r="I38" i="80" s="1"/>
  <c r="B38" i="80"/>
  <c r="K37" i="80"/>
  <c r="H37" i="80"/>
  <c r="I37" i="80" s="1"/>
  <c r="B37" i="80"/>
  <c r="K36" i="80"/>
  <c r="H36" i="80"/>
  <c r="I36" i="80" s="1"/>
  <c r="B36" i="80"/>
  <c r="K35" i="80"/>
  <c r="H35" i="80"/>
  <c r="I35" i="80" s="1"/>
  <c r="B35" i="80"/>
  <c r="K34" i="80"/>
  <c r="H34" i="80"/>
  <c r="I34" i="80" s="1"/>
  <c r="B34" i="80"/>
  <c r="K33" i="80"/>
  <c r="F33" i="80"/>
  <c r="D33" i="80"/>
  <c r="H33" i="80" s="1"/>
  <c r="I33" i="80" s="1"/>
  <c r="B33" i="80"/>
  <c r="K32" i="80"/>
  <c r="B32" i="80"/>
  <c r="K31" i="80"/>
  <c r="H31" i="80"/>
  <c r="I31" i="80" s="1"/>
  <c r="B31" i="80"/>
  <c r="K30" i="80"/>
  <c r="H30" i="80"/>
  <c r="I30" i="80" s="1"/>
  <c r="B30" i="80"/>
  <c r="K29" i="80"/>
  <c r="H29" i="80"/>
  <c r="I29" i="80" s="1"/>
  <c r="B29" i="80"/>
  <c r="K28" i="80"/>
  <c r="H28" i="80"/>
  <c r="I28" i="80" s="1"/>
  <c r="B28" i="80"/>
  <c r="K27" i="80"/>
  <c r="H27" i="80"/>
  <c r="I27" i="80" s="1"/>
  <c r="B27" i="80"/>
  <c r="K26" i="80"/>
  <c r="H26" i="80"/>
  <c r="I26" i="80" s="1"/>
  <c r="B26" i="80"/>
  <c r="K25" i="80"/>
  <c r="H25" i="80"/>
  <c r="I25" i="80" s="1"/>
  <c r="B25" i="80"/>
  <c r="K24" i="80"/>
  <c r="F24" i="80"/>
  <c r="D24" i="80"/>
  <c r="B24" i="80"/>
  <c r="K23" i="80"/>
  <c r="H23" i="80"/>
  <c r="B23" i="80"/>
  <c r="K22" i="80"/>
  <c r="F22" i="80"/>
  <c r="D22" i="80"/>
  <c r="B22" i="80"/>
  <c r="K21" i="80"/>
  <c r="B21" i="80"/>
  <c r="K20" i="80"/>
  <c r="B20" i="80"/>
  <c r="K19" i="80"/>
  <c r="H19" i="80"/>
  <c r="F19" i="80"/>
  <c r="D19" i="80"/>
  <c r="B19" i="80"/>
  <c r="K18" i="80"/>
  <c r="H18" i="80"/>
  <c r="I18" i="80" s="1"/>
  <c r="B18" i="80"/>
  <c r="K17" i="80"/>
  <c r="F17" i="80"/>
  <c r="D17" i="80"/>
  <c r="B17" i="80"/>
  <c r="K16" i="80"/>
  <c r="H16" i="80"/>
  <c r="I16" i="80" s="1"/>
  <c r="B16" i="80"/>
  <c r="K15" i="80"/>
  <c r="H15" i="80"/>
  <c r="I15" i="80" s="1"/>
  <c r="B15" i="80"/>
  <c r="K14" i="80"/>
  <c r="H14" i="80"/>
  <c r="I14" i="80" s="1"/>
  <c r="B14" i="80"/>
  <c r="K13" i="80"/>
  <c r="F13" i="80"/>
  <c r="D13" i="80"/>
  <c r="B13" i="80"/>
  <c r="K12" i="80"/>
  <c r="B12" i="80"/>
  <c r="K11" i="80"/>
  <c r="H11" i="80"/>
  <c r="I11" i="80" s="1"/>
  <c r="B11" i="80"/>
  <c r="K10" i="80"/>
  <c r="F10" i="80"/>
  <c r="F9" i="80" s="1"/>
  <c r="D10" i="80"/>
  <c r="B10" i="80"/>
  <c r="K9" i="80"/>
  <c r="B9" i="80"/>
  <c r="K8" i="80"/>
  <c r="H145" i="80" l="1"/>
  <c r="E143" i="80"/>
  <c r="H105" i="80"/>
  <c r="I105" i="80" s="1"/>
  <c r="D32" i="80"/>
  <c r="H78" i="80"/>
  <c r="I78" i="80" s="1"/>
  <c r="H160" i="80"/>
  <c r="H158" i="80"/>
  <c r="H91" i="80"/>
  <c r="I91" i="80" s="1"/>
  <c r="H151" i="80"/>
  <c r="H156" i="80"/>
  <c r="H148" i="80"/>
  <c r="E141" i="80"/>
  <c r="I141" i="80" s="1"/>
  <c r="E144" i="80"/>
  <c r="H24" i="80"/>
  <c r="I24" i="80" s="1"/>
  <c r="H147" i="80"/>
  <c r="H51" i="80"/>
  <c r="H99" i="80"/>
  <c r="I99" i="80" s="1"/>
  <c r="E140" i="80"/>
  <c r="E146" i="80" s="1"/>
  <c r="G141" i="80"/>
  <c r="F45" i="80"/>
  <c r="F90" i="80"/>
  <c r="H140" i="80"/>
  <c r="H152" i="80"/>
  <c r="G140" i="80"/>
  <c r="G146" i="80" s="1"/>
  <c r="H155" i="80"/>
  <c r="G142" i="80"/>
  <c r="H144" i="80"/>
  <c r="H13" i="80"/>
  <c r="I13" i="80" s="1"/>
  <c r="H17" i="80"/>
  <c r="I17" i="80" s="1"/>
  <c r="F97" i="80"/>
  <c r="D9" i="80"/>
  <c r="H10" i="80"/>
  <c r="I10" i="80" s="1"/>
  <c r="D12" i="80"/>
  <c r="F32" i="80"/>
  <c r="H39" i="80"/>
  <c r="I39" i="80" s="1"/>
  <c r="F12" i="80"/>
  <c r="H22" i="80"/>
  <c r="H83" i="80"/>
  <c r="I83" i="80" s="1"/>
  <c r="D123" i="80"/>
  <c r="H124" i="80"/>
  <c r="I124" i="80" s="1"/>
  <c r="H65" i="80"/>
  <c r="I65" i="80" s="1"/>
  <c r="G144" i="80"/>
  <c r="D98" i="80"/>
  <c r="E142" i="80"/>
  <c r="I142" i="80" s="1"/>
  <c r="D70" i="80"/>
  <c r="H90" i="80"/>
  <c r="I90" i="80" s="1"/>
  <c r="H110" i="80"/>
  <c r="I110" i="80" s="1"/>
  <c r="D59" i="80"/>
  <c r="H71" i="80"/>
  <c r="I71" i="80" s="1"/>
  <c r="F70" i="80"/>
  <c r="F56" i="80"/>
  <c r="E145" i="80"/>
  <c r="I145" i="80" s="1"/>
  <c r="D45" i="80"/>
  <c r="D56" i="80"/>
  <c r="H57" i="80"/>
  <c r="I57" i="80" s="1"/>
  <c r="D104" i="80"/>
  <c r="K131" i="80"/>
  <c r="G143" i="80"/>
  <c r="I143" i="80" s="1"/>
  <c r="H125" i="80"/>
  <c r="I125" i="80" s="1"/>
  <c r="H142" i="80"/>
  <c r="H146" i="80"/>
  <c r="H150" i="80"/>
  <c r="H154" i="80"/>
  <c r="D15" i="65"/>
  <c r="I144" i="80" l="1"/>
  <c r="F8" i="80"/>
  <c r="M24" i="80" s="1"/>
  <c r="I140" i="80"/>
  <c r="I146" i="80"/>
  <c r="H70" i="80"/>
  <c r="I70" i="80" s="1"/>
  <c r="G12" i="80"/>
  <c r="M70" i="80"/>
  <c r="H98" i="80"/>
  <c r="I98" i="80" s="1"/>
  <c r="D97" i="80"/>
  <c r="M56" i="80"/>
  <c r="F55" i="80"/>
  <c r="G10" i="80"/>
  <c r="D55" i="80"/>
  <c r="H56" i="80"/>
  <c r="I56" i="80" s="1"/>
  <c r="H59" i="80"/>
  <c r="I59" i="80" s="1"/>
  <c r="H9" i="80"/>
  <c r="I9" i="80" s="1"/>
  <c r="D8" i="80"/>
  <c r="M106" i="80"/>
  <c r="G93" i="80"/>
  <c r="G88" i="80"/>
  <c r="G86" i="80"/>
  <c r="M115" i="80"/>
  <c r="M91" i="80"/>
  <c r="G112" i="80"/>
  <c r="G111" i="80"/>
  <c r="M88" i="80"/>
  <c r="M18" i="80"/>
  <c r="G119" i="80"/>
  <c r="G21" i="80"/>
  <c r="M15" i="80"/>
  <c r="M116" i="80"/>
  <c r="G77" i="80"/>
  <c r="M14" i="80"/>
  <c r="G48" i="80"/>
  <c r="M42" i="80"/>
  <c r="G34" i="80"/>
  <c r="G30" i="80"/>
  <c r="M93" i="80"/>
  <c r="M68" i="80"/>
  <c r="G67" i="80"/>
  <c r="G46" i="80"/>
  <c r="G91" i="80"/>
  <c r="M80" i="80"/>
  <c r="G61" i="80"/>
  <c r="M118" i="80"/>
  <c r="M84" i="80"/>
  <c r="M48" i="80"/>
  <c r="M28" i="80"/>
  <c r="M25" i="80"/>
  <c r="M59" i="80"/>
  <c r="M85" i="80"/>
  <c r="G62" i="80"/>
  <c r="M51" i="80"/>
  <c r="G19" i="80"/>
  <c r="G73" i="80"/>
  <c r="G53" i="80"/>
  <c r="G83" i="80"/>
  <c r="G57" i="80"/>
  <c r="H123" i="80"/>
  <c r="I123" i="80" s="1"/>
  <c r="M22" i="80"/>
  <c r="H12" i="80"/>
  <c r="I12" i="80" s="1"/>
  <c r="F130" i="80"/>
  <c r="G97" i="80"/>
  <c r="M97" i="80"/>
  <c r="H104" i="80"/>
  <c r="I104" i="80" s="1"/>
  <c r="H45" i="80"/>
  <c r="I45" i="80" s="1"/>
  <c r="G125" i="80"/>
  <c r="H32" i="80"/>
  <c r="I32" i="80" s="1"/>
  <c r="M110" i="80"/>
  <c r="G22" i="80"/>
  <c r="M98" i="80"/>
  <c r="C36" i="29"/>
  <c r="L56" i="80" l="1"/>
  <c r="E43" i="80"/>
  <c r="G78" i="80"/>
  <c r="G44" i="80"/>
  <c r="G52" i="80"/>
  <c r="M34" i="80"/>
  <c r="M60" i="80"/>
  <c r="M83" i="80"/>
  <c r="G81" i="80"/>
  <c r="G65" i="80"/>
  <c r="G38" i="80"/>
  <c r="M58" i="80"/>
  <c r="G49" i="80"/>
  <c r="G28" i="80"/>
  <c r="G120" i="80"/>
  <c r="M107" i="80"/>
  <c r="G123" i="80"/>
  <c r="M17" i="80"/>
  <c r="M73" i="80"/>
  <c r="M62" i="80"/>
  <c r="G39" i="80"/>
  <c r="M9" i="80"/>
  <c r="G90" i="80"/>
  <c r="M114" i="80"/>
  <c r="G100" i="80"/>
  <c r="G84" i="80"/>
  <c r="G127" i="80"/>
  <c r="G129" i="80"/>
  <c r="G115" i="80"/>
  <c r="M77" i="80"/>
  <c r="G54" i="80"/>
  <c r="M103" i="80"/>
  <c r="G47" i="80"/>
  <c r="M95" i="80"/>
  <c r="G23" i="80"/>
  <c r="G25" i="80"/>
  <c r="G74" i="80"/>
  <c r="G27" i="80"/>
  <c r="G109" i="80"/>
  <c r="G35" i="80"/>
  <c r="G43" i="80"/>
  <c r="E158" i="80" s="1"/>
  <c r="M44" i="80"/>
  <c r="M78" i="80"/>
  <c r="M33" i="80"/>
  <c r="M19" i="80"/>
  <c r="M54" i="80"/>
  <c r="M126" i="80"/>
  <c r="M65" i="80"/>
  <c r="M123" i="80"/>
  <c r="G9" i="80"/>
  <c r="M124" i="80"/>
  <c r="G104" i="80"/>
  <c r="G56" i="80"/>
  <c r="M57" i="80"/>
  <c r="M113" i="80"/>
  <c r="G95" i="80"/>
  <c r="G79" i="80"/>
  <c r="G126" i="80"/>
  <c r="M122" i="80"/>
  <c r="G114" i="80"/>
  <c r="M76" i="80"/>
  <c r="G41" i="80"/>
  <c r="M99" i="80"/>
  <c r="G42" i="80"/>
  <c r="M119" i="80"/>
  <c r="G18" i="80"/>
  <c r="G20" i="80"/>
  <c r="G71" i="80"/>
  <c r="G24" i="80"/>
  <c r="G105" i="80"/>
  <c r="M8" i="80"/>
  <c r="M35" i="80"/>
  <c r="M38" i="80"/>
  <c r="G68" i="80"/>
  <c r="M31" i="80"/>
  <c r="G14" i="80"/>
  <c r="M50" i="80"/>
  <c r="M102" i="80"/>
  <c r="G98" i="80"/>
  <c r="G70" i="80"/>
  <c r="M71" i="80"/>
  <c r="M104" i="80"/>
  <c r="G99" i="80"/>
  <c r="M112" i="80"/>
  <c r="G94" i="80"/>
  <c r="M64" i="80"/>
  <c r="M121" i="80"/>
  <c r="M109" i="80"/>
  <c r="G113" i="80"/>
  <c r="M75" i="80"/>
  <c r="G40" i="80"/>
  <c r="M90" i="80"/>
  <c r="M37" i="80"/>
  <c r="G116" i="80"/>
  <c r="G16" i="80"/>
  <c r="M11" i="80"/>
  <c r="M52" i="80"/>
  <c r="M21" i="80"/>
  <c r="M100" i="80"/>
  <c r="M81" i="80"/>
  <c r="M92" i="80"/>
  <c r="G36" i="80"/>
  <c r="G66" i="80"/>
  <c r="M30" i="80"/>
  <c r="G45" i="80"/>
  <c r="M32" i="80"/>
  <c r="M39" i="80"/>
  <c r="G103" i="80"/>
  <c r="G87" i="80"/>
  <c r="G58" i="80"/>
  <c r="G82" i="80"/>
  <c r="G89" i="80"/>
  <c r="G107" i="80"/>
  <c r="M72" i="80"/>
  <c r="M125" i="80"/>
  <c r="G76" i="80"/>
  <c r="G11" i="80"/>
  <c r="G69" i="80"/>
  <c r="M46" i="80"/>
  <c r="M117" i="80"/>
  <c r="G31" i="80"/>
  <c r="M41" i="80"/>
  <c r="G51" i="80"/>
  <c r="M23" i="80"/>
  <c r="G75" i="80"/>
  <c r="G157" i="80" s="1"/>
  <c r="G117" i="80"/>
  <c r="G50" i="80"/>
  <c r="M27" i="80"/>
  <c r="G122" i="80"/>
  <c r="G118" i="80"/>
  <c r="M20" i="80"/>
  <c r="M10" i="80"/>
  <c r="M45" i="80"/>
  <c r="M12" i="80"/>
  <c r="G13" i="80"/>
  <c r="G32" i="80"/>
  <c r="M67" i="80"/>
  <c r="M136" i="80"/>
  <c r="G92" i="80"/>
  <c r="M29" i="80"/>
  <c r="M16" i="80"/>
  <c r="M69" i="80"/>
  <c r="G37" i="80"/>
  <c r="E157" i="80" s="1"/>
  <c r="M89" i="80"/>
  <c r="M79" i="80"/>
  <c r="M87" i="80"/>
  <c r="M74" i="80"/>
  <c r="M108" i="80"/>
  <c r="M63" i="80"/>
  <c r="M111" i="80"/>
  <c r="G110" i="80"/>
  <c r="M13" i="80"/>
  <c r="M105" i="80"/>
  <c r="M40" i="80"/>
  <c r="M47" i="80"/>
  <c r="M43" i="80"/>
  <c r="G29" i="80"/>
  <c r="G26" i="80"/>
  <c r="G106" i="80"/>
  <c r="G108" i="80"/>
  <c r="M82" i="80"/>
  <c r="G80" i="80"/>
  <c r="G85" i="80"/>
  <c r="M120" i="80"/>
  <c r="M127" i="80"/>
  <c r="M86" i="80"/>
  <c r="M36" i="80"/>
  <c r="G60" i="80"/>
  <c r="G63" i="80"/>
  <c r="G121" i="80"/>
  <c r="G128" i="80"/>
  <c r="G101" i="80"/>
  <c r="G124" i="80"/>
  <c r="G17" i="80"/>
  <c r="G59" i="80"/>
  <c r="G15" i="80"/>
  <c r="M66" i="80"/>
  <c r="M26" i="80"/>
  <c r="M101" i="80"/>
  <c r="M49" i="80"/>
  <c r="M129" i="80"/>
  <c r="M94" i="80"/>
  <c r="M61" i="80"/>
  <c r="G72" i="80"/>
  <c r="G64" i="80"/>
  <c r="M128" i="80"/>
  <c r="M53" i="80"/>
  <c r="G102" i="80"/>
  <c r="G33" i="80"/>
  <c r="F96" i="80"/>
  <c r="F131" i="80" s="1"/>
  <c r="L104" i="80"/>
  <c r="E104" i="80"/>
  <c r="E12" i="80"/>
  <c r="E123" i="80"/>
  <c r="L59" i="80"/>
  <c r="L123" i="80"/>
  <c r="E98" i="80"/>
  <c r="L45" i="80"/>
  <c r="E45" i="80"/>
  <c r="E59" i="80"/>
  <c r="L12" i="80"/>
  <c r="E9" i="80"/>
  <c r="E70" i="80"/>
  <c r="L70" i="80"/>
  <c r="L9" i="80"/>
  <c r="G156" i="80"/>
  <c r="G154" i="80"/>
  <c r="G160" i="80" s="1"/>
  <c r="G159" i="80"/>
  <c r="L119" i="80"/>
  <c r="L118" i="80"/>
  <c r="L117" i="80"/>
  <c r="E109" i="80"/>
  <c r="E92" i="80"/>
  <c r="L68" i="80"/>
  <c r="L61" i="80"/>
  <c r="L52" i="80"/>
  <c r="L120" i="80"/>
  <c r="L114" i="80"/>
  <c r="L113" i="80"/>
  <c r="L112" i="80"/>
  <c r="L111" i="80"/>
  <c r="L110" i="80"/>
  <c r="L106" i="80"/>
  <c r="E103" i="80"/>
  <c r="E102" i="80"/>
  <c r="E101" i="80"/>
  <c r="E100" i="80"/>
  <c r="D96" i="80"/>
  <c r="E95" i="80"/>
  <c r="E94" i="80"/>
  <c r="E93" i="80"/>
  <c r="E88" i="80"/>
  <c r="E87" i="80"/>
  <c r="E86" i="80"/>
  <c r="E85" i="80"/>
  <c r="E84" i="80"/>
  <c r="E79" i="80"/>
  <c r="E128" i="80"/>
  <c r="E127" i="80"/>
  <c r="E126" i="80"/>
  <c r="L121" i="80"/>
  <c r="L115" i="80"/>
  <c r="L107" i="80"/>
  <c r="L127" i="80"/>
  <c r="L126" i="80"/>
  <c r="E120" i="80"/>
  <c r="E119" i="80"/>
  <c r="E118" i="80"/>
  <c r="E117" i="80"/>
  <c r="E106" i="80"/>
  <c r="L81" i="80"/>
  <c r="L80" i="80"/>
  <c r="L79" i="80"/>
  <c r="E69" i="80"/>
  <c r="E62" i="80"/>
  <c r="E61" i="80"/>
  <c r="E53" i="80"/>
  <c r="E50" i="80"/>
  <c r="E49" i="80"/>
  <c r="E48" i="80"/>
  <c r="E47" i="80"/>
  <c r="E23" i="80"/>
  <c r="E16" i="80"/>
  <c r="E15" i="80"/>
  <c r="L129" i="80"/>
  <c r="E113" i="80"/>
  <c r="E129" i="80"/>
  <c r="E122" i="80"/>
  <c r="E114" i="80"/>
  <c r="L109" i="80"/>
  <c r="L94" i="80"/>
  <c r="L89" i="80"/>
  <c r="E80" i="80"/>
  <c r="E54" i="80"/>
  <c r="L36" i="80"/>
  <c r="L23" i="80"/>
  <c r="L17" i="80"/>
  <c r="L14" i="80"/>
  <c r="L8" i="80"/>
  <c r="E108" i="80"/>
  <c r="L103" i="80"/>
  <c r="L91" i="80"/>
  <c r="L87" i="80"/>
  <c r="L82" i="80"/>
  <c r="L136" i="80"/>
  <c r="L102" i="80"/>
  <c r="E89" i="80"/>
  <c r="L75" i="80"/>
  <c r="E73" i="80"/>
  <c r="L66" i="80"/>
  <c r="E58" i="80"/>
  <c r="L54" i="80"/>
  <c r="L51" i="80"/>
  <c r="L50" i="80"/>
  <c r="E44" i="80"/>
  <c r="E38" i="80"/>
  <c r="E17" i="80"/>
  <c r="E32" i="80"/>
  <c r="E19" i="80"/>
  <c r="L101" i="80"/>
  <c r="L84" i="80"/>
  <c r="E72" i="80"/>
  <c r="L48" i="80"/>
  <c r="L40" i="80"/>
  <c r="L29" i="80"/>
  <c r="L26" i="80"/>
  <c r="E14" i="80"/>
  <c r="E81" i="80"/>
  <c r="E77" i="80"/>
  <c r="E63" i="80"/>
  <c r="E40" i="80"/>
  <c r="E33" i="80"/>
  <c r="E18" i="80"/>
  <c r="L77" i="80"/>
  <c r="E66" i="80"/>
  <c r="L24" i="80"/>
  <c r="L69" i="80"/>
  <c r="E116" i="80"/>
  <c r="E107" i="80"/>
  <c r="E90" i="80"/>
  <c r="L88" i="80"/>
  <c r="L86" i="80"/>
  <c r="E78" i="80"/>
  <c r="E74" i="80"/>
  <c r="L72" i="80"/>
  <c r="E60" i="80"/>
  <c r="L42" i="80"/>
  <c r="E41" i="80"/>
  <c r="L37" i="80"/>
  <c r="E34" i="80"/>
  <c r="E31" i="80"/>
  <c r="E30" i="80"/>
  <c r="E29" i="80"/>
  <c r="E28" i="80"/>
  <c r="E27" i="80"/>
  <c r="E26" i="80"/>
  <c r="E25" i="80"/>
  <c r="L21" i="80"/>
  <c r="E20" i="80"/>
  <c r="L15" i="80"/>
  <c r="L11" i="80"/>
  <c r="L63" i="80"/>
  <c r="L58" i="80"/>
  <c r="L33" i="80"/>
  <c r="L30" i="80"/>
  <c r="L28" i="80"/>
  <c r="L27" i="80"/>
  <c r="L74" i="80"/>
  <c r="E121" i="80"/>
  <c r="E112" i="80"/>
  <c r="L100" i="80"/>
  <c r="E82" i="80"/>
  <c r="L76" i="80"/>
  <c r="E71" i="80"/>
  <c r="E64" i="80"/>
  <c r="L62" i="80"/>
  <c r="L43" i="80"/>
  <c r="E35" i="80"/>
  <c r="L122" i="80"/>
  <c r="L108" i="80"/>
  <c r="L95" i="80"/>
  <c r="L92" i="80"/>
  <c r="E75" i="80"/>
  <c r="L73" i="80"/>
  <c r="L53" i="80"/>
  <c r="E51" i="80"/>
  <c r="L47" i="80"/>
  <c r="L44" i="80"/>
  <c r="E42" i="80"/>
  <c r="L38" i="80"/>
  <c r="E36" i="80"/>
  <c r="E21" i="80"/>
  <c r="L18" i="80"/>
  <c r="L16" i="80"/>
  <c r="E110" i="80"/>
  <c r="L78" i="80"/>
  <c r="E68" i="80"/>
  <c r="E52" i="80"/>
  <c r="L31" i="80"/>
  <c r="L25" i="80"/>
  <c r="H8" i="80"/>
  <c r="I8" i="80" s="1"/>
  <c r="L128" i="80"/>
  <c r="E76" i="80"/>
  <c r="L93" i="80"/>
  <c r="L71" i="80"/>
  <c r="E57" i="80"/>
  <c r="L35" i="80"/>
  <c r="L41" i="80"/>
  <c r="E125" i="80"/>
  <c r="L67" i="80"/>
  <c r="L64" i="80"/>
  <c r="E37" i="80"/>
  <c r="E111" i="80"/>
  <c r="L85" i="80"/>
  <c r="L49" i="80"/>
  <c r="L34" i="80"/>
  <c r="L20" i="80"/>
  <c r="E115" i="80"/>
  <c r="E11" i="80"/>
  <c r="E10" i="80"/>
  <c r="L57" i="80"/>
  <c r="E91" i="80"/>
  <c r="L13" i="80"/>
  <c r="L90" i="80"/>
  <c r="L46" i="80"/>
  <c r="E105" i="80"/>
  <c r="L65" i="80"/>
  <c r="E39" i="80"/>
  <c r="L19" i="80"/>
  <c r="L125" i="80"/>
  <c r="L99" i="80"/>
  <c r="L32" i="80"/>
  <c r="E22" i="80"/>
  <c r="E67" i="80"/>
  <c r="E13" i="80"/>
  <c r="L10" i="80"/>
  <c r="L83" i="80"/>
  <c r="E124" i="80"/>
  <c r="E24" i="80"/>
  <c r="L22" i="80"/>
  <c r="E83" i="80"/>
  <c r="L124" i="80"/>
  <c r="L116" i="80"/>
  <c r="E99" i="80"/>
  <c r="L39" i="80"/>
  <c r="E46" i="80"/>
  <c r="E65" i="80"/>
  <c r="L60" i="80"/>
  <c r="L105" i="80"/>
  <c r="E56" i="80"/>
  <c r="L98" i="80"/>
  <c r="L97" i="80"/>
  <c r="E97" i="80"/>
  <c r="D130" i="80"/>
  <c r="H97" i="80"/>
  <c r="I97" i="80" s="1"/>
  <c r="G158" i="80"/>
  <c r="G96" i="80"/>
  <c r="L55" i="80"/>
  <c r="H55" i="80"/>
  <c r="I55" i="80" s="1"/>
  <c r="E55" i="80"/>
  <c r="G130" i="80"/>
  <c r="M130" i="80"/>
  <c r="G55" i="80"/>
  <c r="M55" i="80"/>
  <c r="F29" i="61"/>
  <c r="K59" i="54"/>
  <c r="B59" i="54"/>
  <c r="G155" i="80" l="1"/>
  <c r="E159" i="80"/>
  <c r="E156" i="80"/>
  <c r="I156" i="80" s="1"/>
  <c r="E155" i="80"/>
  <c r="I155" i="80" s="1"/>
  <c r="E154" i="80"/>
  <c r="E160" i="80" s="1"/>
  <c r="M96" i="80"/>
  <c r="I157" i="80"/>
  <c r="E152" i="80"/>
  <c r="E151" i="80"/>
  <c r="G152" i="80"/>
  <c r="E148" i="80"/>
  <c r="G151" i="80"/>
  <c r="I154" i="80"/>
  <c r="I160" i="80"/>
  <c r="I158" i="80"/>
  <c r="M131" i="80"/>
  <c r="G131" i="80"/>
  <c r="E147" i="80"/>
  <c r="E150" i="80"/>
  <c r="E149" i="80"/>
  <c r="G148" i="80"/>
  <c r="I159" i="80"/>
  <c r="G149" i="80"/>
  <c r="G147" i="80"/>
  <c r="G153" i="80" s="1"/>
  <c r="E96" i="80"/>
  <c r="D131" i="80"/>
  <c r="L96" i="80"/>
  <c r="H96" i="80"/>
  <c r="I96" i="80" s="1"/>
  <c r="H130" i="80"/>
  <c r="I130" i="80" s="1"/>
  <c r="L130" i="80"/>
  <c r="E130" i="80"/>
  <c r="G150" i="80"/>
  <c r="I152" i="80" l="1"/>
  <c r="I148" i="80"/>
  <c r="I151" i="80"/>
  <c r="E153" i="80"/>
  <c r="I153" i="80" s="1"/>
  <c r="I147" i="80"/>
  <c r="I149" i="80"/>
  <c r="E131" i="80"/>
  <c r="L131" i="80"/>
  <c r="H131" i="80"/>
  <c r="I131" i="80" s="1"/>
  <c r="I150" i="80"/>
  <c r="F41" i="64"/>
  <c r="F40" i="64"/>
  <c r="B33" i="2" l="1"/>
  <c r="K30" i="49" l="1"/>
  <c r="F60" i="54" l="1"/>
  <c r="F59" i="54" s="1"/>
  <c r="D60" i="54"/>
  <c r="D59" i="54" s="1"/>
  <c r="H59" i="54" s="1"/>
  <c r="K61" i="54" l="1"/>
  <c r="H61" i="54"/>
  <c r="B61" i="54"/>
  <c r="K60" i="54"/>
  <c r="B60" i="54"/>
  <c r="D151" i="75" l="1"/>
  <c r="D147" i="75"/>
  <c r="D142" i="75"/>
  <c r="D136" i="75"/>
  <c r="D130" i="75" l="1"/>
  <c r="D9" i="19"/>
  <c r="D8" i="19" s="1"/>
  <c r="B9" i="19"/>
  <c r="B8" i="19" s="1"/>
  <c r="E29" i="41" l="1"/>
  <c r="E36" i="41"/>
  <c r="E22" i="53"/>
  <c r="E18" i="53"/>
  <c r="B23" i="53"/>
  <c r="C22" i="53"/>
  <c r="C18" i="53"/>
  <c r="C23" i="53" s="1"/>
  <c r="E23" i="53" l="1"/>
  <c r="I54" i="64"/>
  <c r="I53" i="64" s="1"/>
  <c r="I52" i="64" s="1"/>
  <c r="F58" i="64"/>
  <c r="F57" i="64"/>
  <c r="D58" i="64"/>
  <c r="D57" i="64"/>
  <c r="F54" i="64"/>
  <c r="F53" i="64" s="1"/>
  <c r="D54" i="64"/>
  <c r="D53" i="64"/>
  <c r="K55" i="64"/>
  <c r="H55" i="64"/>
  <c r="B55" i="64"/>
  <c r="K54" i="64"/>
  <c r="B54" i="64"/>
  <c r="K53" i="64"/>
  <c r="B53" i="64"/>
  <c r="K52" i="64"/>
  <c r="B52" i="64"/>
  <c r="H54" i="64" l="1"/>
  <c r="F52" i="64" l="1"/>
  <c r="B36" i="46" l="1"/>
  <c r="B30" i="74" l="1"/>
  <c r="A87" i="54"/>
  <c r="B87" i="54" s="1"/>
  <c r="F63" i="54"/>
  <c r="D63" i="54"/>
  <c r="K34" i="54" l="1"/>
  <c r="H34" i="54"/>
  <c r="I34" i="54" s="1"/>
  <c r="B34" i="54"/>
  <c r="K33" i="54"/>
  <c r="F33" i="54"/>
  <c r="D33" i="54"/>
  <c r="B33" i="54"/>
  <c r="H33" i="54" l="1"/>
  <c r="I33" i="54" s="1"/>
  <c r="B10" i="1"/>
  <c r="L14" i="78" l="1"/>
  <c r="J13" i="78"/>
  <c r="L13" i="78" s="1"/>
  <c r="L11" i="78"/>
  <c r="L10" i="78"/>
  <c r="K9" i="78"/>
  <c r="H9" i="78"/>
  <c r="G9" i="78"/>
  <c r="F9" i="78"/>
  <c r="E9" i="78"/>
  <c r="D9" i="78"/>
  <c r="C9" i="78"/>
  <c r="B9" i="78"/>
  <c r="L8" i="78"/>
  <c r="L7" i="78"/>
  <c r="J12" i="78" l="1"/>
  <c r="L12" i="78" s="1"/>
  <c r="L9" i="78"/>
  <c r="D29" i="61" l="1"/>
  <c r="F10" i="61"/>
  <c r="F14" i="61"/>
  <c r="F18" i="61"/>
  <c r="F23" i="61"/>
  <c r="F26" i="61"/>
  <c r="F28" i="61"/>
  <c r="F32" i="61"/>
  <c r="F33" i="61"/>
  <c r="F34" i="61"/>
  <c r="F36" i="61"/>
  <c r="F35" i="61" s="1"/>
  <c r="F39" i="61"/>
  <c r="F42" i="61"/>
  <c r="F41" i="61" s="1"/>
  <c r="D34" i="61"/>
  <c r="D39" i="61"/>
  <c r="D38" i="61" s="1"/>
  <c r="D42" i="61"/>
  <c r="D41" i="61" s="1"/>
  <c r="D32" i="61"/>
  <c r="D26" i="61"/>
  <c r="F38" i="61" l="1"/>
  <c r="F13" i="61"/>
  <c r="F9" i="61"/>
  <c r="F31" i="61"/>
  <c r="F17" i="61"/>
  <c r="F22" i="61"/>
  <c r="D36" i="61"/>
  <c r="D35" i="61" s="1"/>
  <c r="D33" i="61"/>
  <c r="D31" i="61" s="1"/>
  <c r="D43" i="61" s="1"/>
  <c r="K40" i="61"/>
  <c r="H40" i="61"/>
  <c r="I40" i="61" s="1"/>
  <c r="B40" i="61"/>
  <c r="K37" i="61"/>
  <c r="H37" i="61"/>
  <c r="I37" i="61" s="1"/>
  <c r="B37" i="61"/>
  <c r="D23" i="61"/>
  <c r="D22" i="61" s="1"/>
  <c r="D18" i="61"/>
  <c r="D17" i="61" s="1"/>
  <c r="D14" i="61"/>
  <c r="D10" i="61"/>
  <c r="F43" i="61" l="1"/>
  <c r="F8" i="61"/>
  <c r="F21" i="61"/>
  <c r="K42" i="61"/>
  <c r="H42" i="61"/>
  <c r="I42" i="61" s="1"/>
  <c r="B42" i="61"/>
  <c r="K33" i="61"/>
  <c r="H33" i="61"/>
  <c r="B33" i="61"/>
  <c r="K32" i="61"/>
  <c r="H32" i="61"/>
  <c r="I32" i="61" s="1"/>
  <c r="B32" i="61"/>
  <c r="K30" i="61"/>
  <c r="H30" i="61"/>
  <c r="I30" i="61" s="1"/>
  <c r="B30" i="61"/>
  <c r="K27" i="61"/>
  <c r="H27" i="61"/>
  <c r="I27" i="61" s="1"/>
  <c r="B27" i="61"/>
  <c r="K25" i="61"/>
  <c r="H25" i="61"/>
  <c r="I25" i="61" s="1"/>
  <c r="B25" i="61"/>
  <c r="K24" i="61"/>
  <c r="H24" i="61"/>
  <c r="I24" i="61" s="1"/>
  <c r="B24" i="61"/>
  <c r="K20" i="61"/>
  <c r="H20" i="61"/>
  <c r="I20" i="61" s="1"/>
  <c r="B20" i="61"/>
  <c r="K19" i="61"/>
  <c r="H19" i="61"/>
  <c r="I19" i="61" s="1"/>
  <c r="B19" i="61"/>
  <c r="K16" i="61"/>
  <c r="H16" i="61"/>
  <c r="I16" i="61" s="1"/>
  <c r="B16" i="61"/>
  <c r="K15" i="61"/>
  <c r="H15" i="61"/>
  <c r="I15" i="61" s="1"/>
  <c r="B15" i="61"/>
  <c r="K12" i="61"/>
  <c r="H12" i="61"/>
  <c r="B12" i="61"/>
  <c r="K11" i="61"/>
  <c r="H11" i="61"/>
  <c r="I11" i="61" s="1"/>
  <c r="B11" i="61"/>
  <c r="G43" i="61" l="1"/>
  <c r="G20" i="61"/>
  <c r="G28" i="61"/>
  <c r="G37" i="61"/>
  <c r="G19" i="61"/>
  <c r="G21" i="61"/>
  <c r="G29" i="61"/>
  <c r="G38" i="61"/>
  <c r="G22" i="61"/>
  <c r="G30" i="61"/>
  <c r="G39" i="61"/>
  <c r="G15" i="61"/>
  <c r="G23" i="61"/>
  <c r="G40" i="61"/>
  <c r="G16" i="61"/>
  <c r="G24" i="61"/>
  <c r="G41" i="61"/>
  <c r="G17" i="61"/>
  <c r="G34" i="61"/>
  <c r="G42" i="61"/>
  <c r="G26" i="61"/>
  <c r="G35" i="61"/>
  <c r="G27" i="61"/>
  <c r="G14" i="61"/>
  <c r="G25" i="61"/>
  <c r="G18" i="61"/>
  <c r="G13" i="61"/>
  <c r="G36" i="61"/>
  <c r="G32" i="61"/>
  <c r="G33" i="61"/>
  <c r="G31" i="61"/>
  <c r="D26" i="20"/>
  <c r="D25" i="20" s="1"/>
  <c r="D24" i="20" s="1"/>
  <c r="D23" i="20" s="1"/>
  <c r="D22" i="20" s="1"/>
  <c r="B26" i="20"/>
  <c r="B25" i="20" s="1"/>
  <c r="B24" i="20" s="1"/>
  <c r="B23" i="20" s="1"/>
  <c r="B22" i="20" s="1"/>
  <c r="B44" i="28" l="1"/>
  <c r="B39" i="28"/>
  <c r="B38" i="28" s="1"/>
  <c r="D44" i="28"/>
  <c r="D39" i="28"/>
  <c r="E8" i="69"/>
  <c r="E7" i="69"/>
  <c r="F7" i="69" s="1"/>
  <c r="B40" i="2" l="1"/>
  <c r="B39" i="2" s="1"/>
  <c r="B36" i="2"/>
  <c r="B13" i="1"/>
  <c r="B32" i="46" l="1"/>
  <c r="B29" i="46"/>
  <c r="B28" i="46" l="1"/>
  <c r="E41" i="68"/>
  <c r="E40" i="68" s="1"/>
  <c r="H9" i="68" s="1"/>
  <c r="C41" i="68"/>
  <c r="O25" i="68"/>
  <c r="M25" i="68"/>
  <c r="N25" i="68" l="1"/>
  <c r="B102" i="51" l="1"/>
  <c r="B101" i="51" s="1"/>
  <c r="E47" i="47" l="1"/>
  <c r="D105" i="75" l="1"/>
  <c r="D103" i="75" l="1"/>
  <c r="D102" i="75" s="1"/>
  <c r="E22" i="41" l="1"/>
  <c r="B17" i="17"/>
  <c r="B10" i="17"/>
  <c r="K21" i="53" l="1"/>
  <c r="K20" i="53"/>
  <c r="K17" i="53"/>
  <c r="K16" i="53"/>
  <c r="F22" i="53"/>
  <c r="F18" i="53"/>
  <c r="F11" i="77" l="1"/>
  <c r="K28" i="64" l="1"/>
  <c r="B28" i="64"/>
  <c r="H27" i="64" l="1"/>
  <c r="F25" i="64"/>
  <c r="D25" i="64"/>
  <c r="K27" i="64"/>
  <c r="B27" i="64"/>
  <c r="K21" i="77" l="1"/>
  <c r="B51" i="69" l="1"/>
  <c r="D51" i="69"/>
  <c r="E8" i="77" l="1"/>
  <c r="D8" i="77"/>
  <c r="C8" i="77"/>
  <c r="F7" i="77"/>
  <c r="F6" i="77"/>
  <c r="F8" i="77" l="1"/>
  <c r="F9" i="77"/>
  <c r="F26" i="30" l="1"/>
  <c r="D17" i="17" l="1"/>
  <c r="E45" i="69" l="1"/>
  <c r="E38" i="69"/>
  <c r="D43" i="69"/>
  <c r="B43" i="69"/>
  <c r="E37" i="69" l="1"/>
  <c r="F41" i="52"/>
  <c r="C41" i="52"/>
  <c r="D22" i="53" l="1"/>
  <c r="K22" i="53"/>
  <c r="B18" i="46" l="1"/>
  <c r="M21" i="53" l="1"/>
  <c r="M20" i="53"/>
  <c r="M17" i="53"/>
  <c r="L21" i="53"/>
  <c r="L20" i="53"/>
  <c r="L17" i="53"/>
  <c r="L16" i="53"/>
  <c r="J22" i="53"/>
  <c r="J21" i="53"/>
  <c r="J20" i="53"/>
  <c r="J17" i="53"/>
  <c r="J16" i="53"/>
  <c r="I21" i="53"/>
  <c r="I20" i="53"/>
  <c r="I17" i="53"/>
  <c r="I16" i="53"/>
  <c r="B50" i="69" l="1"/>
  <c r="B49" i="69" s="1"/>
  <c r="B48" i="69" s="1"/>
  <c r="D50" i="69"/>
  <c r="D49" i="69" s="1"/>
  <c r="D48" i="69" s="1"/>
  <c r="B35" i="2" l="1"/>
  <c r="E27" i="68" l="1"/>
  <c r="F24" i="64" l="1"/>
  <c r="D24" i="64"/>
  <c r="F49" i="64" l="1"/>
  <c r="F47" i="64"/>
  <c r="F44" i="64"/>
  <c r="D49" i="64"/>
  <c r="D47" i="64"/>
  <c r="D44" i="64"/>
  <c r="D43" i="64" l="1"/>
  <c r="F43" i="64"/>
  <c r="F42" i="64" s="1"/>
  <c r="F56" i="64" s="1"/>
  <c r="D125" i="75"/>
  <c r="D118" i="75"/>
  <c r="D113" i="75"/>
  <c r="D95" i="75"/>
  <c r="D94" i="75" s="1"/>
  <c r="D93" i="75" s="1"/>
  <c r="D86" i="75"/>
  <c r="D81" i="75"/>
  <c r="D78" i="75"/>
  <c r="D72" i="75"/>
  <c r="D71" i="75" s="1"/>
  <c r="D66" i="75"/>
  <c r="D62" i="75"/>
  <c r="D61" i="75" s="1"/>
  <c r="D58" i="75"/>
  <c r="D56" i="75" s="1"/>
  <c r="D49" i="75"/>
  <c r="D48" i="75" s="1"/>
  <c r="D44" i="75"/>
  <c r="D42" i="75" s="1"/>
  <c r="D36" i="75"/>
  <c r="D31" i="75"/>
  <c r="D26" i="75"/>
  <c r="D21" i="75"/>
  <c r="D19" i="75" s="1"/>
  <c r="D16" i="75"/>
  <c r="D92" i="75" l="1"/>
  <c r="D30" i="75"/>
  <c r="D14" i="75" s="1"/>
  <c r="D112" i="75"/>
  <c r="D111" i="75" s="1"/>
  <c r="D77" i="75"/>
  <c r="D76" i="75" s="1"/>
  <c r="D13" i="75"/>
  <c r="D9" i="75" s="1"/>
  <c r="D55" i="75"/>
  <c r="D25" i="75" l="1"/>
  <c r="D10" i="75"/>
  <c r="D8" i="75" s="1"/>
  <c r="D7" i="75" s="1"/>
  <c r="D12" i="75"/>
  <c r="K46" i="64"/>
  <c r="H46" i="64"/>
  <c r="I46" i="64" s="1"/>
  <c r="B46" i="64"/>
  <c r="D40" i="64"/>
  <c r="K48" i="64" l="1"/>
  <c r="H48" i="64"/>
  <c r="B48" i="64"/>
  <c r="K47" i="64"/>
  <c r="B47" i="64"/>
  <c r="K26" i="64"/>
  <c r="H26" i="64"/>
  <c r="I25" i="64" s="1"/>
  <c r="B26" i="64"/>
  <c r="K25" i="64"/>
  <c r="B25" i="64"/>
  <c r="K24" i="64"/>
  <c r="B24" i="64"/>
  <c r="H25" i="64" l="1"/>
  <c r="D42" i="56" l="1"/>
  <c r="C42" i="56"/>
  <c r="B14" i="71" l="1"/>
  <c r="B17" i="64" l="1"/>
  <c r="D29" i="64" l="1"/>
  <c r="B36" i="54"/>
  <c r="B35" i="54"/>
  <c r="B32" i="54"/>
  <c r="K45" i="64"/>
  <c r="H45" i="64"/>
  <c r="B45" i="64"/>
  <c r="K44" i="64"/>
  <c r="B44" i="64"/>
  <c r="K21" i="64"/>
  <c r="H21" i="64"/>
  <c r="B21" i="64"/>
  <c r="K31" i="58"/>
  <c r="H31" i="58"/>
  <c r="B31" i="58"/>
  <c r="D57" i="28" l="1"/>
  <c r="D35" i="56" l="1"/>
  <c r="C35" i="56"/>
  <c r="E36" i="56"/>
  <c r="D21" i="56"/>
  <c r="C21" i="56"/>
  <c r="E22" i="56"/>
  <c r="D22" i="10"/>
  <c r="D21" i="10"/>
  <c r="K18" i="49"/>
  <c r="H18" i="49"/>
  <c r="C18" i="49"/>
  <c r="B18" i="49" s="1"/>
  <c r="B17" i="49" s="1"/>
  <c r="N17" i="49"/>
  <c r="M17" i="49"/>
  <c r="L17" i="49"/>
  <c r="J17" i="49"/>
  <c r="I17" i="49"/>
  <c r="G17" i="49"/>
  <c r="F17" i="49"/>
  <c r="E17" i="49"/>
  <c r="D17" i="49"/>
  <c r="K10" i="49"/>
  <c r="H10" i="49"/>
  <c r="C10" i="49"/>
  <c r="B10" i="49" s="1"/>
  <c r="D20" i="42"/>
  <c r="D18" i="42"/>
  <c r="D17" i="42" s="1"/>
  <c r="I17" i="42"/>
  <c r="H17" i="42"/>
  <c r="G17" i="42"/>
  <c r="F17" i="42"/>
  <c r="E17" i="42"/>
  <c r="B17" i="42"/>
  <c r="D10" i="42"/>
  <c r="D11" i="42"/>
  <c r="K17" i="49" l="1"/>
  <c r="C17" i="49"/>
  <c r="H17" i="49"/>
  <c r="D26" i="69" l="1"/>
  <c r="D23" i="69"/>
  <c r="B23" i="69" l="1"/>
  <c r="B22" i="69" s="1"/>
  <c r="D22" i="69"/>
  <c r="D15" i="69"/>
  <c r="D13" i="69"/>
  <c r="D11" i="69"/>
  <c r="B14" i="74" l="1"/>
  <c r="B31" i="71"/>
  <c r="E37" i="29"/>
  <c r="D36" i="29"/>
  <c r="E26" i="29"/>
  <c r="D23" i="29"/>
  <c r="C23" i="29"/>
  <c r="B11" i="73"/>
  <c r="B11" i="72" l="1"/>
  <c r="H29" i="49"/>
  <c r="H30" i="49"/>
  <c r="H31" i="49"/>
  <c r="H33" i="49"/>
  <c r="H26" i="49"/>
  <c r="H27" i="49"/>
  <c r="H25" i="49"/>
  <c r="B11" i="30"/>
  <c r="B11" i="71"/>
  <c r="D21" i="52"/>
  <c r="B21" i="52"/>
  <c r="B21" i="42"/>
  <c r="E16" i="65"/>
  <c r="E15" i="65" s="1"/>
  <c r="C15" i="65"/>
  <c r="E12" i="65"/>
  <c r="E12" i="60"/>
  <c r="E13" i="60"/>
  <c r="D14" i="60"/>
  <c r="C14" i="60"/>
  <c r="E15" i="60"/>
  <c r="E14" i="60" s="1"/>
  <c r="D19" i="56"/>
  <c r="C19" i="56"/>
  <c r="E20" i="56"/>
  <c r="E19" i="56" s="1"/>
  <c r="B11" i="74" l="1"/>
  <c r="B13" i="74" s="1"/>
  <c r="B13" i="73"/>
  <c r="B35" i="74"/>
  <c r="B34" i="73"/>
  <c r="B29" i="73"/>
  <c r="B14" i="73"/>
  <c r="B34" i="72"/>
  <c r="B29" i="72"/>
  <c r="B14" i="72"/>
  <c r="B36" i="71"/>
  <c r="B13" i="71"/>
  <c r="F9" i="58"/>
  <c r="D9" i="58"/>
  <c r="F86" i="54"/>
  <c r="F85" i="54"/>
  <c r="D86" i="54"/>
  <c r="D85" i="54"/>
  <c r="D64" i="54"/>
  <c r="F64" i="54"/>
  <c r="K38" i="54"/>
  <c r="B38" i="54"/>
  <c r="K9" i="54"/>
  <c r="B9" i="54"/>
  <c r="H23" i="49"/>
  <c r="H22" i="49"/>
  <c r="H20" i="49"/>
  <c r="H15" i="49"/>
  <c r="H16" i="49"/>
  <c r="H11" i="49"/>
  <c r="H12" i="49"/>
  <c r="H13" i="49"/>
  <c r="H14" i="49"/>
  <c r="H9" i="49"/>
  <c r="J21" i="49"/>
  <c r="I21" i="49"/>
  <c r="I32" i="49"/>
  <c r="I28" i="49"/>
  <c r="I24" i="49"/>
  <c r="I19" i="49"/>
  <c r="I8" i="49"/>
  <c r="K22" i="49"/>
  <c r="C22" i="49"/>
  <c r="B22" i="49" s="1"/>
  <c r="D33" i="42"/>
  <c r="D31" i="42"/>
  <c r="D30" i="42"/>
  <c r="D29" i="42"/>
  <c r="D26" i="42"/>
  <c r="D27" i="42"/>
  <c r="D25" i="42"/>
  <c r="D23" i="42"/>
  <c r="D22" i="42"/>
  <c r="D12" i="42"/>
  <c r="D13" i="42"/>
  <c r="D14" i="42"/>
  <c r="D15" i="42"/>
  <c r="D16" i="42"/>
  <c r="D9" i="42"/>
  <c r="F21" i="42"/>
  <c r="G21" i="42"/>
  <c r="H21" i="42"/>
  <c r="I21" i="42"/>
  <c r="E21" i="42"/>
  <c r="F32" i="42"/>
  <c r="G32" i="42"/>
  <c r="H32" i="42"/>
  <c r="I32" i="42"/>
  <c r="E24" i="42"/>
  <c r="F24" i="42"/>
  <c r="G24" i="42"/>
  <c r="H24" i="42"/>
  <c r="I24" i="42"/>
  <c r="E19" i="42"/>
  <c r="F19" i="42"/>
  <c r="G19" i="42"/>
  <c r="H19" i="42"/>
  <c r="I19" i="42"/>
  <c r="F8" i="42"/>
  <c r="G8" i="42"/>
  <c r="H8" i="42"/>
  <c r="I8" i="42"/>
  <c r="H21" i="49" l="1"/>
  <c r="I34" i="49"/>
  <c r="I34" i="42"/>
  <c r="D21" i="42"/>
  <c r="B20" i="74"/>
  <c r="B21" i="74" s="1"/>
  <c r="B36" i="74" s="1"/>
  <c r="B38" i="74" s="1"/>
  <c r="B20" i="73"/>
  <c r="B13" i="72"/>
  <c r="B20" i="72" s="1"/>
  <c r="B21" i="71"/>
  <c r="E32" i="42"/>
  <c r="E28" i="42"/>
  <c r="E8" i="42"/>
  <c r="E34" i="42" l="1"/>
  <c r="B22" i="73"/>
  <c r="B35" i="73" s="1"/>
  <c r="B22" i="72"/>
  <c r="B35" i="72" s="1"/>
  <c r="B37" i="72" s="1"/>
  <c r="B23" i="71"/>
  <c r="B37" i="71" s="1"/>
  <c r="B39" i="71" s="1"/>
  <c r="D19" i="29"/>
  <c r="C19" i="29"/>
  <c r="E20" i="29"/>
  <c r="E19" i="29" s="1"/>
  <c r="D41" i="69"/>
  <c r="B41" i="69"/>
  <c r="D39" i="69"/>
  <c r="B39" i="69"/>
  <c r="D46" i="69"/>
  <c r="D45" i="69" s="1"/>
  <c r="B46" i="69"/>
  <c r="B45" i="69" s="1"/>
  <c r="B29" i="69"/>
  <c r="B28" i="69" s="1"/>
  <c r="D28" i="69"/>
  <c r="B26" i="69"/>
  <c r="B25" i="69" s="1"/>
  <c r="D25" i="69"/>
  <c r="D20" i="69"/>
  <c r="B20" i="69"/>
  <c r="D17" i="69"/>
  <c r="B17" i="69"/>
  <c r="D35" i="69"/>
  <c r="D34" i="69" s="1"/>
  <c r="B35" i="69"/>
  <c r="B34" i="69" s="1"/>
  <c r="D32" i="69"/>
  <c r="D31" i="69" s="1"/>
  <c r="B32" i="69"/>
  <c r="B31" i="69" s="1"/>
  <c r="C11" i="16"/>
  <c r="C10" i="16" s="1"/>
  <c r="C9" i="16" s="1"/>
  <c r="E46" i="68"/>
  <c r="E45" i="68" s="1"/>
  <c r="D46" i="68"/>
  <c r="C46" i="68"/>
  <c r="C45" i="68" s="1"/>
  <c r="C40" i="68"/>
  <c r="E33" i="68"/>
  <c r="C33" i="68"/>
  <c r="E37" i="68"/>
  <c r="C37" i="68"/>
  <c r="E22" i="68"/>
  <c r="D22" i="68"/>
  <c r="C22" i="68"/>
  <c r="E19" i="68"/>
  <c r="C19" i="68"/>
  <c r="E16" i="68"/>
  <c r="C16" i="68"/>
  <c r="E26" i="68"/>
  <c r="C27" i="68"/>
  <c r="C26" i="68" s="1"/>
  <c r="E13" i="68"/>
  <c r="E12" i="68" s="1"/>
  <c r="C13" i="68"/>
  <c r="C12" i="68" s="1"/>
  <c r="D24" i="68"/>
  <c r="C24" i="68"/>
  <c r="B37" i="30"/>
  <c r="B13" i="30"/>
  <c r="D38" i="69" l="1"/>
  <c r="B38" i="69"/>
  <c r="D10" i="69"/>
  <c r="D9" i="69" s="1"/>
  <c r="E11" i="68"/>
  <c r="C11" i="68"/>
  <c r="C10" i="68" s="1"/>
  <c r="B37" i="69"/>
  <c r="B21" i="30"/>
  <c r="D37" i="69"/>
  <c r="B10" i="69"/>
  <c r="B9" i="69" s="1"/>
  <c r="B8" i="69" s="1"/>
  <c r="C32" i="68"/>
  <c r="E32" i="68"/>
  <c r="E24" i="68"/>
  <c r="B7" i="69" l="1"/>
  <c r="C9" i="68"/>
  <c r="E10" i="68"/>
  <c r="E9" i="68" s="1"/>
  <c r="I9" i="68" s="1"/>
  <c r="G9" i="68" s="1"/>
  <c r="B23" i="30"/>
  <c r="D8" i="69" l="1"/>
  <c r="D7" i="69" s="1"/>
  <c r="D43" i="29" l="1"/>
  <c r="D10" i="65"/>
  <c r="E18" i="65"/>
  <c r="E17" i="65" s="1"/>
  <c r="D17" i="65"/>
  <c r="D22" i="65"/>
  <c r="D24" i="65"/>
  <c r="E28" i="65"/>
  <c r="E27" i="65" s="1"/>
  <c r="A28" i="65"/>
  <c r="A27" i="65" s="1"/>
  <c r="C28" i="65"/>
  <c r="C27" i="65" s="1"/>
  <c r="D28" i="65"/>
  <c r="D27" i="65" s="1"/>
  <c r="K8" i="64"/>
  <c r="B9" i="64"/>
  <c r="K9" i="64"/>
  <c r="B10" i="64"/>
  <c r="D10" i="64"/>
  <c r="D9" i="64" s="1"/>
  <c r="F10" i="64"/>
  <c r="F9" i="64" s="1"/>
  <c r="K10" i="64"/>
  <c r="B11" i="64"/>
  <c r="H11" i="64"/>
  <c r="I11" i="64" s="1"/>
  <c r="K11" i="64"/>
  <c r="B12" i="64"/>
  <c r="H12" i="64"/>
  <c r="I12" i="64" s="1"/>
  <c r="K12" i="64"/>
  <c r="B13" i="64"/>
  <c r="K13" i="64"/>
  <c r="B14" i="64"/>
  <c r="D14" i="64"/>
  <c r="D13" i="64" s="1"/>
  <c r="F14" i="64"/>
  <c r="F13" i="64" s="1"/>
  <c r="K14" i="64"/>
  <c r="B15" i="64"/>
  <c r="H15" i="64"/>
  <c r="I15" i="64" s="1"/>
  <c r="K15" i="64"/>
  <c r="B16" i="64"/>
  <c r="H16" i="64"/>
  <c r="I16" i="64" s="1"/>
  <c r="K16" i="64"/>
  <c r="K17" i="64"/>
  <c r="B18" i="64"/>
  <c r="D18" i="64"/>
  <c r="F18" i="64"/>
  <c r="K18" i="64"/>
  <c r="B19" i="64"/>
  <c r="H19" i="64"/>
  <c r="I19" i="64" s="1"/>
  <c r="K19" i="64"/>
  <c r="B20" i="64"/>
  <c r="D20" i="64"/>
  <c r="F20" i="64"/>
  <c r="K20" i="64"/>
  <c r="B22" i="64"/>
  <c r="H22" i="64"/>
  <c r="I22" i="64" s="1"/>
  <c r="K22" i="64"/>
  <c r="B23" i="64"/>
  <c r="K23" i="64"/>
  <c r="B29" i="64"/>
  <c r="F29" i="64"/>
  <c r="K29" i="64"/>
  <c r="B30" i="64"/>
  <c r="H30" i="64"/>
  <c r="I30" i="64" s="1"/>
  <c r="K30" i="64"/>
  <c r="B31" i="64"/>
  <c r="D31" i="64"/>
  <c r="F31" i="64"/>
  <c r="K31" i="64"/>
  <c r="B32" i="64"/>
  <c r="H32" i="64"/>
  <c r="K32" i="64"/>
  <c r="B33" i="64"/>
  <c r="D33" i="64"/>
  <c r="D28" i="64" s="1"/>
  <c r="F33" i="64"/>
  <c r="K33" i="64"/>
  <c r="B34" i="64"/>
  <c r="H34" i="64"/>
  <c r="K34" i="64"/>
  <c r="B35" i="64"/>
  <c r="H35" i="64"/>
  <c r="K35" i="64"/>
  <c r="B36" i="64"/>
  <c r="K36" i="64"/>
  <c r="B37" i="64"/>
  <c r="D37" i="64"/>
  <c r="D36" i="64" s="1"/>
  <c r="F37" i="64"/>
  <c r="F36" i="64" s="1"/>
  <c r="K37" i="64"/>
  <c r="B38" i="64"/>
  <c r="H38" i="64"/>
  <c r="I38" i="64" s="1"/>
  <c r="K38" i="64"/>
  <c r="B40" i="64"/>
  <c r="B41" i="64"/>
  <c r="D41" i="64"/>
  <c r="B42" i="64"/>
  <c r="K42" i="64"/>
  <c r="B43" i="64"/>
  <c r="K43" i="64"/>
  <c r="B49" i="64"/>
  <c r="K49" i="64"/>
  <c r="B50" i="64"/>
  <c r="H50" i="64"/>
  <c r="K50" i="64"/>
  <c r="B51" i="64"/>
  <c r="H51" i="64"/>
  <c r="K51" i="64"/>
  <c r="K56" i="64"/>
  <c r="B57" i="64"/>
  <c r="H57" i="64"/>
  <c r="K57" i="64"/>
  <c r="B58" i="64"/>
  <c r="K58" i="64"/>
  <c r="B59" i="64"/>
  <c r="K59" i="64"/>
  <c r="F28" i="64" l="1"/>
  <c r="F23" i="64" s="1"/>
  <c r="D23" i="64"/>
  <c r="H31" i="64"/>
  <c r="F17" i="64"/>
  <c r="F8" i="64" s="1"/>
  <c r="H33" i="64"/>
  <c r="K40" i="64"/>
  <c r="D9" i="65"/>
  <c r="D19" i="65" s="1"/>
  <c r="H37" i="64"/>
  <c r="I37" i="64" s="1"/>
  <c r="H40" i="64"/>
  <c r="D17" i="64"/>
  <c r="D8" i="64" s="1"/>
  <c r="H41" i="64"/>
  <c r="I41" i="64" s="1"/>
  <c r="H18" i="64"/>
  <c r="I18" i="64" s="1"/>
  <c r="D39" i="64"/>
  <c r="H20" i="64"/>
  <c r="I20" i="64" s="1"/>
  <c r="H14" i="64"/>
  <c r="I14" i="64" s="1"/>
  <c r="H10" i="64"/>
  <c r="I10" i="64" s="1"/>
  <c r="E25" i="65"/>
  <c r="E24" i="65" s="1"/>
  <c r="E23" i="65"/>
  <c r="E22" i="65" s="1"/>
  <c r="E14" i="65"/>
  <c r="E11" i="65"/>
  <c r="E26" i="65"/>
  <c r="E13" i="65"/>
  <c r="H13" i="64"/>
  <c r="I13" i="64" s="1"/>
  <c r="D21" i="65"/>
  <c r="D30" i="65" s="1"/>
  <c r="H9" i="64"/>
  <c r="I9" i="64" s="1"/>
  <c r="H36" i="64"/>
  <c r="I36" i="64" s="1"/>
  <c r="K41" i="64"/>
  <c r="F39" i="64"/>
  <c r="F59" i="64" s="1"/>
  <c r="C24" i="65"/>
  <c r="C22" i="65"/>
  <c r="C17" i="65"/>
  <c r="C10" i="65"/>
  <c r="B56" i="64"/>
  <c r="H29" i="64"/>
  <c r="I29" i="64" s="1"/>
  <c r="H28" i="64" l="1"/>
  <c r="I28" i="64" s="1"/>
  <c r="G28" i="64"/>
  <c r="M54" i="64"/>
  <c r="G55" i="64"/>
  <c r="M55" i="64"/>
  <c r="G54" i="64"/>
  <c r="M53" i="64"/>
  <c r="G53" i="64"/>
  <c r="G52" i="64"/>
  <c r="M52" i="64"/>
  <c r="H17" i="64"/>
  <c r="I17" i="64" s="1"/>
  <c r="M27" i="64"/>
  <c r="G27" i="64"/>
  <c r="M46" i="64"/>
  <c r="G46" i="64"/>
  <c r="M28" i="64"/>
  <c r="M31" i="64"/>
  <c r="M48" i="64"/>
  <c r="G26" i="64"/>
  <c r="M47" i="64"/>
  <c r="G47" i="64"/>
  <c r="G48" i="64"/>
  <c r="M26" i="64"/>
  <c r="G25" i="64"/>
  <c r="M25" i="64"/>
  <c r="M29" i="64"/>
  <c r="M45" i="64"/>
  <c r="G45" i="64"/>
  <c r="G44" i="64"/>
  <c r="M44" i="64"/>
  <c r="M36" i="64"/>
  <c r="M21" i="64"/>
  <c r="G21" i="64"/>
  <c r="G13" i="64"/>
  <c r="C9" i="65"/>
  <c r="C19" i="65" s="1"/>
  <c r="E10" i="65"/>
  <c r="E9" i="65" s="1"/>
  <c r="E19" i="65" s="1"/>
  <c r="G17" i="64"/>
  <c r="G14" i="64"/>
  <c r="G9" i="64"/>
  <c r="G29" i="64"/>
  <c r="M41" i="64"/>
  <c r="G31" i="64"/>
  <c r="G36" i="64"/>
  <c r="G41" i="64"/>
  <c r="E21" i="65"/>
  <c r="E30" i="65" s="1"/>
  <c r="C21" i="65"/>
  <c r="C30" i="65" s="1"/>
  <c r="B39" i="64"/>
  <c r="K39" i="64"/>
  <c r="G33" i="64"/>
  <c r="G18" i="64"/>
  <c r="G19" i="64"/>
  <c r="M30" i="64"/>
  <c r="G32" i="64"/>
  <c r="M32" i="64"/>
  <c r="G35" i="64"/>
  <c r="G37" i="64"/>
  <c r="G38" i="64"/>
  <c r="G58" i="64"/>
  <c r="M58" i="64"/>
  <c r="M59" i="64"/>
  <c r="M20" i="64"/>
  <c r="G30" i="64"/>
  <c r="G42" i="64"/>
  <c r="M42" i="64"/>
  <c r="G43" i="64"/>
  <c r="M43" i="64"/>
  <c r="G49" i="64"/>
  <c r="M49" i="64"/>
  <c r="M8" i="64"/>
  <c r="M10" i="64"/>
  <c r="M11" i="64"/>
  <c r="M12" i="64"/>
  <c r="M14" i="64"/>
  <c r="M15" i="64"/>
  <c r="G20" i="64"/>
  <c r="M22" i="64"/>
  <c r="M33" i="64"/>
  <c r="G50" i="64"/>
  <c r="M50" i="64"/>
  <c r="G56" i="64"/>
  <c r="G11" i="64"/>
  <c r="G12" i="64"/>
  <c r="G15" i="64"/>
  <c r="G16" i="64"/>
  <c r="M16" i="64"/>
  <c r="M19" i="64"/>
  <c r="G22" i="64"/>
  <c r="G34" i="64"/>
  <c r="M34" i="64"/>
  <c r="M35" i="64"/>
  <c r="M37" i="64"/>
  <c r="M38" i="64"/>
  <c r="G51" i="64"/>
  <c r="M51" i="64"/>
  <c r="G57" i="64"/>
  <c r="M57" i="64"/>
  <c r="G59" i="64"/>
  <c r="M56" i="64"/>
  <c r="M18" i="64"/>
  <c r="M40" i="64"/>
  <c r="G10" i="64"/>
  <c r="M13" i="64"/>
  <c r="G39" i="64"/>
  <c r="M39" i="64"/>
  <c r="M9" i="64"/>
  <c r="M17" i="64"/>
  <c r="G40" i="64"/>
  <c r="H39" i="64"/>
  <c r="I39" i="64" s="1"/>
  <c r="L41" i="64" l="1"/>
  <c r="L55" i="64"/>
  <c r="E54" i="64"/>
  <c r="E55" i="64"/>
  <c r="L54" i="64"/>
  <c r="L45" i="64"/>
  <c r="L27" i="64"/>
  <c r="E27" i="64"/>
  <c r="E28" i="64"/>
  <c r="L28" i="64"/>
  <c r="L32" i="64"/>
  <c r="E12" i="64"/>
  <c r="E9" i="64"/>
  <c r="L11" i="64"/>
  <c r="E20" i="64"/>
  <c r="L8" i="64"/>
  <c r="E57" i="64"/>
  <c r="L51" i="64"/>
  <c r="E41" i="64"/>
  <c r="L57" i="64"/>
  <c r="L15" i="64"/>
  <c r="L12" i="64"/>
  <c r="E22" i="64"/>
  <c r="E17" i="64"/>
  <c r="E18" i="64"/>
  <c r="L19" i="64"/>
  <c r="E29" i="64"/>
  <c r="E35" i="64"/>
  <c r="L18" i="64"/>
  <c r="E33" i="64"/>
  <c r="E51" i="64"/>
  <c r="E11" i="64"/>
  <c r="E39" i="64"/>
  <c r="L10" i="64"/>
  <c r="L38" i="64"/>
  <c r="L29" i="64"/>
  <c r="L9" i="64"/>
  <c r="L21" i="64"/>
  <c r="H8" i="64"/>
  <c r="I8" i="64" s="1"/>
  <c r="E38" i="64"/>
  <c r="E34" i="64"/>
  <c r="L36" i="64"/>
  <c r="L40" i="64"/>
  <c r="L13" i="64"/>
  <c r="L17" i="64"/>
  <c r="L14" i="64"/>
  <c r="L50" i="64"/>
  <c r="L16" i="64"/>
  <c r="E10" i="64"/>
  <c r="L33" i="64"/>
  <c r="E45" i="64"/>
  <c r="E31" i="64"/>
  <c r="E37" i="64"/>
  <c r="E30" i="64"/>
  <c r="L35" i="64"/>
  <c r="E16" i="64"/>
  <c r="L39" i="64"/>
  <c r="E14" i="64"/>
  <c r="L46" i="64"/>
  <c r="E46" i="64"/>
  <c r="E32" i="64"/>
  <c r="L37" i="64"/>
  <c r="E50" i="64"/>
  <c r="L30" i="64"/>
  <c r="L22" i="64"/>
  <c r="L20" i="64"/>
  <c r="E19" i="64"/>
  <c r="L34" i="64"/>
  <c r="E15" i="64"/>
  <c r="L31" i="64"/>
  <c r="E13" i="64"/>
  <c r="M23" i="64"/>
  <c r="G23" i="64"/>
  <c r="E24" i="64"/>
  <c r="L24" i="64"/>
  <c r="H24" i="64"/>
  <c r="G24" i="64"/>
  <c r="M24" i="64"/>
  <c r="E36" i="64"/>
  <c r="L26" i="64"/>
  <c r="L48" i="64"/>
  <c r="E26" i="64"/>
  <c r="E48" i="64"/>
  <c r="E25" i="64"/>
  <c r="L25" i="64"/>
  <c r="E40" i="64"/>
  <c r="E21" i="64"/>
  <c r="H23" i="64"/>
  <c r="I23" i="64" s="1"/>
  <c r="L23" i="64"/>
  <c r="E23" i="64"/>
  <c r="A40" i="63" l="1"/>
  <c r="A39" i="63" s="1"/>
  <c r="E40" i="63"/>
  <c r="E39" i="63" s="1"/>
  <c r="D40" i="63"/>
  <c r="D39" i="63" s="1"/>
  <c r="C40" i="63"/>
  <c r="C39" i="63" s="1"/>
  <c r="D37" i="63"/>
  <c r="C37" i="63"/>
  <c r="E35" i="63"/>
  <c r="D33" i="63"/>
  <c r="C33" i="63"/>
  <c r="E14" i="63"/>
  <c r="E13" i="63" s="1"/>
  <c r="D13" i="63"/>
  <c r="E12" i="63"/>
  <c r="D10" i="63"/>
  <c r="A43" i="61"/>
  <c r="B43" i="61" s="1"/>
  <c r="K41" i="61"/>
  <c r="B41" i="61"/>
  <c r="K39" i="61"/>
  <c r="H39" i="61"/>
  <c r="I39" i="61" s="1"/>
  <c r="B39" i="61"/>
  <c r="K38" i="61"/>
  <c r="B38" i="61"/>
  <c r="K36" i="61"/>
  <c r="H36" i="61"/>
  <c r="I36" i="61" s="1"/>
  <c r="B36" i="61"/>
  <c r="K35" i="61"/>
  <c r="B35" i="61"/>
  <c r="K34" i="61"/>
  <c r="B34" i="61"/>
  <c r="K31" i="61"/>
  <c r="B31" i="61"/>
  <c r="K29" i="61"/>
  <c r="H29" i="61"/>
  <c r="I29" i="61" s="1"/>
  <c r="B29" i="61"/>
  <c r="K28" i="61"/>
  <c r="D28" i="61"/>
  <c r="D21" i="61" s="1"/>
  <c r="B28" i="61"/>
  <c r="K26" i="61"/>
  <c r="H26" i="61"/>
  <c r="I26" i="61" s="1"/>
  <c r="B26" i="61"/>
  <c r="K23" i="61"/>
  <c r="H23" i="61"/>
  <c r="I23" i="61" s="1"/>
  <c r="B23" i="61"/>
  <c r="K22" i="61"/>
  <c r="B22" i="61"/>
  <c r="K21" i="61"/>
  <c r="B21" i="61"/>
  <c r="K18" i="61"/>
  <c r="H18" i="61"/>
  <c r="I18" i="61" s="1"/>
  <c r="B18" i="61"/>
  <c r="K17" i="61"/>
  <c r="B17" i="61"/>
  <c r="K14" i="61"/>
  <c r="H14" i="61"/>
  <c r="I14" i="61" s="1"/>
  <c r="B14" i="61"/>
  <c r="K13" i="61"/>
  <c r="D13" i="61"/>
  <c r="B13" i="61"/>
  <c r="K10" i="61"/>
  <c r="H10" i="61"/>
  <c r="I10" i="61" s="1"/>
  <c r="B10" i="61"/>
  <c r="K9" i="61"/>
  <c r="D9" i="61"/>
  <c r="B9" i="61"/>
  <c r="K8" i="61"/>
  <c r="C29" i="60"/>
  <c r="C28" i="60" s="1"/>
  <c r="E29" i="60"/>
  <c r="E28" i="60" s="1"/>
  <c r="D29" i="60"/>
  <c r="D28" i="60" s="1"/>
  <c r="A28" i="60"/>
  <c r="D25" i="60"/>
  <c r="D18" i="60"/>
  <c r="D16" i="60"/>
  <c r="C16" i="60"/>
  <c r="E11" i="60"/>
  <c r="A38" i="58"/>
  <c r="K38" i="58" s="1"/>
  <c r="K37" i="58"/>
  <c r="B37" i="58"/>
  <c r="K36" i="58"/>
  <c r="H36" i="58"/>
  <c r="B36" i="58"/>
  <c r="K35" i="58"/>
  <c r="F35" i="58"/>
  <c r="F34" i="58" s="1"/>
  <c r="D35" i="58"/>
  <c r="D34" i="58" s="1"/>
  <c r="B35" i="58"/>
  <c r="K34" i="58"/>
  <c r="B34" i="58"/>
  <c r="K33" i="58"/>
  <c r="H33" i="58"/>
  <c r="I33" i="58" s="1"/>
  <c r="B33" i="58"/>
  <c r="K32" i="58"/>
  <c r="H32" i="58"/>
  <c r="I32" i="58" s="1"/>
  <c r="B32" i="58"/>
  <c r="K30" i="58"/>
  <c r="F30" i="58"/>
  <c r="D30" i="58"/>
  <c r="B30" i="58"/>
  <c r="K29" i="58"/>
  <c r="H29" i="58"/>
  <c r="I29" i="58" s="1"/>
  <c r="B29" i="58"/>
  <c r="K28" i="58"/>
  <c r="F28" i="58"/>
  <c r="D28" i="58"/>
  <c r="B28" i="58"/>
  <c r="K27" i="58"/>
  <c r="B27" i="58"/>
  <c r="K26" i="58"/>
  <c r="B26" i="58"/>
  <c r="K25" i="58"/>
  <c r="H25" i="58"/>
  <c r="I25" i="58" s="1"/>
  <c r="B25" i="58"/>
  <c r="K24" i="58"/>
  <c r="F24" i="58"/>
  <c r="D24" i="58"/>
  <c r="B24" i="58"/>
  <c r="K23" i="58"/>
  <c r="H23" i="58"/>
  <c r="I23" i="58" s="1"/>
  <c r="B23" i="58"/>
  <c r="K22" i="58"/>
  <c r="H22" i="58"/>
  <c r="I22" i="58" s="1"/>
  <c r="B22" i="58"/>
  <c r="K21" i="58"/>
  <c r="H21" i="58"/>
  <c r="I21" i="58" s="1"/>
  <c r="B21" i="58"/>
  <c r="K20" i="58"/>
  <c r="F20" i="58"/>
  <c r="D20" i="58"/>
  <c r="B20" i="58"/>
  <c r="K18" i="58"/>
  <c r="H18" i="58"/>
  <c r="I18" i="58" s="1"/>
  <c r="B18" i="58"/>
  <c r="K19" i="58"/>
  <c r="H19" i="58"/>
  <c r="B19" i="58"/>
  <c r="K17" i="58"/>
  <c r="F17" i="58"/>
  <c r="D17" i="58"/>
  <c r="B17" i="58"/>
  <c r="K16" i="58"/>
  <c r="B16" i="58"/>
  <c r="K15" i="58"/>
  <c r="H15" i="58"/>
  <c r="B15" i="58"/>
  <c r="K14" i="58"/>
  <c r="H14" i="58"/>
  <c r="I14" i="58" s="1"/>
  <c r="B14" i="58"/>
  <c r="K13" i="58"/>
  <c r="F13" i="58"/>
  <c r="F8" i="58" s="1"/>
  <c r="D13" i="58"/>
  <c r="D8" i="58" s="1"/>
  <c r="B13" i="58"/>
  <c r="K10" i="58"/>
  <c r="H10" i="58"/>
  <c r="I10" i="58" s="1"/>
  <c r="B10" i="58"/>
  <c r="K12" i="58"/>
  <c r="H12" i="58"/>
  <c r="I12" i="58" s="1"/>
  <c r="B12" i="58"/>
  <c r="K11" i="58"/>
  <c r="H11" i="58"/>
  <c r="B11" i="58"/>
  <c r="K9" i="58"/>
  <c r="B9" i="58"/>
  <c r="K8" i="58"/>
  <c r="F27" i="58" l="1"/>
  <c r="M29" i="58"/>
  <c r="G31" i="58"/>
  <c r="M31" i="58"/>
  <c r="E36" i="58"/>
  <c r="L31" i="58"/>
  <c r="E31" i="58"/>
  <c r="K43" i="61"/>
  <c r="D27" i="58"/>
  <c r="D37" i="58" s="1"/>
  <c r="E37" i="58" s="1"/>
  <c r="D16" i="58"/>
  <c r="L16" i="58" s="1"/>
  <c r="F16" i="58"/>
  <c r="F26" i="58" s="1"/>
  <c r="C32" i="63"/>
  <c r="C52" i="63" s="1"/>
  <c r="D9" i="63"/>
  <c r="D30" i="63" s="1"/>
  <c r="E23" i="60"/>
  <c r="D22" i="60"/>
  <c r="D21" i="60" s="1"/>
  <c r="D31" i="60" s="1"/>
  <c r="E24" i="60"/>
  <c r="D10" i="60"/>
  <c r="C25" i="60"/>
  <c r="E27" i="60"/>
  <c r="E17" i="60"/>
  <c r="E16" i="60" s="1"/>
  <c r="E19" i="60"/>
  <c r="E18" i="60" s="1"/>
  <c r="E9" i="58"/>
  <c r="L9" i="58"/>
  <c r="H17" i="58"/>
  <c r="I17" i="58" s="1"/>
  <c r="G24" i="58"/>
  <c r="E28" i="58"/>
  <c r="L30" i="58"/>
  <c r="M13" i="58"/>
  <c r="M20" i="58"/>
  <c r="L24" i="58"/>
  <c r="M34" i="58"/>
  <c r="G35" i="58"/>
  <c r="L8" i="58"/>
  <c r="M9" i="58"/>
  <c r="H13" i="58"/>
  <c r="I13" i="58" s="1"/>
  <c r="H20" i="58"/>
  <c r="I20" i="58" s="1"/>
  <c r="H28" i="58"/>
  <c r="I28" i="58" s="1"/>
  <c r="H34" i="58"/>
  <c r="L35" i="58"/>
  <c r="M17" i="58"/>
  <c r="G27" i="58"/>
  <c r="M28" i="58"/>
  <c r="G30" i="58"/>
  <c r="D32" i="63"/>
  <c r="D52" i="63" s="1"/>
  <c r="E10" i="60"/>
  <c r="E26" i="60"/>
  <c r="C13" i="63"/>
  <c r="E34" i="63"/>
  <c r="E38" i="63"/>
  <c r="E37" i="63" s="1"/>
  <c r="C22" i="60"/>
  <c r="C10" i="63"/>
  <c r="C10" i="60"/>
  <c r="C18" i="60"/>
  <c r="E11" i="63"/>
  <c r="E10" i="63" s="1"/>
  <c r="E9" i="63" s="1"/>
  <c r="E30" i="63" s="1"/>
  <c r="E36" i="63"/>
  <c r="H17" i="61"/>
  <c r="I17" i="61" s="1"/>
  <c r="H22" i="61"/>
  <c r="I22" i="61" s="1"/>
  <c r="D8" i="61"/>
  <c r="H9" i="61"/>
  <c r="I9" i="61" s="1"/>
  <c r="H13" i="61"/>
  <c r="I13" i="61" s="1"/>
  <c r="H28" i="61"/>
  <c r="I28" i="61" s="1"/>
  <c r="H38" i="61"/>
  <c r="I38" i="61" s="1"/>
  <c r="H35" i="61"/>
  <c r="I35" i="61" s="1"/>
  <c r="H9" i="58"/>
  <c r="I9" i="58" s="1"/>
  <c r="G13" i="58"/>
  <c r="L13" i="58"/>
  <c r="G14" i="58"/>
  <c r="L14" i="58"/>
  <c r="G15" i="58"/>
  <c r="M15" i="58"/>
  <c r="G20" i="58"/>
  <c r="L20" i="58"/>
  <c r="G21" i="58"/>
  <c r="L21" i="58"/>
  <c r="G22" i="58"/>
  <c r="L22" i="58"/>
  <c r="G23" i="58"/>
  <c r="L23" i="58"/>
  <c r="E24" i="58"/>
  <c r="G28" i="58"/>
  <c r="L28" i="58"/>
  <c r="G29" i="58"/>
  <c r="L29" i="58"/>
  <c r="E30" i="58"/>
  <c r="G34" i="58"/>
  <c r="L34" i="58"/>
  <c r="E35" i="58"/>
  <c r="G9" i="58"/>
  <c r="G11" i="58"/>
  <c r="M11" i="58"/>
  <c r="M12" i="58"/>
  <c r="M10" i="58"/>
  <c r="E14" i="58"/>
  <c r="E15" i="58"/>
  <c r="L15" i="58"/>
  <c r="G17" i="58"/>
  <c r="L17" i="58"/>
  <c r="G19" i="58"/>
  <c r="M19" i="58"/>
  <c r="M18" i="58"/>
  <c r="E21" i="58"/>
  <c r="E22" i="58"/>
  <c r="E23" i="58"/>
  <c r="H24" i="58"/>
  <c r="I24" i="58" s="1"/>
  <c r="M24" i="58"/>
  <c r="M25" i="58"/>
  <c r="M27" i="58"/>
  <c r="E29" i="58"/>
  <c r="H30" i="58"/>
  <c r="I30" i="58" s="1"/>
  <c r="M30" i="58"/>
  <c r="M32" i="58"/>
  <c r="M33" i="58"/>
  <c r="H35" i="58"/>
  <c r="M35" i="58"/>
  <c r="M36" i="58"/>
  <c r="F37" i="58"/>
  <c r="B38" i="58"/>
  <c r="H8" i="58"/>
  <c r="I8" i="58" s="1"/>
  <c r="M8" i="58"/>
  <c r="E11" i="58"/>
  <c r="L11" i="58"/>
  <c r="G12" i="58"/>
  <c r="L12" i="58"/>
  <c r="G10" i="58"/>
  <c r="L10" i="58"/>
  <c r="E13" i="58"/>
  <c r="E19" i="58"/>
  <c r="L19" i="58"/>
  <c r="G18" i="58"/>
  <c r="L18" i="58"/>
  <c r="E20" i="58"/>
  <c r="G25" i="58"/>
  <c r="L25" i="58"/>
  <c r="L27" i="58"/>
  <c r="G32" i="58"/>
  <c r="L32" i="58"/>
  <c r="G33" i="58"/>
  <c r="L33" i="58"/>
  <c r="E34" i="58"/>
  <c r="G36" i="58"/>
  <c r="L36" i="58"/>
  <c r="E12" i="58"/>
  <c r="E10" i="58"/>
  <c r="M14" i="58"/>
  <c r="E17" i="58"/>
  <c r="E18" i="58"/>
  <c r="M21" i="58"/>
  <c r="M22" i="58"/>
  <c r="M23" i="58"/>
  <c r="E25" i="58"/>
  <c r="E32" i="58"/>
  <c r="E33" i="58"/>
  <c r="E44" i="56"/>
  <c r="D44" i="56"/>
  <c r="C44" i="56"/>
  <c r="A44" i="56"/>
  <c r="E42" i="56"/>
  <c r="A42" i="56"/>
  <c r="D40" i="56"/>
  <c r="A40" i="56"/>
  <c r="C40" i="56"/>
  <c r="D16" i="56"/>
  <c r="E17" i="56"/>
  <c r="E15" i="56"/>
  <c r="E14" i="56"/>
  <c r="E13" i="56"/>
  <c r="E12" i="56"/>
  <c r="E11" i="56"/>
  <c r="C10" i="56"/>
  <c r="A29" i="56"/>
  <c r="K86" i="54"/>
  <c r="B86" i="54"/>
  <c r="K85" i="54"/>
  <c r="B85" i="54"/>
  <c r="K84" i="54"/>
  <c r="F84" i="54"/>
  <c r="B84" i="54"/>
  <c r="K83" i="54"/>
  <c r="H83" i="54"/>
  <c r="I83" i="54" s="1"/>
  <c r="B83" i="54"/>
  <c r="K82" i="54"/>
  <c r="H82" i="54"/>
  <c r="I82" i="54" s="1"/>
  <c r="B82" i="54"/>
  <c r="K81" i="54"/>
  <c r="F81" i="54"/>
  <c r="D81" i="54"/>
  <c r="D80" i="54" s="1"/>
  <c r="D79" i="54" s="1"/>
  <c r="B81" i="54"/>
  <c r="K80" i="54"/>
  <c r="F80" i="54"/>
  <c r="F79" i="54" s="1"/>
  <c r="B80" i="54"/>
  <c r="K79" i="54"/>
  <c r="B79" i="54"/>
  <c r="K78" i="54"/>
  <c r="H78" i="54"/>
  <c r="I78" i="54" s="1"/>
  <c r="B78" i="54"/>
  <c r="K77" i="54"/>
  <c r="H77" i="54"/>
  <c r="I77" i="54" s="1"/>
  <c r="B77" i="54"/>
  <c r="K76" i="54"/>
  <c r="F76" i="54"/>
  <c r="D76" i="54"/>
  <c r="B76" i="54"/>
  <c r="K75" i="54"/>
  <c r="H75" i="54"/>
  <c r="I75" i="54" s="1"/>
  <c r="B75" i="54"/>
  <c r="K74" i="54"/>
  <c r="H74" i="54"/>
  <c r="I74" i="54" s="1"/>
  <c r="B74" i="54"/>
  <c r="K73" i="54"/>
  <c r="F73" i="54"/>
  <c r="D73" i="54"/>
  <c r="B73" i="54"/>
  <c r="K72" i="54"/>
  <c r="H72" i="54"/>
  <c r="B72" i="54"/>
  <c r="K71" i="54"/>
  <c r="F71" i="54"/>
  <c r="D71" i="54"/>
  <c r="B71" i="54"/>
  <c r="K70" i="54"/>
  <c r="B70" i="54"/>
  <c r="K69" i="54"/>
  <c r="H69" i="54"/>
  <c r="I69" i="54" s="1"/>
  <c r="B69" i="54"/>
  <c r="K68" i="54"/>
  <c r="H68" i="54"/>
  <c r="I68" i="54" s="1"/>
  <c r="B68" i="54"/>
  <c r="K67" i="54"/>
  <c r="F67" i="54"/>
  <c r="F66" i="54" s="1"/>
  <c r="D67" i="54"/>
  <c r="D66" i="54" s="1"/>
  <c r="B67" i="54"/>
  <c r="K66" i="54"/>
  <c r="B66" i="54"/>
  <c r="K65" i="54"/>
  <c r="B65" i="54"/>
  <c r="K64" i="54"/>
  <c r="B64" i="54"/>
  <c r="K63" i="54"/>
  <c r="D62" i="54"/>
  <c r="B63" i="54"/>
  <c r="K62" i="54"/>
  <c r="F62" i="54"/>
  <c r="B62" i="54"/>
  <c r="K58" i="54"/>
  <c r="H58" i="54"/>
  <c r="I58" i="54" s="1"/>
  <c r="B58" i="54"/>
  <c r="K57" i="54"/>
  <c r="H57" i="54"/>
  <c r="I57" i="54" s="1"/>
  <c r="B57" i="54"/>
  <c r="K56" i="54"/>
  <c r="F56" i="54"/>
  <c r="D56" i="54"/>
  <c r="B56" i="54"/>
  <c r="K55" i="54"/>
  <c r="H55" i="54"/>
  <c r="I55" i="54" s="1"/>
  <c r="B55" i="54"/>
  <c r="K54" i="54"/>
  <c r="H54" i="54"/>
  <c r="B54" i="54"/>
  <c r="K53" i="54"/>
  <c r="F53" i="54"/>
  <c r="D53" i="54"/>
  <c r="B53" i="54"/>
  <c r="K52" i="54"/>
  <c r="H52" i="54"/>
  <c r="I52" i="54" s="1"/>
  <c r="B52" i="54"/>
  <c r="K51" i="54"/>
  <c r="H51" i="54"/>
  <c r="I51" i="54" s="1"/>
  <c r="B51" i="54"/>
  <c r="K50" i="54"/>
  <c r="F50" i="54"/>
  <c r="F49" i="54" s="1"/>
  <c r="D50" i="54"/>
  <c r="B50" i="54"/>
  <c r="K49" i="54"/>
  <c r="B49" i="54"/>
  <c r="K44" i="54"/>
  <c r="H44" i="54"/>
  <c r="B44" i="54"/>
  <c r="K43" i="54"/>
  <c r="H43" i="54"/>
  <c r="I43" i="54" s="1"/>
  <c r="B43" i="54"/>
  <c r="K42" i="54"/>
  <c r="F42" i="54"/>
  <c r="D42" i="54"/>
  <c r="B42" i="54"/>
  <c r="K40" i="54"/>
  <c r="H40" i="54"/>
  <c r="I40" i="54" s="1"/>
  <c r="B40" i="54"/>
  <c r="K39" i="54"/>
  <c r="F39" i="54"/>
  <c r="F38" i="54" s="1"/>
  <c r="D39" i="54"/>
  <c r="D38" i="54" s="1"/>
  <c r="B39" i="54"/>
  <c r="K48" i="54"/>
  <c r="H48" i="54"/>
  <c r="B48" i="54"/>
  <c r="K47" i="54"/>
  <c r="F47" i="54"/>
  <c r="D47" i="54"/>
  <c r="B47" i="54"/>
  <c r="K46" i="54"/>
  <c r="H46" i="54"/>
  <c r="I46" i="54" s="1"/>
  <c r="B46" i="54"/>
  <c r="K45" i="54"/>
  <c r="F45" i="54"/>
  <c r="D45" i="54"/>
  <c r="B45" i="54"/>
  <c r="K41" i="54"/>
  <c r="B41" i="54"/>
  <c r="K37" i="54"/>
  <c r="B37" i="54"/>
  <c r="K36" i="54"/>
  <c r="H36" i="54"/>
  <c r="K35" i="54"/>
  <c r="F35" i="54"/>
  <c r="F32" i="54" s="1"/>
  <c r="D35" i="54"/>
  <c r="D32" i="54" s="1"/>
  <c r="K32" i="54"/>
  <c r="K31" i="54"/>
  <c r="H31" i="54"/>
  <c r="I31" i="54" s="1"/>
  <c r="B31" i="54"/>
  <c r="K30" i="54"/>
  <c r="H30" i="54"/>
  <c r="I30" i="54" s="1"/>
  <c r="B30" i="54"/>
  <c r="K29" i="54"/>
  <c r="F29" i="54"/>
  <c r="D29" i="54"/>
  <c r="B29" i="54"/>
  <c r="K28" i="54"/>
  <c r="H28" i="54"/>
  <c r="I28" i="54" s="1"/>
  <c r="B28" i="54"/>
  <c r="K27" i="54"/>
  <c r="H27" i="54"/>
  <c r="I27" i="54" s="1"/>
  <c r="B27" i="54"/>
  <c r="K26" i="54"/>
  <c r="F26" i="54"/>
  <c r="D26" i="54"/>
  <c r="B26" i="54"/>
  <c r="K25" i="54"/>
  <c r="B25" i="54"/>
  <c r="K15" i="54"/>
  <c r="H15" i="54"/>
  <c r="I15" i="54" s="1"/>
  <c r="B15" i="54"/>
  <c r="K14" i="54"/>
  <c r="H14" i="54"/>
  <c r="I14" i="54" s="1"/>
  <c r="B14" i="54"/>
  <c r="K13" i="54"/>
  <c r="F13" i="54"/>
  <c r="D13" i="54"/>
  <c r="B13" i="54"/>
  <c r="K21" i="54"/>
  <c r="H21" i="54"/>
  <c r="B21" i="54"/>
  <c r="K20" i="54"/>
  <c r="F20" i="54"/>
  <c r="D20" i="54"/>
  <c r="B20" i="54"/>
  <c r="K24" i="54"/>
  <c r="H24" i="54"/>
  <c r="I24" i="54" s="1"/>
  <c r="B24" i="54"/>
  <c r="K23" i="54"/>
  <c r="H23" i="54"/>
  <c r="I23" i="54" s="1"/>
  <c r="B23" i="54"/>
  <c r="K22" i="54"/>
  <c r="F22" i="54"/>
  <c r="D22" i="54"/>
  <c r="B22" i="54"/>
  <c r="K11" i="54"/>
  <c r="H11" i="54"/>
  <c r="I11" i="54" s="1"/>
  <c r="B11" i="54"/>
  <c r="K10" i="54"/>
  <c r="F10" i="54"/>
  <c r="F9" i="54" s="1"/>
  <c r="D10" i="54"/>
  <c r="D9" i="54" s="1"/>
  <c r="B10" i="54"/>
  <c r="K19" i="54"/>
  <c r="H19" i="54"/>
  <c r="B19" i="54"/>
  <c r="K18" i="54"/>
  <c r="F18" i="54"/>
  <c r="D18" i="54"/>
  <c r="B18" i="54"/>
  <c r="K17" i="54"/>
  <c r="H17" i="54"/>
  <c r="I17" i="54" s="1"/>
  <c r="B17" i="54"/>
  <c r="K16" i="54"/>
  <c r="F16" i="54"/>
  <c r="D16" i="54"/>
  <c r="B16" i="54"/>
  <c r="K12" i="54"/>
  <c r="B12" i="54"/>
  <c r="K8" i="54"/>
  <c r="M22" i="53"/>
  <c r="L22" i="53"/>
  <c r="I22" i="53"/>
  <c r="H22" i="53"/>
  <c r="H19" i="53"/>
  <c r="M18" i="53"/>
  <c r="L18" i="53"/>
  <c r="K18" i="53"/>
  <c r="J18" i="53"/>
  <c r="I18" i="53"/>
  <c r="D18" i="53"/>
  <c r="E34" i="52"/>
  <c r="D28" i="52"/>
  <c r="B28" i="52"/>
  <c r="B29" i="52" l="1"/>
  <c r="C29" i="52" s="1"/>
  <c r="B31" i="52"/>
  <c r="C31" i="52" s="1"/>
  <c r="D29" i="52"/>
  <c r="F29" i="52" s="1"/>
  <c r="D31" i="52"/>
  <c r="D49" i="54"/>
  <c r="H60" i="54"/>
  <c r="F87" i="54"/>
  <c r="G11" i="61"/>
  <c r="G12" i="61"/>
  <c r="G10" i="61"/>
  <c r="G9" i="61"/>
  <c r="E37" i="61"/>
  <c r="E40" i="61"/>
  <c r="L37" i="61"/>
  <c r="L40" i="61"/>
  <c r="M40" i="61"/>
  <c r="M37" i="61"/>
  <c r="M12" i="61"/>
  <c r="M32" i="61"/>
  <c r="M19" i="61"/>
  <c r="M25" i="61"/>
  <c r="M30" i="61"/>
  <c r="M15" i="61"/>
  <c r="M33" i="61"/>
  <c r="M20" i="61"/>
  <c r="M27" i="61"/>
  <c r="M11" i="61"/>
  <c r="M16" i="61"/>
  <c r="M42" i="61"/>
  <c r="M24" i="61"/>
  <c r="E28" i="61"/>
  <c r="L42" i="61"/>
  <c r="E30" i="61"/>
  <c r="L24" i="61"/>
  <c r="E15" i="61"/>
  <c r="L25" i="61"/>
  <c r="E16" i="61"/>
  <c r="E20" i="61"/>
  <c r="E42" i="61"/>
  <c r="L15" i="61"/>
  <c r="E32" i="61"/>
  <c r="L27" i="61"/>
  <c r="E19" i="61"/>
  <c r="L11" i="61"/>
  <c r="E33" i="61"/>
  <c r="L12" i="61"/>
  <c r="L30" i="61"/>
  <c r="E25" i="61"/>
  <c r="L32" i="61"/>
  <c r="E27" i="61"/>
  <c r="L19" i="61"/>
  <c r="E11" i="61"/>
  <c r="L33" i="61"/>
  <c r="L20" i="61"/>
  <c r="E12" i="61"/>
  <c r="E24" i="61"/>
  <c r="L16" i="61"/>
  <c r="E35" i="61"/>
  <c r="E22" i="61"/>
  <c r="L37" i="58"/>
  <c r="E16" i="58"/>
  <c r="H27" i="58"/>
  <c r="I27" i="58" s="1"/>
  <c r="C9" i="63"/>
  <c r="C30" i="63" s="1"/>
  <c r="M23" i="61"/>
  <c r="M8" i="61"/>
  <c r="M10" i="61"/>
  <c r="M22" i="61"/>
  <c r="M39" i="61"/>
  <c r="M21" i="61"/>
  <c r="M17" i="61"/>
  <c r="M38" i="61"/>
  <c r="M13" i="61"/>
  <c r="M26" i="61"/>
  <c r="M36" i="61"/>
  <c r="M28" i="61"/>
  <c r="M35" i="61"/>
  <c r="M34" i="61"/>
  <c r="M14" i="61"/>
  <c r="M9" i="61"/>
  <c r="M18" i="61"/>
  <c r="K23" i="53"/>
  <c r="D23" i="53"/>
  <c r="I23" i="53"/>
  <c r="M16" i="58"/>
  <c r="J23" i="53"/>
  <c r="H16" i="58"/>
  <c r="I16" i="58" s="1"/>
  <c r="L23" i="53"/>
  <c r="M23" i="53"/>
  <c r="M29" i="61"/>
  <c r="G16" i="58"/>
  <c r="D26" i="58"/>
  <c r="E26" i="58" s="1"/>
  <c r="F23" i="53"/>
  <c r="D32" i="52"/>
  <c r="F32" i="52" s="1"/>
  <c r="E17" i="61"/>
  <c r="E13" i="61"/>
  <c r="L22" i="61"/>
  <c r="H37" i="58"/>
  <c r="I37" i="58" s="1"/>
  <c r="E27" i="58"/>
  <c r="E22" i="60"/>
  <c r="E9" i="60"/>
  <c r="E20" i="60" s="1"/>
  <c r="E33" i="63"/>
  <c r="E32" i="63" s="1"/>
  <c r="E52" i="63" s="1"/>
  <c r="D39" i="56"/>
  <c r="E18" i="56"/>
  <c r="E16" i="56" s="1"/>
  <c r="D9" i="60"/>
  <c r="D20" i="60" s="1"/>
  <c r="E25" i="60"/>
  <c r="C9" i="60"/>
  <c r="C20" i="60" s="1"/>
  <c r="C21" i="60"/>
  <c r="C31" i="60" s="1"/>
  <c r="C39" i="56"/>
  <c r="E23" i="56"/>
  <c r="E33" i="56"/>
  <c r="E37" i="56"/>
  <c r="C16" i="56"/>
  <c r="E34" i="56"/>
  <c r="E38" i="56"/>
  <c r="D31" i="56"/>
  <c r="D30" i="56" s="1"/>
  <c r="E41" i="56"/>
  <c r="E40" i="56" s="1"/>
  <c r="E39" i="56" s="1"/>
  <c r="D10" i="56"/>
  <c r="E24" i="56"/>
  <c r="E32" i="56"/>
  <c r="E10" i="56"/>
  <c r="F41" i="54"/>
  <c r="F37" i="54" s="1"/>
  <c r="D41" i="54"/>
  <c r="D37" i="54" s="1"/>
  <c r="D12" i="54"/>
  <c r="F12" i="54"/>
  <c r="H56" i="54"/>
  <c r="I56" i="54" s="1"/>
  <c r="H85" i="54"/>
  <c r="I85" i="54" s="1"/>
  <c r="D25" i="54"/>
  <c r="H71" i="54"/>
  <c r="H79" i="54"/>
  <c r="I79" i="54" s="1"/>
  <c r="H81" i="54"/>
  <c r="I81" i="54" s="1"/>
  <c r="D70" i="54"/>
  <c r="D65" i="54" s="1"/>
  <c r="F70" i="54"/>
  <c r="F65" i="54" s="1"/>
  <c r="H9" i="54"/>
  <c r="I9" i="54" s="1"/>
  <c r="H35" i="54"/>
  <c r="H47" i="54"/>
  <c r="H73" i="54"/>
  <c r="I73" i="54" s="1"/>
  <c r="H20" i="54"/>
  <c r="H39" i="54"/>
  <c r="I39" i="54" s="1"/>
  <c r="H50" i="54"/>
  <c r="I50" i="54" s="1"/>
  <c r="H63" i="54"/>
  <c r="I63" i="54" s="1"/>
  <c r="H67" i="54"/>
  <c r="I67" i="54" s="1"/>
  <c r="C31" i="56"/>
  <c r="L17" i="61"/>
  <c r="M41" i="61"/>
  <c r="E34" i="61"/>
  <c r="L34" i="61"/>
  <c r="H34" i="61"/>
  <c r="I34" i="61" s="1"/>
  <c r="E21" i="61"/>
  <c r="L21" i="61"/>
  <c r="H21" i="61"/>
  <c r="I21" i="61" s="1"/>
  <c r="L36" i="61"/>
  <c r="L26" i="61"/>
  <c r="L23" i="61"/>
  <c r="L18" i="61"/>
  <c r="L10" i="61"/>
  <c r="E10" i="61"/>
  <c r="L8" i="61"/>
  <c r="L39" i="61"/>
  <c r="L38" i="61"/>
  <c r="L29" i="61"/>
  <c r="L28" i="61"/>
  <c r="L14" i="61"/>
  <c r="L13" i="61"/>
  <c r="E36" i="61"/>
  <c r="E26" i="61"/>
  <c r="E23" i="61"/>
  <c r="E18" i="61"/>
  <c r="E39" i="61"/>
  <c r="E29" i="61"/>
  <c r="E14" i="61"/>
  <c r="L9" i="61"/>
  <c r="H8" i="61"/>
  <c r="I8" i="61" s="1"/>
  <c r="E9" i="61"/>
  <c r="E38" i="61"/>
  <c r="L35" i="61"/>
  <c r="M26" i="58"/>
  <c r="F38" i="58"/>
  <c r="G26" i="58"/>
  <c r="M37" i="58"/>
  <c r="G37" i="58"/>
  <c r="H10" i="54"/>
  <c r="I10" i="54" s="1"/>
  <c r="H22" i="54"/>
  <c r="I22" i="54" s="1"/>
  <c r="H29" i="54"/>
  <c r="I29" i="54" s="1"/>
  <c r="H53" i="54"/>
  <c r="I53" i="54" s="1"/>
  <c r="H45" i="54"/>
  <c r="I45" i="54" s="1"/>
  <c r="H42" i="54"/>
  <c r="I42" i="54" s="1"/>
  <c r="H62" i="54"/>
  <c r="I62" i="54" s="1"/>
  <c r="H64" i="54"/>
  <c r="I64" i="54" s="1"/>
  <c r="H66" i="54"/>
  <c r="I66" i="54" s="1"/>
  <c r="H76" i="54"/>
  <c r="I76" i="54" s="1"/>
  <c r="H80" i="54"/>
  <c r="I80" i="54" s="1"/>
  <c r="D84" i="54"/>
  <c r="D87" i="54" s="1"/>
  <c r="H86" i="54"/>
  <c r="I86" i="54" s="1"/>
  <c r="K89" i="54"/>
  <c r="H16" i="54"/>
  <c r="I16" i="54" s="1"/>
  <c r="H13" i="54"/>
  <c r="I13" i="54" s="1"/>
  <c r="F25" i="54"/>
  <c r="H26" i="54"/>
  <c r="I26" i="54" s="1"/>
  <c r="H18" i="54"/>
  <c r="B32" i="52"/>
  <c r="C32" i="52" s="1"/>
  <c r="B30" i="52"/>
  <c r="C30" i="52" s="1"/>
  <c r="B33" i="52"/>
  <c r="C33" i="52" s="1"/>
  <c r="E28" i="52"/>
  <c r="F31" i="52"/>
  <c r="D33" i="52"/>
  <c r="F33" i="52" s="1"/>
  <c r="D30" i="52"/>
  <c r="F30" i="52" s="1"/>
  <c r="E35" i="56" l="1"/>
  <c r="H87" i="54"/>
  <c r="M31" i="61"/>
  <c r="F34" i="52"/>
  <c r="C34" i="52"/>
  <c r="H26" i="58"/>
  <c r="I26" i="58" s="1"/>
  <c r="L26" i="58"/>
  <c r="E21" i="56"/>
  <c r="E9" i="56" s="1"/>
  <c r="E29" i="56" s="1"/>
  <c r="D38" i="58"/>
  <c r="E38" i="58" s="1"/>
  <c r="E21" i="60"/>
  <c r="E31" i="60" s="1"/>
  <c r="D34" i="52"/>
  <c r="B34" i="52"/>
  <c r="C9" i="56"/>
  <c r="C29" i="56" s="1"/>
  <c r="D8" i="54"/>
  <c r="D50" i="56"/>
  <c r="E31" i="56"/>
  <c r="D9" i="56"/>
  <c r="D29" i="56" s="1"/>
  <c r="H41" i="54"/>
  <c r="I41" i="54" s="1"/>
  <c r="H12" i="54"/>
  <c r="I12" i="54" s="1"/>
  <c r="F8" i="54"/>
  <c r="H38" i="54"/>
  <c r="I38" i="54" s="1"/>
  <c r="H65" i="54"/>
  <c r="I65" i="54" s="1"/>
  <c r="H70" i="54"/>
  <c r="I70" i="54" s="1"/>
  <c r="C30" i="56"/>
  <c r="C50" i="56" s="1"/>
  <c r="L41" i="61"/>
  <c r="E41" i="61"/>
  <c r="H41" i="61"/>
  <c r="I41" i="61" s="1"/>
  <c r="M43" i="61"/>
  <c r="L31" i="61"/>
  <c r="H31" i="61"/>
  <c r="I31" i="61" s="1"/>
  <c r="E31" i="61"/>
  <c r="M38" i="58"/>
  <c r="G38" i="58"/>
  <c r="H25" i="54"/>
  <c r="I25" i="54" s="1"/>
  <c r="H49" i="54"/>
  <c r="I49" i="54" s="1"/>
  <c r="H84" i="54"/>
  <c r="I84" i="54" s="1"/>
  <c r="H32" i="54"/>
  <c r="I32" i="54" s="1"/>
  <c r="M59" i="54" l="1"/>
  <c r="G59" i="54"/>
  <c r="L59" i="54"/>
  <c r="E59" i="54"/>
  <c r="G87" i="54"/>
  <c r="G61" i="54"/>
  <c r="M61" i="54"/>
  <c r="M60" i="54"/>
  <c r="G60" i="54"/>
  <c r="E87" i="54"/>
  <c r="E61" i="54"/>
  <c r="L61" i="54"/>
  <c r="L60" i="54"/>
  <c r="E60" i="54"/>
  <c r="M38" i="54"/>
  <c r="M34" i="54"/>
  <c r="G34" i="54"/>
  <c r="M33" i="54"/>
  <c r="G33" i="54"/>
  <c r="E38" i="54"/>
  <c r="L33" i="54"/>
  <c r="L34" i="54"/>
  <c r="E34" i="54"/>
  <c r="E33" i="54"/>
  <c r="E75" i="54"/>
  <c r="L51" i="54"/>
  <c r="L86" i="54"/>
  <c r="E67" i="54"/>
  <c r="E71" i="54"/>
  <c r="L18" i="54"/>
  <c r="L46" i="54"/>
  <c r="L74" i="54"/>
  <c r="E65" i="54"/>
  <c r="L11" i="54"/>
  <c r="E13" i="54"/>
  <c r="L76" i="54"/>
  <c r="E26" i="54"/>
  <c r="L14" i="54"/>
  <c r="E79" i="54"/>
  <c r="E85" i="54"/>
  <c r="E58" i="54"/>
  <c r="E53" i="54"/>
  <c r="E64" i="54"/>
  <c r="L84" i="54"/>
  <c r="L45" i="54"/>
  <c r="L13" i="54"/>
  <c r="E28" i="54"/>
  <c r="L75" i="54"/>
  <c r="E47" i="54"/>
  <c r="L29" i="54"/>
  <c r="E84" i="54"/>
  <c r="E32" i="54"/>
  <c r="E14" i="54"/>
  <c r="L23" i="54"/>
  <c r="E74" i="54"/>
  <c r="L69" i="54"/>
  <c r="E31" i="54"/>
  <c r="L25" i="54"/>
  <c r="E30" i="54"/>
  <c r="E17" i="54"/>
  <c r="E24" i="54"/>
  <c r="L66" i="54"/>
  <c r="L36" i="54"/>
  <c r="E41" i="54"/>
  <c r="E35" i="54"/>
  <c r="L22" i="54"/>
  <c r="L47" i="54"/>
  <c r="E10" i="54"/>
  <c r="L71" i="54"/>
  <c r="L32" i="54"/>
  <c r="L49" i="54"/>
  <c r="L83" i="54"/>
  <c r="E40" i="54"/>
  <c r="E51" i="54"/>
  <c r="E45" i="54"/>
  <c r="L80" i="54"/>
  <c r="E76" i="54"/>
  <c r="L20" i="54"/>
  <c r="E20" i="54"/>
  <c r="L79" i="54"/>
  <c r="L39" i="54"/>
  <c r="E25" i="54"/>
  <c r="E81" i="54"/>
  <c r="E86" i="54"/>
  <c r="E57" i="54"/>
  <c r="L56" i="54"/>
  <c r="L40" i="54"/>
  <c r="E48" i="54"/>
  <c r="E52" i="54"/>
  <c r="L24" i="54"/>
  <c r="E69" i="54"/>
  <c r="L63" i="54"/>
  <c r="E55" i="54"/>
  <c r="E72" i="54"/>
  <c r="L50" i="54"/>
  <c r="H38" i="58"/>
  <c r="E18" i="54"/>
  <c r="E73" i="54"/>
  <c r="L41" i="54"/>
  <c r="E63" i="54"/>
  <c r="E22" i="54"/>
  <c r="L62" i="54"/>
  <c r="E56" i="54"/>
  <c r="E62" i="54"/>
  <c r="E16" i="54"/>
  <c r="E36" i="54"/>
  <c r="E68" i="54"/>
  <c r="L35" i="54"/>
  <c r="E66" i="54"/>
  <c r="L30" i="54"/>
  <c r="L72" i="54"/>
  <c r="E46" i="54"/>
  <c r="L48" i="54"/>
  <c r="E29" i="54"/>
  <c r="L16" i="54"/>
  <c r="L70" i="54"/>
  <c r="L42" i="54"/>
  <c r="L53" i="54"/>
  <c r="L64" i="54"/>
  <c r="E15" i="54"/>
  <c r="L81" i="54"/>
  <c r="E21" i="54"/>
  <c r="E50" i="54"/>
  <c r="E82" i="54"/>
  <c r="L57" i="54"/>
  <c r="L85" i="54"/>
  <c r="L43" i="54"/>
  <c r="E70" i="54"/>
  <c r="L38" i="58"/>
  <c r="E80" i="54"/>
  <c r="L68" i="54"/>
  <c r="E49" i="54"/>
  <c r="L26" i="54"/>
  <c r="L10" i="54"/>
  <c r="E12" i="54"/>
  <c r="L12" i="54"/>
  <c r="E27" i="54"/>
  <c r="L82" i="54"/>
  <c r="L21" i="54"/>
  <c r="L54" i="54"/>
  <c r="E83" i="54"/>
  <c r="L58" i="54"/>
  <c r="E11" i="54"/>
  <c r="E54" i="54"/>
  <c r="E19" i="54"/>
  <c r="L77" i="54"/>
  <c r="E42" i="54"/>
  <c r="L8" i="54"/>
  <c r="L15" i="54"/>
  <c r="E43" i="54"/>
  <c r="E78" i="54"/>
  <c r="L9" i="54"/>
  <c r="E23" i="54"/>
  <c r="L31" i="54"/>
  <c r="E39" i="54"/>
  <c r="L55" i="54"/>
  <c r="L78" i="54"/>
  <c r="L67" i="54"/>
  <c r="L17" i="54"/>
  <c r="L27" i="54"/>
  <c r="L44" i="54"/>
  <c r="E9" i="54"/>
  <c r="L38" i="54"/>
  <c r="E77" i="54"/>
  <c r="L65" i="54"/>
  <c r="L73" i="54"/>
  <c r="L19" i="54"/>
  <c r="L28" i="54"/>
  <c r="E44" i="54"/>
  <c r="L52" i="54"/>
  <c r="H37" i="54"/>
  <c r="I37" i="54" s="1"/>
  <c r="L37" i="54"/>
  <c r="E37" i="54"/>
  <c r="E30" i="56"/>
  <c r="E50" i="56" s="1"/>
  <c r="M12" i="54"/>
  <c r="G12" i="54"/>
  <c r="G38" i="54"/>
  <c r="G25" i="54"/>
  <c r="G49" i="54"/>
  <c r="G9" i="54"/>
  <c r="M9" i="54"/>
  <c r="H8" i="54"/>
  <c r="I8" i="54" s="1"/>
  <c r="G32" i="54"/>
  <c r="M32" i="54"/>
  <c r="H43" i="61"/>
  <c r="L43" i="61"/>
  <c r="E43" i="61"/>
  <c r="G37" i="54"/>
  <c r="M37" i="54"/>
  <c r="L89" i="54"/>
  <c r="M85" i="54"/>
  <c r="M83" i="54"/>
  <c r="M82" i="54"/>
  <c r="M75" i="54"/>
  <c r="M74" i="54"/>
  <c r="M69" i="54"/>
  <c r="M68" i="54"/>
  <c r="M58" i="54"/>
  <c r="M57" i="54"/>
  <c r="G52" i="54"/>
  <c r="G51" i="54"/>
  <c r="M40" i="54"/>
  <c r="G28" i="54"/>
  <c r="G27" i="54"/>
  <c r="G15" i="54"/>
  <c r="G14" i="54"/>
  <c r="G17" i="54"/>
  <c r="G85" i="54"/>
  <c r="G83" i="54"/>
  <c r="G82" i="54"/>
  <c r="G75" i="54"/>
  <c r="G71" i="54"/>
  <c r="G56" i="54"/>
  <c r="M54" i="54"/>
  <c r="M53" i="54"/>
  <c r="G40" i="54"/>
  <c r="G39" i="54"/>
  <c r="M47" i="54"/>
  <c r="G47" i="54"/>
  <c r="M41" i="54"/>
  <c r="G36" i="54"/>
  <c r="M11" i="54"/>
  <c r="G78" i="54"/>
  <c r="G77" i="54"/>
  <c r="M52" i="54"/>
  <c r="M51" i="54"/>
  <c r="M44" i="54"/>
  <c r="G44" i="54"/>
  <c r="G43" i="54"/>
  <c r="G46" i="54"/>
  <c r="G31" i="54"/>
  <c r="M28" i="54"/>
  <c r="M27" i="54"/>
  <c r="M15" i="54"/>
  <c r="M14" i="54"/>
  <c r="M19" i="54"/>
  <c r="G19" i="54"/>
  <c r="M17" i="54"/>
  <c r="M8" i="54"/>
  <c r="G81" i="54"/>
  <c r="G79" i="54"/>
  <c r="G74" i="54"/>
  <c r="G68" i="54"/>
  <c r="G67" i="54"/>
  <c r="G65" i="54"/>
  <c r="M36" i="54"/>
  <c r="M29" i="54"/>
  <c r="M21" i="54"/>
  <c r="M24" i="54"/>
  <c r="M23" i="54"/>
  <c r="M22" i="54"/>
  <c r="M10" i="54"/>
  <c r="M78" i="54"/>
  <c r="M77" i="54"/>
  <c r="M72" i="54"/>
  <c r="G72" i="54"/>
  <c r="M55" i="54"/>
  <c r="G55" i="54"/>
  <c r="G54" i="54"/>
  <c r="G53" i="54"/>
  <c r="M43" i="54"/>
  <c r="M42" i="54"/>
  <c r="M48" i="54"/>
  <c r="G48" i="54"/>
  <c r="M46" i="54"/>
  <c r="M45" i="54"/>
  <c r="M31" i="54"/>
  <c r="M30" i="54"/>
  <c r="G30" i="54"/>
  <c r="G24" i="54"/>
  <c r="G23" i="54"/>
  <c r="G11" i="54"/>
  <c r="G73" i="54"/>
  <c r="M71" i="54"/>
  <c r="G69" i="54"/>
  <c r="G63" i="54"/>
  <c r="G58" i="54"/>
  <c r="G57" i="54"/>
  <c r="G21" i="54"/>
  <c r="G45" i="54"/>
  <c r="G22" i="54"/>
  <c r="G70" i="54"/>
  <c r="G62" i="54"/>
  <c r="G66" i="54"/>
  <c r="M18" i="54"/>
  <c r="G29" i="54"/>
  <c r="G80" i="54"/>
  <c r="M16" i="54"/>
  <c r="M26" i="54"/>
  <c r="M35" i="54"/>
  <c r="G41" i="54"/>
  <c r="M56" i="54"/>
  <c r="G50" i="54"/>
  <c r="M65" i="54"/>
  <c r="G86" i="54"/>
  <c r="G13" i="54"/>
  <c r="M79" i="54"/>
  <c r="M89" i="54"/>
  <c r="M62" i="54"/>
  <c r="M66" i="54"/>
  <c r="M50" i="54"/>
  <c r="G20" i="54"/>
  <c r="G26" i="54"/>
  <c r="M73" i="54"/>
  <c r="G42" i="54"/>
  <c r="M20" i="54"/>
  <c r="G84" i="54"/>
  <c r="G76" i="54"/>
  <c r="M80" i="54"/>
  <c r="M86" i="54"/>
  <c r="G16" i="54"/>
  <c r="G10" i="54"/>
  <c r="M39" i="54"/>
  <c r="M63" i="54"/>
  <c r="M67" i="54"/>
  <c r="M81" i="54"/>
  <c r="G18" i="54"/>
  <c r="M64" i="54"/>
  <c r="M70" i="54"/>
  <c r="M13" i="54"/>
  <c r="M76" i="54"/>
  <c r="M84" i="54"/>
  <c r="G35" i="54"/>
  <c r="G64" i="54"/>
  <c r="M25" i="54"/>
  <c r="M49" i="54"/>
  <c r="K11" i="49"/>
  <c r="C11" i="49"/>
  <c r="B11" i="49" s="1"/>
  <c r="B97" i="51" l="1"/>
  <c r="B96" i="51" s="1"/>
  <c r="B95" i="51" s="1"/>
  <c r="B89" i="51"/>
  <c r="B81" i="51"/>
  <c r="B85" i="51"/>
  <c r="B77" i="51"/>
  <c r="B73" i="51"/>
  <c r="B69" i="51"/>
  <c r="B65" i="51"/>
  <c r="B57" i="51"/>
  <c r="B55" i="51"/>
  <c r="B52" i="51"/>
  <c r="B49" i="51"/>
  <c r="B46" i="51"/>
  <c r="B28" i="51"/>
  <c r="B42" i="51"/>
  <c r="B36" i="51"/>
  <c r="B39" i="51"/>
  <c r="B32" i="51"/>
  <c r="B24" i="51"/>
  <c r="B20" i="51"/>
  <c r="B16" i="51"/>
  <c r="B12" i="51"/>
  <c r="B11" i="51" l="1"/>
  <c r="B10" i="51" s="1"/>
  <c r="B64" i="51"/>
  <c r="B63" i="51" s="1"/>
  <c r="B9" i="51" l="1"/>
  <c r="D27" i="19"/>
  <c r="B27" i="19"/>
  <c r="K23" i="49"/>
  <c r="C23" i="49"/>
  <c r="B23" i="49" s="1"/>
  <c r="B21" i="49" s="1"/>
  <c r="N21" i="49"/>
  <c r="M21" i="49"/>
  <c r="L21" i="49"/>
  <c r="G21" i="49"/>
  <c r="F21" i="49"/>
  <c r="E21" i="49"/>
  <c r="D21" i="49"/>
  <c r="A45" i="29"/>
  <c r="D21" i="29"/>
  <c r="C21" i="29"/>
  <c r="K21" i="49" l="1"/>
  <c r="C21" i="49"/>
  <c r="E22" i="29"/>
  <c r="E21" i="29" s="1"/>
  <c r="B32" i="30"/>
  <c r="B38" i="30" s="1"/>
  <c r="E8" i="41" l="1"/>
  <c r="E7" i="41" s="1"/>
  <c r="B16" i="2"/>
  <c r="D10" i="17"/>
  <c r="D20" i="17"/>
  <c r="D24" i="17"/>
  <c r="B20" i="17"/>
  <c r="B24" i="17"/>
  <c r="L28" i="49"/>
  <c r="L8" i="49"/>
  <c r="L19" i="49"/>
  <c r="L24" i="49"/>
  <c r="L32" i="49"/>
  <c r="J8" i="49"/>
  <c r="J19" i="49"/>
  <c r="H19" i="49" s="1"/>
  <c r="J24" i="49"/>
  <c r="H24" i="49" s="1"/>
  <c r="J28" i="49"/>
  <c r="H28" i="49" s="1"/>
  <c r="J32" i="49"/>
  <c r="H32" i="49" s="1"/>
  <c r="N8" i="49"/>
  <c r="N24" i="49"/>
  <c r="N28" i="49"/>
  <c r="N32" i="49"/>
  <c r="N19" i="49"/>
  <c r="M19" i="49"/>
  <c r="M28" i="49"/>
  <c r="M8" i="49"/>
  <c r="M24" i="49"/>
  <c r="M32" i="49"/>
  <c r="D8" i="49"/>
  <c r="D19" i="49"/>
  <c r="D24" i="49"/>
  <c r="D28" i="49"/>
  <c r="D32" i="49"/>
  <c r="E8" i="49"/>
  <c r="E19" i="49"/>
  <c r="E24" i="49"/>
  <c r="E28" i="49"/>
  <c r="E32" i="49"/>
  <c r="F8" i="49"/>
  <c r="F19" i="49"/>
  <c r="F24" i="49"/>
  <c r="F28" i="49"/>
  <c r="F32" i="49"/>
  <c r="G8" i="49"/>
  <c r="G19" i="49"/>
  <c r="G24" i="49"/>
  <c r="G28" i="49"/>
  <c r="G32" i="49"/>
  <c r="C33" i="49"/>
  <c r="B33" i="49" s="1"/>
  <c r="B32" i="49" s="1"/>
  <c r="K33" i="49"/>
  <c r="K31" i="49"/>
  <c r="C31" i="49"/>
  <c r="B31" i="49" s="1"/>
  <c r="C30" i="49"/>
  <c r="B30" i="49" s="1"/>
  <c r="K29" i="49"/>
  <c r="C29" i="49"/>
  <c r="B29" i="49" s="1"/>
  <c r="C27" i="49"/>
  <c r="B27" i="49" s="1"/>
  <c r="K27" i="49"/>
  <c r="C26" i="49"/>
  <c r="B26" i="49" s="1"/>
  <c r="K26" i="49"/>
  <c r="C25" i="49"/>
  <c r="K25" i="49"/>
  <c r="K20" i="49"/>
  <c r="C20" i="49"/>
  <c r="C16" i="49"/>
  <c r="B16" i="49" s="1"/>
  <c r="K16" i="49"/>
  <c r="C15" i="49"/>
  <c r="B15" i="49" s="1"/>
  <c r="K15" i="49"/>
  <c r="C14" i="49"/>
  <c r="K14" i="49"/>
  <c r="C13" i="49"/>
  <c r="K13" i="49"/>
  <c r="C12" i="49"/>
  <c r="K12" i="49"/>
  <c r="C9" i="49"/>
  <c r="B9" i="49" s="1"/>
  <c r="K9" i="49"/>
  <c r="B28" i="42"/>
  <c r="F28" i="42"/>
  <c r="F34" i="42" s="1"/>
  <c r="G28" i="42"/>
  <c r="G34" i="42" s="1"/>
  <c r="D32" i="42"/>
  <c r="E28" i="41"/>
  <c r="E21" i="41"/>
  <c r="E15" i="41"/>
  <c r="E14" i="41" s="1"/>
  <c r="H28" i="42"/>
  <c r="H34" i="42" s="1"/>
  <c r="B8" i="42"/>
  <c r="B19" i="42"/>
  <c r="B24" i="42"/>
  <c r="B32" i="42"/>
  <c r="D19" i="42"/>
  <c r="D11" i="43"/>
  <c r="D16" i="43"/>
  <c r="D50" i="28"/>
  <c r="D49" i="28" s="1"/>
  <c r="B50" i="28"/>
  <c r="B49" i="28" s="1"/>
  <c r="B32" i="2"/>
  <c r="D12" i="20"/>
  <c r="D11" i="20" s="1"/>
  <c r="D10" i="20" s="1"/>
  <c r="D9" i="20" s="1"/>
  <c r="D8" i="20" s="1"/>
  <c r="B12" i="20"/>
  <c r="B11" i="20" s="1"/>
  <c r="B10" i="20" s="1"/>
  <c r="B9" i="20" s="1"/>
  <c r="B8" i="20" s="1"/>
  <c r="D11" i="28"/>
  <c r="D10" i="28" s="1"/>
  <c r="D9" i="28" s="1"/>
  <c r="D16" i="28"/>
  <c r="D15" i="28" s="1"/>
  <c r="D14" i="28" s="1"/>
  <c r="D21" i="28"/>
  <c r="D20" i="28" s="1"/>
  <c r="D19" i="28" s="1"/>
  <c r="D27" i="28"/>
  <c r="D26" i="28" s="1"/>
  <c r="D30" i="28"/>
  <c r="D29" i="28" s="1"/>
  <c r="D33" i="28"/>
  <c r="D32" i="28" s="1"/>
  <c r="D38" i="28"/>
  <c r="D37" i="28" s="1"/>
  <c r="D43" i="28"/>
  <c r="D42" i="28" s="1"/>
  <c r="D53" i="28"/>
  <c r="D52" i="28" s="1"/>
  <c r="D56" i="28"/>
  <c r="D55" i="28" s="1"/>
  <c r="B11" i="28"/>
  <c r="B10" i="28" s="1"/>
  <c r="B9" i="28" s="1"/>
  <c r="B16" i="28"/>
  <c r="B15" i="28" s="1"/>
  <c r="B14" i="28" s="1"/>
  <c r="B21" i="28"/>
  <c r="B20" i="28" s="1"/>
  <c r="B19" i="28" s="1"/>
  <c r="B57" i="28"/>
  <c r="B56" i="28" s="1"/>
  <c r="B55" i="28" s="1"/>
  <c r="B12" i="2"/>
  <c r="B11" i="2" s="1"/>
  <c r="B18" i="2"/>
  <c r="B21" i="2"/>
  <c r="B12" i="46"/>
  <c r="B15" i="46"/>
  <c r="C43" i="29"/>
  <c r="D41" i="29"/>
  <c r="B17" i="1"/>
  <c r="B12" i="1"/>
  <c r="D9" i="1" s="1"/>
  <c r="F9" i="1" s="1"/>
  <c r="E8" i="10"/>
  <c r="B8" i="10"/>
  <c r="E35" i="41"/>
  <c r="B19" i="20"/>
  <c r="B18" i="20" s="1"/>
  <c r="B17" i="20" s="1"/>
  <c r="B16" i="20" s="1"/>
  <c r="B25" i="19"/>
  <c r="B20" i="19"/>
  <c r="B19" i="19" s="1"/>
  <c r="B18" i="19" s="1"/>
  <c r="B15" i="19"/>
  <c r="B14" i="19" s="1"/>
  <c r="B13" i="19" s="1"/>
  <c r="B53" i="28"/>
  <c r="B52" i="28" s="1"/>
  <c r="B43" i="28"/>
  <c r="B42" i="28" s="1"/>
  <c r="B37" i="28"/>
  <c r="B33" i="28"/>
  <c r="B32" i="28" s="1"/>
  <c r="B30" i="28"/>
  <c r="B29" i="28" s="1"/>
  <c r="B27" i="28"/>
  <c r="B26" i="28" s="1"/>
  <c r="E45" i="29"/>
  <c r="D45" i="29"/>
  <c r="C45" i="29"/>
  <c r="B27" i="46"/>
  <c r="B23" i="46"/>
  <c r="B22" i="46" s="1"/>
  <c r="E28" i="47"/>
  <c r="E27" i="47" s="1"/>
  <c r="E39" i="47"/>
  <c r="E38" i="47" s="1"/>
  <c r="B28" i="47"/>
  <c r="E11" i="47"/>
  <c r="E10" i="47" s="1"/>
  <c r="B11" i="47"/>
  <c r="B35" i="46"/>
  <c r="E9" i="46" s="1"/>
  <c r="D9" i="10"/>
  <c r="D11" i="10"/>
  <c r="D12" i="10"/>
  <c r="D13" i="10"/>
  <c r="D14" i="10"/>
  <c r="D15" i="10"/>
  <c r="D16" i="10"/>
  <c r="D17" i="10"/>
  <c r="D18" i="10"/>
  <c r="D19" i="10"/>
  <c r="D20" i="10"/>
  <c r="D15" i="19"/>
  <c r="D14" i="19" s="1"/>
  <c r="D13" i="19" s="1"/>
  <c r="D20" i="19"/>
  <c r="D19" i="19" s="1"/>
  <c r="D18" i="19" s="1"/>
  <c r="D25" i="19"/>
  <c r="D19" i="20"/>
  <c r="D18" i="20" s="1"/>
  <c r="D17" i="20" s="1"/>
  <c r="D16" i="20" s="1"/>
  <c r="B18" i="31"/>
  <c r="B28" i="2"/>
  <c r="B26" i="2"/>
  <c r="B20" i="49" l="1"/>
  <c r="B19" i="49" s="1"/>
  <c r="B12" i="49"/>
  <c r="B13" i="49"/>
  <c r="B14" i="49"/>
  <c r="B25" i="49"/>
  <c r="B24" i="49" s="1"/>
  <c r="B28" i="49"/>
  <c r="E9" i="47"/>
  <c r="B9" i="1"/>
  <c r="D8" i="43"/>
  <c r="D7" i="43" s="1"/>
  <c r="K19" i="49"/>
  <c r="K8" i="49"/>
  <c r="M34" i="49"/>
  <c r="C32" i="49"/>
  <c r="L34" i="49"/>
  <c r="F34" i="49"/>
  <c r="B34" i="42"/>
  <c r="E34" i="49"/>
  <c r="D34" i="49"/>
  <c r="G34" i="49"/>
  <c r="N34" i="49"/>
  <c r="H8" i="49"/>
  <c r="J34" i="49"/>
  <c r="H34" i="49" s="1"/>
  <c r="C24" i="49"/>
  <c r="K32" i="49"/>
  <c r="K24" i="49"/>
  <c r="B40" i="30"/>
  <c r="C8" i="49"/>
  <c r="D48" i="28"/>
  <c r="E18" i="29"/>
  <c r="B48" i="28"/>
  <c r="D24" i="19"/>
  <c r="D23" i="19" s="1"/>
  <c r="D7" i="19" s="1"/>
  <c r="B24" i="19"/>
  <c r="B23" i="19" s="1"/>
  <c r="B7" i="19" s="1"/>
  <c r="C19" i="49"/>
  <c r="K28" i="49"/>
  <c r="D24" i="42"/>
  <c r="C28" i="49"/>
  <c r="C16" i="29"/>
  <c r="E24" i="29"/>
  <c r="D28" i="42"/>
  <c r="D8" i="42"/>
  <c r="D8" i="10"/>
  <c r="D9" i="17"/>
  <c r="D8" i="17" s="1"/>
  <c r="D7" i="17" s="1"/>
  <c r="E12" i="29"/>
  <c r="E42" i="29"/>
  <c r="E41" i="29" s="1"/>
  <c r="C41" i="29"/>
  <c r="C40" i="29" s="1"/>
  <c r="E35" i="29"/>
  <c r="E38" i="29"/>
  <c r="E44" i="29"/>
  <c r="E43" i="29" s="1"/>
  <c r="D40" i="29"/>
  <c r="D31" i="29"/>
  <c r="E11" i="29"/>
  <c r="D16" i="29"/>
  <c r="D7" i="20"/>
  <c r="B36" i="28"/>
  <c r="B25" i="28"/>
  <c r="B8" i="28"/>
  <c r="B9" i="17"/>
  <c r="B8" i="17" s="1"/>
  <c r="B7" i="17" s="1"/>
  <c r="B31" i="2"/>
  <c r="B15" i="2"/>
  <c r="B10" i="2" s="1"/>
  <c r="B25" i="2"/>
  <c r="B11" i="46"/>
  <c r="E25" i="29"/>
  <c r="B7" i="20"/>
  <c r="D36" i="28"/>
  <c r="D25" i="28"/>
  <c r="D8" i="28"/>
  <c r="E17" i="29"/>
  <c r="E15" i="29"/>
  <c r="E14" i="29"/>
  <c r="C10" i="29"/>
  <c r="C31" i="29"/>
  <c r="E34" i="29"/>
  <c r="E13" i="29"/>
  <c r="B8" i="49" l="1"/>
  <c r="C9" i="29"/>
  <c r="C29" i="29" s="1"/>
  <c r="B9" i="2"/>
  <c r="B10" i="46"/>
  <c r="D34" i="42"/>
  <c r="E16" i="29"/>
  <c r="E23" i="29"/>
  <c r="K34" i="49"/>
  <c r="B7" i="28"/>
  <c r="C34" i="49"/>
  <c r="D10" i="29"/>
  <c r="D9" i="29" s="1"/>
  <c r="E40" i="29"/>
  <c r="E33" i="29"/>
  <c r="C30" i="29"/>
  <c r="C48" i="29" s="1"/>
  <c r="D7" i="28"/>
  <c r="E10" i="29"/>
  <c r="E32" i="29"/>
  <c r="E39" i="29"/>
  <c r="E36" i="29" s="1"/>
  <c r="D30" i="29"/>
  <c r="D48" i="29" s="1"/>
  <c r="B9" i="46" l="1"/>
  <c r="D9" i="46"/>
  <c r="F9" i="46" s="1"/>
  <c r="B34" i="49"/>
  <c r="E9" i="29"/>
  <c r="E29" i="29" s="1"/>
  <c r="D29" i="29"/>
  <c r="E31" i="29"/>
  <c r="E30" i="29" s="1"/>
  <c r="E48" i="29" s="1"/>
  <c r="E47" i="64" l="1"/>
  <c r="H47" i="64"/>
  <c r="L47" i="64"/>
  <c r="L44" i="64" l="1"/>
  <c r="E44" i="64"/>
  <c r="H44" i="64"/>
  <c r="I44" i="64" s="1"/>
  <c r="H43" i="64"/>
  <c r="I43" i="64" s="1"/>
  <c r="L43" i="64"/>
  <c r="E43" i="64"/>
  <c r="D42" i="64"/>
  <c r="H42" i="64" s="1"/>
  <c r="I42" i="64" s="1"/>
  <c r="E49" i="64"/>
  <c r="L42" i="64" l="1"/>
  <c r="E42" i="64"/>
  <c r="H49" i="64"/>
  <c r="L49" i="64"/>
  <c r="F12" i="77"/>
  <c r="F21" i="77" s="1"/>
  <c r="C12" i="77"/>
  <c r="C21" i="77" s="1"/>
  <c r="E12" i="77"/>
  <c r="E21" i="77" s="1"/>
  <c r="D12" i="77"/>
  <c r="D21" i="77" s="1"/>
  <c r="J21" i="77" s="1"/>
  <c r="L58" i="64"/>
  <c r="E58" i="64"/>
  <c r="H58" i="64"/>
  <c r="I58" i="64" s="1"/>
  <c r="D56" i="64"/>
  <c r="H56" i="64" s="1"/>
  <c r="I56" i="64" s="1"/>
  <c r="E56" i="64" l="1"/>
  <c r="L56" i="64"/>
  <c r="D59" i="64"/>
  <c r="L59" i="64" l="1"/>
  <c r="H59" i="64"/>
  <c r="E59" i="64"/>
  <c r="D52" i="64" l="1"/>
  <c r="E53" i="64"/>
  <c r="H53" i="64"/>
  <c r="L53" i="64"/>
  <c r="L52" i="64" l="1"/>
  <c r="E52" i="64"/>
  <c r="H52" i="6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F30" authorId="0" shapeId="0" xr:uid="{00000000-0006-0000-00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 ref="C32" authorId="0" shapeId="0" xr:uid="{00000000-0006-0000-00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1059</author>
  </authors>
  <commentList>
    <comment ref="C21" authorId="0" shapeId="0" xr:uid="{00000000-0006-0000-11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B12" authorId="0" shapeId="0" xr:uid="{00000000-0006-0000-14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普通組應付保管款滿4年再提出申請編列14千元</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44" authorId="0" shapeId="0" xr:uid="{00000000-0006-0000-21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沒公式了
</t>
        </r>
      </text>
    </comment>
    <comment ref="I54" authorId="0" shapeId="0" xr:uid="{00000000-0006-0000-21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59" authorId="0" shapeId="0" xr:uid="{00000000-0006-0000-21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60" authorId="0" shapeId="0" xr:uid="{00000000-0006-0000-2100-000004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3" authorId="0" shapeId="0" xr:uid="{00000000-0006-0000-2A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List>
</comments>
</file>

<file path=xl/sharedStrings.xml><?xml version="1.0" encoding="utf-8"?>
<sst xmlns="http://schemas.openxmlformats.org/spreadsheetml/2006/main" count="2361" uniqueCount="1438">
  <si>
    <t>　  呆帳</t>
    <phoneticPr fontId="4" type="noConversion"/>
  </si>
  <si>
    <r>
      <t>5</t>
    </r>
    <r>
      <rPr>
        <sz val="18"/>
        <rFont val="標楷體"/>
        <family val="4"/>
        <charset val="136"/>
      </rPr>
      <t>年來主要營運項目分析表</t>
    </r>
    <phoneticPr fontId="4" type="noConversion"/>
  </si>
  <si>
    <t>前年度決算數</t>
    <phoneticPr fontId="4" type="noConversion"/>
  </si>
  <si>
    <t>本年度預算數</t>
  </si>
  <si>
    <t>1.</t>
    <phoneticPr fontId="4" type="noConversion"/>
  </si>
  <si>
    <t>前年度決算數</t>
  </si>
  <si>
    <t>上年度預算數</t>
  </si>
  <si>
    <t>科目及業務計畫項目</t>
  </si>
  <si>
    <t>　  保險給付</t>
    <phoneticPr fontId="4" type="noConversion"/>
  </si>
  <si>
    <t>％</t>
  </si>
  <si>
    <t>-</t>
  </si>
  <si>
    <t xml:space="preserve"> </t>
  </si>
  <si>
    <t>　  提存責任準備</t>
    <phoneticPr fontId="4" type="noConversion"/>
  </si>
  <si>
    <t>保險成本明細表</t>
    <phoneticPr fontId="4" type="noConversion"/>
  </si>
  <si>
    <t>保險成本</t>
    <phoneticPr fontId="4" type="noConversion"/>
  </si>
  <si>
    <t>-</t>
    <phoneticPr fontId="4" type="noConversion"/>
  </si>
  <si>
    <t>科　　　目</t>
  </si>
  <si>
    <t>業務收入</t>
  </si>
  <si>
    <t>　  提存責任準備(未加保勞工)</t>
    <phoneticPr fontId="4"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</si>
  <si>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</si>
  <si>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負債</t>
    <phoneticPr fontId="4" type="noConversion"/>
  </si>
  <si>
    <t>　職業災害勞工保護</t>
    <phoneticPr fontId="4" type="noConversion"/>
  </si>
  <si>
    <t>(2)</t>
    <phoneticPr fontId="4" type="noConversion"/>
  </si>
  <si>
    <t>　什項資產</t>
    <phoneticPr fontId="4" type="noConversion"/>
  </si>
  <si>
    <t>　應付款項</t>
    <phoneticPr fontId="4" type="noConversion"/>
  </si>
  <si>
    <t>　預收款項</t>
    <phoneticPr fontId="4" type="noConversion"/>
  </si>
  <si>
    <t>　負債準備</t>
    <phoneticPr fontId="4" type="noConversion"/>
  </si>
  <si>
    <t>　什項負債</t>
    <phoneticPr fontId="4" type="noConversion"/>
  </si>
  <si>
    <t>　累積賸餘</t>
    <phoneticPr fontId="4" type="noConversion"/>
  </si>
  <si>
    <t>業務外費用</t>
    <phoneticPr fontId="4" type="noConversion"/>
  </si>
  <si>
    <t>　　　    普通事故</t>
    <phoneticPr fontId="4" type="noConversion"/>
  </si>
  <si>
    <t>　　　    職業災害</t>
    <phoneticPr fontId="4" type="noConversion"/>
  </si>
  <si>
    <t>　　　    已加保勞工</t>
    <phoneticPr fontId="4" type="noConversion"/>
  </si>
  <si>
    <t>　　　    未加保勞工</t>
    <phoneticPr fontId="4" type="noConversion"/>
  </si>
  <si>
    <t>　勞工保險</t>
    <phoneticPr fontId="4" type="noConversion"/>
  </si>
  <si>
    <t>　就業保險</t>
    <phoneticPr fontId="4"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</si>
  <si>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</si>
  <si>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t>上年度預算數</t>
    <phoneticPr fontId="4" type="noConversion"/>
  </si>
  <si>
    <t>合計</t>
    <phoneticPr fontId="4" type="noConversion"/>
  </si>
  <si>
    <t>　　  短絀、賠償與保險給付</t>
    <phoneticPr fontId="4" type="noConversion"/>
  </si>
  <si>
    <t>　　　  保險給付</t>
    <phoneticPr fontId="4" type="noConversion"/>
  </si>
  <si>
    <t>　　　  提存</t>
    <phoneticPr fontId="4" type="noConversion"/>
  </si>
  <si>
    <t>　　　  各項短絀</t>
    <phoneticPr fontId="4" type="noConversion"/>
  </si>
  <si>
    <r>
      <t xml:space="preserve">    </t>
    </r>
    <r>
      <rPr>
        <b/>
        <sz val="12"/>
        <rFont val="標楷體"/>
        <family val="4"/>
        <charset val="136"/>
      </rPr>
      <t>未加保勞工</t>
    </r>
    <phoneticPr fontId="21" type="noConversion"/>
  </si>
  <si>
    <r>
      <t xml:space="preserve">        </t>
    </r>
    <r>
      <rPr>
        <sz val="12"/>
        <rFont val="標楷體"/>
        <family val="4"/>
        <charset val="136"/>
      </rPr>
      <t>死亡補助</t>
    </r>
    <phoneticPr fontId="21" type="noConversion"/>
  </si>
  <si>
    <r>
      <t xml:space="preserve">        </t>
    </r>
    <r>
      <rPr>
        <sz val="12"/>
        <rFont val="標楷體"/>
        <family val="4"/>
        <charset val="136"/>
      </rPr>
      <t>職業疾病生活津貼</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</si>
  <si>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</si>
  <si>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器具補助</t>
    </r>
    <phoneticPr fontId="21" type="noConversion"/>
  </si>
  <si>
    <r>
      <t xml:space="preserve">        </t>
    </r>
    <r>
      <rPr>
        <sz val="12"/>
        <rFont val="標楷體"/>
        <family val="4"/>
        <charset val="136"/>
      </rPr>
      <t>看護補助</t>
    </r>
    <phoneticPr fontId="21" type="noConversion"/>
  </si>
  <si>
    <r>
      <t xml:space="preserve">        </t>
    </r>
    <r>
      <rPr>
        <sz val="12"/>
        <rFont val="標楷體"/>
        <family val="4"/>
        <charset val="136"/>
      </rPr>
      <t>家屬補助</t>
    </r>
    <phoneticPr fontId="21" type="noConversion"/>
  </si>
  <si>
    <r>
      <t xml:space="preserve">        </t>
    </r>
    <r>
      <rPr>
        <sz val="12"/>
        <rFont val="標楷體"/>
        <family val="4"/>
        <charset val="136"/>
      </rPr>
      <t>複檢費用</t>
    </r>
    <phoneticPr fontId="21" type="noConversion"/>
  </si>
  <si>
    <r>
      <t xml:space="preserve">        </t>
    </r>
    <r>
      <rPr>
        <sz val="12"/>
        <rFont val="標楷體"/>
        <family val="4"/>
        <charset val="136"/>
      </rPr>
      <t>委託鑑定費用</t>
    </r>
    <phoneticPr fontId="21" type="noConversion"/>
  </si>
  <si>
    <r>
      <t xml:space="preserve">            </t>
    </r>
    <r>
      <rPr>
        <sz val="12"/>
        <rFont val="標楷體"/>
        <family val="4"/>
        <charset val="136"/>
      </rPr>
      <t xml:space="preserve">職業疾病相當勞保失能給付
</t>
    </r>
    <r>
      <rPr>
        <sz val="12"/>
        <rFont val="Times New Roman"/>
        <family val="1"/>
      </rPr>
      <t xml:space="preserve">            1-3</t>
    </r>
    <r>
      <rPr>
        <sz val="12"/>
        <rFont val="標楷體"/>
        <family val="4"/>
        <charset val="136"/>
      </rPr>
      <t>等級且喪失全部工作能力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</si>
  <si>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1-7</t>
    </r>
    <r>
      <rPr>
        <sz val="12"/>
        <rFont val="標楷體"/>
        <family val="4"/>
        <charset val="136"/>
      </rPr>
      <t>等級且喪失部分工作能力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</si>
  <si>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8-10</t>
    </r>
    <r>
      <rPr>
        <sz val="12"/>
        <rFont val="標楷體"/>
        <family val="4"/>
        <charset val="136"/>
      </rPr>
      <t>等級且喪失部分工作能力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</si>
  <si>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11-15</t>
    </r>
    <r>
      <rPr>
        <sz val="12"/>
        <rFont val="標楷體"/>
        <family val="4"/>
        <charset val="136"/>
      </rPr>
      <t>等級且喪失部分工作能力</t>
    </r>
    <phoneticPr fontId="21" type="noConversion"/>
  </si>
  <si>
    <r>
      <t xml:space="preserve">            </t>
    </r>
    <r>
      <rPr>
        <sz val="12"/>
        <rFont val="標楷體"/>
        <family val="4"/>
        <charset val="136"/>
      </rPr>
      <t xml:space="preserve">符合勞保失能給付
</t>
    </r>
    <r>
      <rPr>
        <sz val="12"/>
        <rFont val="Times New Roman"/>
        <family val="1"/>
      </rPr>
      <t xml:space="preserve">            1-3</t>
    </r>
    <r>
      <rPr>
        <sz val="12"/>
        <rFont val="標楷體"/>
        <family val="4"/>
        <charset val="136"/>
      </rPr>
      <t>等級且喪失全部工作能力</t>
    </r>
    <phoneticPr fontId="21" type="noConversion"/>
  </si>
  <si>
    <r>
      <t xml:space="preserve">            </t>
    </r>
    <r>
      <rPr>
        <sz val="12"/>
        <rFont val="標楷體"/>
        <family val="4"/>
        <charset val="136"/>
      </rPr>
      <t xml:space="preserve">符合勞保失能給付
</t>
    </r>
    <r>
      <rPr>
        <sz val="12"/>
        <rFont val="Times New Roman"/>
        <family val="1"/>
      </rPr>
      <t xml:space="preserve">            1-7</t>
    </r>
    <r>
      <rPr>
        <sz val="12"/>
        <rFont val="標楷體"/>
        <family val="4"/>
        <charset val="136"/>
      </rPr>
      <t>等級且喪失部分工作能力</t>
    </r>
    <phoneticPr fontId="21" type="noConversion"/>
  </si>
  <si>
    <t>　  保險給付(已加保勞工)</t>
    <phoneticPr fontId="4" type="noConversion"/>
  </si>
  <si>
    <t>無形資產</t>
    <phoneticPr fontId="4" type="noConversion"/>
  </si>
  <si>
    <t>　無形資產</t>
    <phoneticPr fontId="4"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</si>
  <si>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</si>
  <si>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</si>
  <si>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</si>
  <si>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2"/>
        <rFont val="標楷體"/>
        <family val="4"/>
        <charset val="136"/>
      </rPr>
      <t>項目</t>
    </r>
    <phoneticPr fontId="4" type="noConversion"/>
  </si>
  <si>
    <r>
      <rPr>
        <sz val="12"/>
        <rFont val="標楷體"/>
        <family val="4"/>
        <charset val="136"/>
      </rPr>
      <t>預算數</t>
    </r>
    <phoneticPr fontId="4"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</si>
  <si>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</si>
  <si>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</si>
  <si>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4" type="noConversion"/>
  </si>
  <si>
    <r>
      <rPr>
        <sz val="12"/>
        <rFont val="標楷體"/>
        <family val="4"/>
        <charset val="136"/>
      </rPr>
      <t>　　</t>
    </r>
    <phoneticPr fontId="4" type="noConversion"/>
  </si>
  <si>
    <r>
      <rPr>
        <b/>
        <sz val="12"/>
        <rFont val="標楷體"/>
        <family val="4"/>
        <charset val="136"/>
      </rPr>
      <t>投資活動之現金流量</t>
    </r>
    <phoneticPr fontId="4" type="noConversion"/>
  </si>
  <si>
    <r>
      <rPr>
        <sz val="12"/>
        <rFont val="標楷體"/>
        <family val="4"/>
        <charset val="136"/>
      </rPr>
      <t>　減少流動金融資產及短期貸墊款</t>
    </r>
    <phoneticPr fontId="4" type="noConversion"/>
  </si>
  <si>
    <r>
      <rPr>
        <sz val="12"/>
        <rFont val="標楷體"/>
        <family val="4"/>
        <charset val="136"/>
      </rPr>
      <t>　增加流動金融資產及短期貸墊款</t>
    </r>
    <phoneticPr fontId="4" type="noConversion"/>
  </si>
  <si>
    <r>
      <rPr>
        <sz val="12"/>
        <rFont val="標楷體"/>
        <family val="4"/>
        <charset val="136"/>
      </rPr>
      <t>　增加投資、長期應收款、貸墊款及準備金</t>
    </r>
    <phoneticPr fontId="4" type="noConversion"/>
  </si>
  <si>
    <r>
      <rPr>
        <sz val="12"/>
        <rFont val="標楷體"/>
        <family val="4"/>
        <charset val="136"/>
      </rPr>
      <t>　增加無形資產、遞延借項及其他資產</t>
    </r>
    <phoneticPr fontId="4" type="noConversion"/>
  </si>
  <si>
    <r>
      <rPr>
        <sz val="12"/>
        <rFont val="標楷體"/>
        <family val="4"/>
        <charset val="136"/>
      </rPr>
      <t>係增加無形資產。</t>
    </r>
    <phoneticPr fontId="4"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</si>
  <si>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</si>
  <si>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</si>
  <si>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</si>
  <si>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8"/>
        <rFont val="標楷體"/>
        <family val="4"/>
        <charset val="136"/>
      </rPr>
      <t>收支餘絀預計表說明</t>
    </r>
    <phoneticPr fontId="4" type="noConversion"/>
  </si>
  <si>
    <r>
      <rPr>
        <sz val="18"/>
        <rFont val="標楷體"/>
        <family val="4"/>
        <charset val="136"/>
      </rPr>
      <t>餘絀撥補預計表</t>
    </r>
    <phoneticPr fontId="4" type="noConversion"/>
  </si>
  <si>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</si>
  <si>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</si>
  <si>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</si>
  <si>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</si>
  <si>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</si>
  <si>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</si>
  <si>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</si>
  <si>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</si>
  <si>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</si>
  <si>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8"/>
        <rFont val="標楷體"/>
        <family val="4"/>
        <charset val="136"/>
      </rPr>
      <t>投融資業務收入明細表</t>
    </r>
    <phoneticPr fontId="4"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</si>
  <si>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4"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</si>
  <si>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4"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</si>
  <si>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4" type="noConversion"/>
  </si>
  <si>
    <r>
      <rPr>
        <sz val="12"/>
        <rFont val="標楷體"/>
        <family val="4"/>
        <charset val="136"/>
      </rPr>
      <t>金</t>
    </r>
    <r>
      <rPr>
        <sz val="12"/>
        <rFont val="Times New Roman"/>
        <family val="1"/>
      </rPr>
      <t xml:space="preserve">   </t>
    </r>
    <r>
      <rPr>
        <sz val="12"/>
        <rFont val="標楷體"/>
        <family val="4"/>
        <charset val="136"/>
      </rPr>
      <t>額</t>
    </r>
    <phoneticPr fontId="4" type="noConversion"/>
  </si>
  <si>
    <r>
      <rPr>
        <sz val="12"/>
        <rFont val="標楷體"/>
        <family val="4"/>
        <charset val="136"/>
      </rPr>
      <t>買賣股票、受益憑證等之利益。</t>
    </r>
    <phoneticPr fontId="4" type="noConversion"/>
  </si>
  <si>
    <r>
      <rPr>
        <sz val="12"/>
        <rFont val="標楷體"/>
        <family val="4"/>
        <charset val="136"/>
      </rPr>
      <t>台幣存款及外幣存款。</t>
    </r>
    <phoneticPr fontId="4" type="noConversion"/>
  </si>
  <si>
    <r>
      <rPr>
        <sz val="12"/>
        <rFont val="標楷體"/>
        <family val="4"/>
        <charset val="136"/>
      </rPr>
      <t>台幣存款。</t>
    </r>
    <phoneticPr fontId="4" type="noConversion"/>
  </si>
  <si>
    <r>
      <rPr>
        <sz val="12"/>
        <rFont val="標楷體"/>
        <family val="4"/>
        <charset val="136"/>
      </rPr>
      <t>投資商業票券。</t>
    </r>
    <phoneticPr fontId="4" type="noConversion"/>
  </si>
  <si>
    <r>
      <rPr>
        <sz val="12"/>
        <rFont val="標楷體"/>
        <family val="4"/>
        <charset val="136"/>
      </rPr>
      <t>投資公債、庫券、公司債及金融債券。</t>
    </r>
    <phoneticPr fontId="4" type="noConversion"/>
  </si>
  <si>
    <r>
      <rPr>
        <sz val="12"/>
        <rFont val="標楷體"/>
        <family val="4"/>
        <charset val="136"/>
      </rPr>
      <t>投資國外固定收益商品
。</t>
    </r>
    <phoneticPr fontId="4" type="noConversion"/>
  </si>
  <si>
    <r>
      <rPr>
        <sz val="18"/>
        <rFont val="標楷體"/>
        <family val="4"/>
        <charset val="136"/>
      </rPr>
      <t>保險收入明細表</t>
    </r>
    <phoneticPr fontId="4" type="noConversion"/>
  </si>
  <si>
    <r>
      <rPr>
        <sz val="18"/>
        <rFont val="標楷體"/>
        <family val="4"/>
        <charset val="136"/>
      </rPr>
      <t>其他業務收入明細表</t>
    </r>
    <phoneticPr fontId="4" type="noConversion"/>
  </si>
  <si>
    <r>
      <rPr>
        <sz val="12"/>
        <rFont val="標楷體"/>
        <family val="4"/>
        <charset val="136"/>
      </rPr>
      <t>係政府補助未加入勞工保險而遭遇職業災害勞工之各項補助。</t>
    </r>
    <phoneticPr fontId="4" type="noConversion"/>
  </si>
  <si>
    <r>
      <rPr>
        <sz val="18"/>
        <rFont val="標楷體"/>
        <family val="4"/>
        <charset val="136"/>
      </rPr>
      <t>業務外收入明細表</t>
    </r>
    <phoneticPr fontId="4" type="noConversion"/>
  </si>
  <si>
    <r>
      <rPr>
        <sz val="12"/>
        <rFont val="標楷體"/>
        <family val="4"/>
        <charset val="136"/>
      </rPr>
      <t>本科目全數由勞動部勞工保險局辦理。</t>
    </r>
    <phoneticPr fontId="4" type="noConversion"/>
  </si>
  <si>
    <r>
      <rPr>
        <sz val="12"/>
        <rFont val="標楷體"/>
        <family val="4"/>
        <charset val="136"/>
      </rPr>
      <t>係預估呆帳收回。</t>
    </r>
    <phoneticPr fontId="4" type="noConversion"/>
  </si>
  <si>
    <r>
      <rPr>
        <sz val="12"/>
        <rFont val="標楷體"/>
        <family val="4"/>
        <charset val="136"/>
      </rPr>
      <t>主要係預收保費屆滿</t>
    </r>
    <r>
      <rPr>
        <sz val="12"/>
        <rFont val="Times New Roman"/>
        <family val="1"/>
      </rPr>
      <t>4</t>
    </r>
    <r>
      <rPr>
        <sz val="12"/>
        <rFont val="標楷體"/>
        <family val="4"/>
        <charset val="136"/>
      </rPr>
      <t>年轉入等收入。</t>
    </r>
    <phoneticPr fontId="4" type="noConversion"/>
  </si>
  <si>
    <r>
      <rPr>
        <sz val="12"/>
        <color indexed="8"/>
        <rFont val="標楷體"/>
        <family val="4"/>
        <charset val="136"/>
      </rPr>
      <t>係退保已久投保單位溢繳之保險費。</t>
    </r>
    <phoneticPr fontId="4" type="noConversion"/>
  </si>
  <si>
    <r>
      <rPr>
        <sz val="18"/>
        <rFont val="標楷體"/>
        <family val="4"/>
        <charset val="136"/>
      </rPr>
      <t>投融資業務成本明細表</t>
    </r>
    <phoneticPr fontId="4" type="noConversion"/>
  </si>
  <si>
    <r>
      <rPr>
        <sz val="12"/>
        <rFont val="標楷體"/>
        <family val="4"/>
        <charset val="136"/>
      </rPr>
      <t>前年度決算數</t>
    </r>
  </si>
  <si>
    <r>
      <rPr>
        <sz val="18"/>
        <rFont val="標楷體"/>
        <family val="4"/>
        <charset val="136"/>
      </rPr>
      <t>投融資業務成本說明</t>
    </r>
    <phoneticPr fontId="4" type="noConversion"/>
  </si>
  <si>
    <r>
      <rPr>
        <sz val="14"/>
        <rFont val="標楷體"/>
        <family val="4"/>
        <charset val="136"/>
      </rPr>
      <t>科</t>
    </r>
    <r>
      <rPr>
        <sz val="14"/>
        <rFont val="Times New Roman"/>
        <family val="1"/>
      </rPr>
      <t xml:space="preserve">  </t>
    </r>
    <r>
      <rPr>
        <sz val="14"/>
        <rFont val="標楷體"/>
        <family val="4"/>
        <charset val="136"/>
      </rPr>
      <t>目</t>
    </r>
    <phoneticPr fontId="4" type="noConversion"/>
  </si>
  <si>
    <r>
      <rPr>
        <sz val="14"/>
        <rFont val="標楷體"/>
        <family val="4"/>
        <charset val="136"/>
      </rPr>
      <t>說</t>
    </r>
    <r>
      <rPr>
        <sz val="14"/>
        <rFont val="Times New Roman"/>
        <family val="1"/>
      </rPr>
      <t xml:space="preserve">   </t>
    </r>
    <r>
      <rPr>
        <sz val="14"/>
        <rFont val="標楷體"/>
        <family val="4"/>
        <charset val="136"/>
      </rPr>
      <t>明</t>
    </r>
    <phoneticPr fontId="4"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</si>
  <si>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4"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</si>
  <si>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4" type="noConversion"/>
  </si>
  <si>
    <r>
      <rPr>
        <sz val="12"/>
        <rFont val="標楷體"/>
        <family val="4"/>
        <charset val="136"/>
      </rPr>
      <t>編列</t>
    </r>
    <r>
      <rPr>
        <sz val="12"/>
        <rFont val="Times New Roman"/>
        <family val="1"/>
      </rPr>
      <t>8</t>
    </r>
    <r>
      <rPr>
        <sz val="12"/>
        <rFont val="標楷體"/>
        <family val="4"/>
        <charset val="136"/>
      </rPr>
      <t>千元，係基金投資不動產之行政規費。</t>
    </r>
    <phoneticPr fontId="4" type="noConversion"/>
  </si>
  <si>
    <r>
      <rPr>
        <sz val="18"/>
        <rFont val="標楷體"/>
        <family val="4"/>
        <charset val="136"/>
      </rPr>
      <t>其他業務成本說明</t>
    </r>
    <phoneticPr fontId="4" type="noConversion"/>
  </si>
  <si>
    <r>
      <rPr>
        <sz val="18"/>
        <rFont val="標楷體"/>
        <family val="4"/>
        <charset val="136"/>
      </rPr>
      <t>其他業務成本明細表</t>
    </r>
    <phoneticPr fontId="4" type="noConversion"/>
  </si>
  <si>
    <r>
      <rPr>
        <sz val="18"/>
        <rFont val="標楷體"/>
        <family val="4"/>
        <charset val="136"/>
      </rPr>
      <t>業務外費用明細表</t>
    </r>
    <phoneticPr fontId="4" type="noConversion"/>
  </si>
  <si>
    <r>
      <rPr>
        <sz val="18"/>
        <rFont val="標楷體"/>
        <family val="4"/>
        <charset val="136"/>
      </rPr>
      <t>業務外費用說明</t>
    </r>
    <phoneticPr fontId="4" type="noConversion"/>
  </si>
  <si>
    <r>
      <rPr>
        <sz val="12"/>
        <rFont val="標楷體"/>
        <family val="4"/>
        <charset val="136"/>
      </rPr>
      <t>前年度</t>
    </r>
    <phoneticPr fontId="4" type="noConversion"/>
  </si>
  <si>
    <r>
      <rPr>
        <sz val="12"/>
        <rFont val="標楷體"/>
        <family val="4"/>
        <charset val="136"/>
      </rPr>
      <t>上年度</t>
    </r>
    <phoneticPr fontId="4" type="noConversion"/>
  </si>
  <si>
    <r>
      <rPr>
        <sz val="12"/>
        <rFont val="標楷體"/>
        <family val="4"/>
        <charset val="136"/>
      </rPr>
      <t>說明</t>
    </r>
    <phoneticPr fontId="4" type="noConversion"/>
  </si>
  <si>
    <r>
      <rPr>
        <sz val="12"/>
        <rFont val="標楷體"/>
        <family val="4"/>
        <charset val="136"/>
      </rPr>
      <t>決算數</t>
    </r>
    <phoneticPr fontId="4" type="noConversion"/>
  </si>
  <si>
    <r>
      <rPr>
        <sz val="18"/>
        <rFont val="標楷體"/>
        <family val="4"/>
        <charset val="136"/>
      </rPr>
      <t>基金數額增減明細表</t>
    </r>
    <phoneticPr fontId="4" type="noConversion"/>
  </si>
  <si>
    <r>
      <rPr>
        <sz val="12"/>
        <rFont val="標楷體"/>
        <family val="4"/>
        <charset val="136"/>
      </rPr>
      <t>金額</t>
    </r>
    <phoneticPr fontId="4" type="noConversion"/>
  </si>
  <si>
    <r>
      <rPr>
        <sz val="18"/>
        <rFont val="標楷體"/>
        <family val="4"/>
        <charset val="136"/>
      </rPr>
      <t>預計平衡表</t>
    </r>
    <phoneticPr fontId="4" type="noConversion"/>
  </si>
  <si>
    <r>
      <rPr>
        <sz val="12"/>
        <rFont val="標楷體"/>
        <family val="4"/>
        <charset val="136"/>
      </rPr>
      <t>科目</t>
    </r>
    <phoneticPr fontId="4"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</si>
  <si>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</si>
  <si>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4"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</si>
  <si>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4" type="noConversion"/>
  </si>
  <si>
    <r>
      <rPr>
        <sz val="12"/>
        <rFont val="標楷體"/>
        <family val="4"/>
        <charset val="136"/>
      </rPr>
      <t>科　　　　　　目</t>
    </r>
  </si>
  <si>
    <r>
      <rPr>
        <sz val="12"/>
        <rFont val="標楷體"/>
        <family val="4"/>
        <charset val="136"/>
      </rPr>
      <t>合計</t>
    </r>
    <phoneticPr fontId="4" type="noConversion"/>
  </si>
  <si>
    <r>
      <rPr>
        <sz val="11"/>
        <rFont val="標楷體"/>
        <family val="4"/>
        <charset val="136"/>
      </rPr>
      <t>投融資業
務成本</t>
    </r>
    <phoneticPr fontId="4" type="noConversion"/>
  </si>
  <si>
    <r>
      <rPr>
        <sz val="11"/>
        <rFont val="標楷體"/>
        <family val="4"/>
        <charset val="136"/>
      </rPr>
      <t>保險成本</t>
    </r>
    <phoneticPr fontId="4" type="noConversion"/>
  </si>
  <si>
    <r>
      <rPr>
        <sz val="11"/>
        <rFont val="標楷體"/>
        <family val="4"/>
        <charset val="136"/>
      </rPr>
      <t>其他業
務成本</t>
    </r>
    <phoneticPr fontId="4" type="noConversion"/>
  </si>
  <si>
    <r>
      <rPr>
        <sz val="11"/>
        <rFont val="標楷體"/>
        <family val="4"/>
        <charset val="136"/>
      </rPr>
      <t>其他業務
外費用</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</si>
  <si>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</si>
  <si>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4" type="noConversion"/>
  </si>
  <si>
    <r>
      <rPr>
        <sz val="12"/>
        <rFont val="標楷體"/>
        <family val="4"/>
        <charset val="136"/>
      </rPr>
      <t>單位：新臺幣千元</t>
    </r>
    <phoneticPr fontId="4" type="noConversion"/>
  </si>
  <si>
    <r>
      <rPr>
        <sz val="12"/>
        <rFont val="標楷體"/>
        <family val="4"/>
        <charset val="136"/>
      </rPr>
      <t>小計</t>
    </r>
    <phoneticPr fontId="4" type="noConversion"/>
  </si>
  <si>
    <r>
      <rPr>
        <sz val="12"/>
        <rFont val="標楷體"/>
        <family val="4"/>
        <charset val="136"/>
      </rPr>
      <t>投資名稱</t>
    </r>
    <phoneticPr fontId="4" type="noConversion"/>
  </si>
  <si>
    <r>
      <rPr>
        <sz val="12"/>
        <rFont val="標楷體"/>
        <family val="4"/>
        <charset val="136"/>
      </rPr>
      <t>投資金額</t>
    </r>
    <phoneticPr fontId="21" type="noConversion"/>
  </si>
  <si>
    <r>
      <rPr>
        <sz val="12"/>
        <rFont val="標楷體"/>
        <family val="4"/>
        <charset val="136"/>
      </rPr>
      <t>本年度
收入</t>
    </r>
    <phoneticPr fontId="21" type="noConversion"/>
  </si>
  <si>
    <r>
      <rPr>
        <sz val="12"/>
        <rFont val="標楷體"/>
        <family val="4"/>
        <charset val="136"/>
      </rPr>
      <t>以前年度
已投資額</t>
    </r>
    <phoneticPr fontId="21" type="noConversion"/>
  </si>
  <si>
    <r>
      <rPr>
        <sz val="12"/>
        <rFont val="標楷體"/>
        <family val="4"/>
        <charset val="136"/>
      </rPr>
      <t>本年度擬
投資金額</t>
    </r>
    <phoneticPr fontId="21" type="noConversion"/>
  </si>
  <si>
    <r>
      <rPr>
        <sz val="12"/>
        <rFont val="標楷體"/>
        <family val="4"/>
        <charset val="136"/>
      </rPr>
      <t>合計</t>
    </r>
    <phoneticPr fontId="21" type="noConversion"/>
  </si>
  <si>
    <r>
      <rPr>
        <sz val="18"/>
        <rFont val="標楷體"/>
        <family val="4"/>
        <charset val="136"/>
      </rPr>
      <t>保費收入分析表</t>
    </r>
    <phoneticPr fontId="4"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</si>
  <si>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4"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</si>
  <si>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4" type="noConversion"/>
  </si>
  <si>
    <r>
      <rPr>
        <sz val="11.5"/>
        <rFont val="標楷體"/>
        <family val="4"/>
        <charset val="136"/>
      </rPr>
      <t xml:space="preserve">保險費率
</t>
    </r>
    <r>
      <rPr>
        <sz val="11.5"/>
        <rFont val="Times New Roman"/>
        <family val="1"/>
      </rPr>
      <t>(%)</t>
    </r>
    <phoneticPr fontId="4" type="noConversion"/>
  </si>
  <si>
    <r>
      <rPr>
        <sz val="11.5"/>
        <rFont val="標楷體"/>
        <family val="4"/>
        <charset val="136"/>
      </rPr>
      <t>金額</t>
    </r>
    <phoneticPr fontId="4"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</si>
  <si>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4"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</si>
  <si>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；職業災害保險費全部由投保單位負擔。</t>
    </r>
  </si>
  <si>
    <r>
      <rPr>
        <sz val="12"/>
        <rFont val="標楷體"/>
        <family val="4"/>
        <charset val="136"/>
      </rPr>
      <t>普通事故及職業災害保險費由被保險人負擔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1" type="noConversion"/>
  </si>
  <si>
    <r>
      <rPr>
        <sz val="12"/>
        <rFont val="標楷體"/>
        <family val="4"/>
        <charset val="136"/>
      </rPr>
      <t>普通事故及職業災害保險費由被保險人負擔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1" type="noConversion"/>
  </si>
  <si>
    <r>
      <rPr>
        <sz val="12"/>
        <rFont val="標楷體"/>
        <family val="4"/>
        <charset val="136"/>
      </rPr>
      <t>普通事故及職業災害保險費由被保險人負擔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1" type="noConversion"/>
  </si>
  <si>
    <r>
      <rPr>
        <sz val="12"/>
        <rFont val="標楷體"/>
        <family val="4"/>
        <charset val="136"/>
      </rPr>
      <t>職業災害保險費全部由投保單位負擔。</t>
    </r>
    <phoneticPr fontId="21"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</si>
  <si>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</si>
  <si>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8"/>
        <rFont val="標楷體"/>
        <family val="4"/>
        <charset val="136"/>
      </rPr>
      <t>保險給付分析表</t>
    </r>
    <phoneticPr fontId="4" type="noConversion"/>
  </si>
  <si>
    <r>
      <rPr>
        <sz val="12"/>
        <rFont val="標楷體"/>
        <family val="4"/>
        <charset val="136"/>
      </rPr>
      <t>科目及業務項目</t>
    </r>
    <phoneticPr fontId="21" type="noConversion"/>
  </si>
  <si>
    <r>
      <rPr>
        <sz val="10.5"/>
        <rFont val="標楷體"/>
        <family val="4"/>
        <charset val="136"/>
      </rPr>
      <t>人次、人日、件數或給付次數</t>
    </r>
    <phoneticPr fontId="21" type="noConversion"/>
  </si>
  <si>
    <r>
      <rPr>
        <sz val="12"/>
        <rFont val="標楷體"/>
        <family val="4"/>
        <charset val="136"/>
      </rPr>
      <t>每單位金額</t>
    </r>
    <r>
      <rPr>
        <sz val="12"/>
        <rFont val="Times New Roman"/>
        <family val="1"/>
      </rPr>
      <t xml:space="preserve">      </t>
    </r>
    <r>
      <rPr>
        <sz val="12"/>
        <rFont val="標楷體"/>
        <family val="4"/>
        <charset val="136"/>
      </rPr>
      <t>（元）</t>
    </r>
    <phoneticPr fontId="21" type="noConversion"/>
  </si>
  <si>
    <r>
      <rPr>
        <sz val="12"/>
        <rFont val="標楷體"/>
        <family val="4"/>
        <charset val="136"/>
      </rPr>
      <t>預算數</t>
    </r>
    <phoneticPr fontId="21" type="noConversion"/>
  </si>
  <si>
    <r>
      <rPr>
        <sz val="12"/>
        <rFont val="標楷體"/>
        <family val="4"/>
        <charset val="136"/>
      </rPr>
      <t>說明</t>
    </r>
    <phoneticPr fontId="21" type="noConversion"/>
  </si>
  <si>
    <r>
      <rPr>
        <sz val="18"/>
        <rFont val="標楷體"/>
        <family val="4"/>
        <charset val="136"/>
      </rPr>
      <t>雜項業務成本分析表─職業災害勞工保護</t>
    </r>
    <phoneticPr fontId="4" type="noConversion"/>
  </si>
  <si>
    <r>
      <rPr>
        <b/>
        <sz val="12"/>
        <rFont val="標楷體"/>
        <family val="4"/>
        <charset val="136"/>
      </rPr>
      <t>雜項業務成本─職業災害勞工保護</t>
    </r>
    <phoneticPr fontId="21" type="noConversion"/>
  </si>
  <si>
    <r>
      <rPr>
        <sz val="12"/>
        <rFont val="標楷體"/>
        <family val="4"/>
        <charset val="136"/>
      </rPr>
      <t>全年預估</t>
    </r>
    <r>
      <rPr>
        <sz val="12"/>
        <rFont val="Times New Roman"/>
        <family val="1"/>
      </rPr>
      <t>2</t>
    </r>
    <r>
      <rPr>
        <sz val="12"/>
        <rFont val="標楷體"/>
        <family val="4"/>
        <charset val="136"/>
      </rPr>
      <t>人次。</t>
    </r>
    <phoneticPr fontId="21" type="noConversion"/>
  </si>
  <si>
    <r>
      <rPr>
        <sz val="12"/>
        <rFont val="標楷體"/>
        <family val="4"/>
        <charset val="136"/>
      </rPr>
      <t>全年預估</t>
    </r>
    <r>
      <rPr>
        <sz val="12"/>
        <rFont val="Times New Roman"/>
        <family val="1"/>
      </rPr>
      <t>1</t>
    </r>
    <r>
      <rPr>
        <sz val="12"/>
        <rFont val="標楷體"/>
        <family val="4"/>
        <charset val="136"/>
      </rPr>
      <t>件。</t>
    </r>
    <phoneticPr fontId="21" type="noConversion"/>
  </si>
  <si>
    <r>
      <rPr>
        <sz val="12"/>
        <rFont val="標楷體"/>
        <family val="4"/>
        <charset val="136"/>
      </rPr>
      <t>全年預估</t>
    </r>
    <r>
      <rPr>
        <sz val="12"/>
        <rFont val="Times New Roman"/>
        <family val="1"/>
      </rPr>
      <t>2</t>
    </r>
    <r>
      <rPr>
        <sz val="12"/>
        <rFont val="標楷體"/>
        <family val="4"/>
        <charset val="136"/>
      </rPr>
      <t>件。</t>
    </r>
    <phoneticPr fontId="21" type="noConversion"/>
  </si>
  <si>
    <t>　投融資業務收入</t>
    <phoneticPr fontId="4" type="noConversion"/>
  </si>
  <si>
    <t>　　兌換賸餘</t>
    <phoneticPr fontId="4" type="noConversion"/>
  </si>
  <si>
    <t>　　存款利息收入</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</si>
  <si>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</si>
  <si>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</si>
  <si>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</si>
  <si>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</si>
  <si>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其他補助收入</t>
    <phoneticPr fontId="4" type="noConversion"/>
  </si>
  <si>
    <t>業務成本與費用</t>
    <phoneticPr fontId="4" type="noConversion"/>
  </si>
  <si>
    <t xml:space="preserve">  投融資業務成本</t>
    <phoneticPr fontId="4" type="noConversion"/>
  </si>
  <si>
    <t>　　兌換短絀</t>
    <phoneticPr fontId="4" type="noConversion"/>
  </si>
  <si>
    <t>　保險成本</t>
    <phoneticPr fontId="4" type="noConversion"/>
  </si>
  <si>
    <t>　　保險給付</t>
    <phoneticPr fontId="4" type="noConversion"/>
  </si>
  <si>
    <t>　　提存責任準備</t>
    <phoneticPr fontId="4" type="noConversion"/>
  </si>
  <si>
    <t>　　呆帳</t>
    <phoneticPr fontId="4" type="noConversion"/>
  </si>
  <si>
    <t>　其他業務成本</t>
    <phoneticPr fontId="4" type="noConversion"/>
  </si>
  <si>
    <t>　　雜項業務成本</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</si>
  <si>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</si>
  <si>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</si>
  <si>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</si>
  <si>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</si>
  <si>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收回呆帳</t>
    <phoneticPr fontId="4" type="noConversion"/>
  </si>
  <si>
    <t>　　雜項收入</t>
    <phoneticPr fontId="4" type="noConversion"/>
  </si>
  <si>
    <t>　其他業務外費用</t>
    <phoneticPr fontId="4" type="noConversion"/>
  </si>
  <si>
    <t>　　雜項費用</t>
    <phoneticPr fontId="4" type="noConversion"/>
  </si>
  <si>
    <r>
      <rPr>
        <sz val="12"/>
        <rFont val="標楷體"/>
        <family val="4"/>
        <charset val="136"/>
      </rPr>
      <t>　本期賸餘</t>
    </r>
    <phoneticPr fontId="4" type="noConversion"/>
  </si>
  <si>
    <t>預算數</t>
    <phoneticPr fontId="4" type="noConversion"/>
  </si>
  <si>
    <t>說明</t>
  </si>
  <si>
    <t>科目及業務項目</t>
    <phoneticPr fontId="4" type="noConversion"/>
  </si>
  <si>
    <t>單位</t>
  </si>
  <si>
    <t>投融資業務收入</t>
    <phoneticPr fontId="4" type="noConversion"/>
  </si>
  <si>
    <t>年</t>
    <phoneticPr fontId="4" type="noConversion"/>
  </si>
  <si>
    <t xml:space="preserve">  勞工保險</t>
    <phoneticPr fontId="4" type="noConversion"/>
  </si>
  <si>
    <t>　  融資業務收入</t>
    <phoneticPr fontId="4" type="noConversion"/>
  </si>
  <si>
    <t xml:space="preserve">        普通事故</t>
    <phoneticPr fontId="4" type="noConversion"/>
  </si>
  <si>
    <t xml:space="preserve">        職業災害</t>
    <phoneticPr fontId="4" type="noConversion"/>
  </si>
  <si>
    <t xml:space="preserve">      普通事故</t>
    <phoneticPr fontId="4" type="noConversion"/>
  </si>
  <si>
    <t xml:space="preserve">  　存款利息收入</t>
    <phoneticPr fontId="4" type="noConversion"/>
  </si>
  <si>
    <t xml:space="preserve">        國內</t>
    <phoneticPr fontId="4" type="noConversion"/>
  </si>
  <si>
    <t xml:space="preserve">        國外</t>
    <phoneticPr fontId="4" type="noConversion"/>
  </si>
  <si>
    <t xml:space="preserve">      職業災害</t>
    <phoneticPr fontId="4" type="noConversion"/>
  </si>
  <si>
    <t xml:space="preserve">  就業保險</t>
    <phoneticPr fontId="4" type="noConversion"/>
  </si>
  <si>
    <t>　  存款利息收入</t>
    <phoneticPr fontId="4" type="noConversion"/>
  </si>
  <si>
    <t xml:space="preserve">  職業災害勞工保護</t>
    <phoneticPr fontId="4" type="noConversion"/>
  </si>
  <si>
    <t xml:space="preserve">      未加保勞工</t>
    <phoneticPr fontId="4" type="noConversion"/>
  </si>
  <si>
    <t xml:space="preserve">      票券</t>
    <phoneticPr fontId="4" type="noConversion"/>
  </si>
  <si>
    <t>　　  債券</t>
    <phoneticPr fontId="4" type="noConversion"/>
  </si>
  <si>
    <t xml:space="preserve"> 　   國外投資</t>
    <phoneticPr fontId="4" type="noConversion"/>
  </si>
  <si>
    <t>　    國內</t>
    <phoneticPr fontId="4" type="noConversion"/>
  </si>
  <si>
    <t>　    國外</t>
    <phoneticPr fontId="4" type="noConversion"/>
  </si>
  <si>
    <t>保險收入</t>
  </si>
  <si>
    <t>　  保費收入</t>
    <phoneticPr fontId="4" type="noConversion"/>
  </si>
  <si>
    <t>　    保費收入</t>
    <phoneticPr fontId="4" type="noConversion"/>
  </si>
  <si>
    <t>　    滯納金收入</t>
    <phoneticPr fontId="4" type="noConversion"/>
  </si>
  <si>
    <t>　  收回責任準備</t>
    <phoneticPr fontId="4" type="noConversion"/>
  </si>
  <si>
    <t>其他業務收入</t>
    <phoneticPr fontId="4" type="noConversion"/>
  </si>
  <si>
    <t>　  其他補助收入</t>
    <phoneticPr fontId="4" type="noConversion"/>
  </si>
  <si>
    <t>　  雜項業務收入</t>
    <phoneticPr fontId="4" type="noConversion"/>
  </si>
  <si>
    <t>投融資業務成本</t>
    <phoneticPr fontId="4" type="noConversion"/>
  </si>
  <si>
    <t>科  目</t>
    <phoneticPr fontId="4" type="noConversion"/>
  </si>
  <si>
    <t xml:space="preserve">                 其他費用</t>
    <phoneticPr fontId="4" type="noConversion"/>
  </si>
  <si>
    <t xml:space="preserve">    雜項業務成本</t>
    <phoneticPr fontId="4" type="noConversion"/>
  </si>
  <si>
    <t xml:space="preserve">      租金與利息</t>
    <phoneticPr fontId="4" type="noConversion"/>
  </si>
  <si>
    <t xml:space="preserve">      其他</t>
    <phoneticPr fontId="4" type="noConversion"/>
  </si>
  <si>
    <t>　    其他</t>
    <phoneticPr fontId="4" type="noConversion"/>
  </si>
  <si>
    <t>　      保險給付</t>
    <phoneticPr fontId="4" type="noConversion"/>
  </si>
  <si>
    <t xml:space="preserve">    其他業務外費用</t>
    <phoneticPr fontId="4" type="noConversion"/>
  </si>
  <si>
    <t xml:space="preserve">      雜項費用</t>
    <phoneticPr fontId="4" type="noConversion"/>
  </si>
  <si>
    <t xml:space="preserve">    財務收入</t>
    <phoneticPr fontId="4" type="noConversion"/>
  </si>
  <si>
    <t xml:space="preserve">      利息收入</t>
    <phoneticPr fontId="4" type="noConversion"/>
  </si>
  <si>
    <t xml:space="preserve">    其他業務外收入</t>
    <phoneticPr fontId="4" type="noConversion"/>
  </si>
  <si>
    <t>　    服務費用</t>
    <phoneticPr fontId="4" type="noConversion"/>
  </si>
  <si>
    <t>　　    水電費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</si>
  <si>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</si>
  <si>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</si>
  <si>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</si>
  <si>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</si>
  <si>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</si>
  <si>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　　    土地稅</t>
    <phoneticPr fontId="4" type="noConversion"/>
  </si>
  <si>
    <t>　　    規費</t>
    <phoneticPr fontId="4" type="noConversion"/>
  </si>
  <si>
    <t>　      房屋稅</t>
    <phoneticPr fontId="4" type="noConversion"/>
  </si>
  <si>
    <t>　    其他</t>
    <phoneticPr fontId="4" type="noConversion"/>
  </si>
  <si>
    <t>　      其他費用</t>
    <phoneticPr fontId="4" type="noConversion"/>
  </si>
  <si>
    <t>　        普通事故</t>
    <phoneticPr fontId="4" type="noConversion"/>
  </si>
  <si>
    <t>　      一般服務費</t>
    <phoneticPr fontId="4" type="noConversion"/>
  </si>
  <si>
    <t>　    租金與利息</t>
    <phoneticPr fontId="4" type="noConversion"/>
  </si>
  <si>
    <t>　　    利息</t>
    <phoneticPr fontId="4" type="noConversion"/>
  </si>
  <si>
    <t>　　　  攤銷</t>
    <phoneticPr fontId="4" type="noConversion"/>
  </si>
  <si>
    <r>
      <rPr>
        <sz val="18"/>
        <rFont val="標楷體"/>
        <family val="4"/>
        <charset val="136"/>
      </rPr>
      <t>保險成本說明</t>
    </r>
    <phoneticPr fontId="4" type="noConversion"/>
  </si>
  <si>
    <t>　          普通事故</t>
    <phoneticPr fontId="4" type="noConversion"/>
  </si>
  <si>
    <t>　      　  職業災害</t>
    <phoneticPr fontId="4" type="noConversion"/>
  </si>
  <si>
    <t>　        其他費用</t>
    <phoneticPr fontId="4" type="noConversion"/>
  </si>
  <si>
    <t>保費收入</t>
    <phoneticPr fontId="4" type="noConversion"/>
  </si>
  <si>
    <t xml:space="preserve">  　保費收入</t>
    <phoneticPr fontId="4" type="noConversion"/>
  </si>
  <si>
    <t>　    產業勞工及交通公
      用事業之員工</t>
    <phoneticPr fontId="4" type="noConversion"/>
  </si>
  <si>
    <t xml:space="preserve">　    公司、行號之員工 </t>
    <phoneticPr fontId="4" type="noConversion"/>
  </si>
  <si>
    <t>　    漁會之甲類會員</t>
    <phoneticPr fontId="4" type="noConversion"/>
  </si>
  <si>
    <t>　    職業勞工</t>
    <phoneticPr fontId="4" type="noConversion"/>
  </si>
  <si>
    <t>　    其他各業勞工</t>
    <phoneticPr fontId="4" type="noConversion"/>
  </si>
  <si>
    <t>　    被裁減資遣員工</t>
    <phoneticPr fontId="4" type="noConversion"/>
  </si>
  <si>
    <t>　    外僱船員</t>
    <phoneticPr fontId="4" type="noConversion"/>
  </si>
  <si>
    <t>　    職災續保勞工</t>
    <phoneticPr fontId="4" type="noConversion"/>
  </si>
  <si>
    <t>　    育嬰續保人員</t>
    <phoneticPr fontId="4" type="noConversion"/>
  </si>
  <si>
    <t xml:space="preserve">　    新聞、文化、公益
      及合作事業之員工          </t>
    <phoneticPr fontId="4" type="noConversion"/>
  </si>
  <si>
    <t>　    政府機關及公、私
      立學校之員工</t>
    <phoneticPr fontId="4" type="noConversion"/>
  </si>
  <si>
    <t>　    職業訓練機構接受
      訓練者</t>
    <phoneticPr fontId="4" type="noConversion"/>
  </si>
  <si>
    <t>　    受僱從事漁業生產
      之勞動者</t>
    <phoneticPr fontId="4" type="noConversion"/>
  </si>
  <si>
    <t>　    已領取老年給付勞
      工再參加職業災害
      保險者</t>
    <phoneticPr fontId="4" type="noConversion"/>
  </si>
  <si>
    <t xml:space="preserve">　    公司、行號之員工          </t>
    <phoneticPr fontId="4" type="noConversion"/>
  </si>
  <si>
    <t xml:space="preserve">　    新聞、文化、公益
      及合作事業之員工  </t>
    <phoneticPr fontId="4" type="noConversion"/>
  </si>
  <si>
    <t>　　    政府補助</t>
    <phoneticPr fontId="21" type="noConversion"/>
  </si>
  <si>
    <t>　 　   被保險人負擔</t>
    <phoneticPr fontId="21" type="noConversion"/>
  </si>
  <si>
    <t>　　　  投保單位負擔</t>
    <phoneticPr fontId="21" type="noConversion"/>
  </si>
  <si>
    <t>　　    被保險人負擔</t>
    <phoneticPr fontId="21" type="noConversion"/>
  </si>
  <si>
    <t>　　    投保單位負擔</t>
    <phoneticPr fontId="21" type="noConversion"/>
  </si>
  <si>
    <t>　  　  政府補助</t>
    <phoneticPr fontId="21" type="noConversion"/>
  </si>
  <si>
    <t xml:space="preserve">      政府機關及公、私
      立學校之員工</t>
    <phoneticPr fontId="4" type="noConversion"/>
  </si>
  <si>
    <t xml:space="preserve"> 　   職災續保勞工</t>
    <phoneticPr fontId="4" type="noConversion"/>
  </si>
  <si>
    <t>　　 　 政府補助</t>
    <phoneticPr fontId="21" type="noConversion"/>
  </si>
  <si>
    <t>　 　   政府補助</t>
    <phoneticPr fontId="21" type="noConversion"/>
  </si>
  <si>
    <t xml:space="preserve"> 　 　  被保險人負擔</t>
    <phoneticPr fontId="21" type="noConversion"/>
  </si>
  <si>
    <t>　　　  政府補助</t>
    <phoneticPr fontId="21" type="noConversion"/>
  </si>
  <si>
    <t>　   　 政府補助</t>
    <phoneticPr fontId="21" type="noConversion"/>
  </si>
  <si>
    <t>　      被保險人負擔</t>
    <phoneticPr fontId="21" type="noConversion"/>
  </si>
  <si>
    <t xml:space="preserve"> 　  　 被保險人負擔</t>
    <phoneticPr fontId="21" type="noConversion"/>
  </si>
  <si>
    <t>　   　 專款補助</t>
    <phoneticPr fontId="21" type="noConversion"/>
  </si>
  <si>
    <t xml:space="preserve">  　    被保險人負擔</t>
    <phoneticPr fontId="21" type="noConversion"/>
  </si>
  <si>
    <t>　      投保單位負擔</t>
    <phoneticPr fontId="21" type="noConversion"/>
  </si>
  <si>
    <t xml:space="preserve">    融資業務成本</t>
    <phoneticPr fontId="4" type="noConversion"/>
  </si>
  <si>
    <t xml:space="preserve">      服務費用</t>
    <phoneticPr fontId="4" type="noConversion"/>
  </si>
  <si>
    <t xml:space="preserve">        印刷裝訂與廣告費</t>
    <phoneticPr fontId="4" type="noConversion"/>
  </si>
  <si>
    <t xml:space="preserve">        保險費</t>
    <phoneticPr fontId="4" type="noConversion"/>
  </si>
  <si>
    <t xml:space="preserve">        專業服務費</t>
    <phoneticPr fontId="4" type="noConversion"/>
  </si>
  <si>
    <t xml:space="preserve">        土地稅</t>
    <phoneticPr fontId="4" type="noConversion"/>
  </si>
  <si>
    <t>　　    保險給付</t>
    <phoneticPr fontId="4" type="noConversion"/>
  </si>
  <si>
    <t>　  滯納金收入</t>
    <phoneticPr fontId="4" type="noConversion"/>
  </si>
  <si>
    <t xml:space="preserve"> 　 滯納金收入</t>
    <phoneticPr fontId="4" type="noConversion"/>
  </si>
  <si>
    <t>　      各項短絀</t>
    <phoneticPr fontId="4" type="noConversion"/>
  </si>
  <si>
    <r>
      <rPr>
        <b/>
        <sz val="16"/>
        <rFont val="標楷體"/>
        <family val="4"/>
        <charset val="136"/>
      </rPr>
      <t>圖</t>
    </r>
    <r>
      <rPr>
        <b/>
        <sz val="16"/>
        <rFont val="Times New Roman"/>
        <family val="1"/>
      </rPr>
      <t>1</t>
    </r>
    <r>
      <rPr>
        <sz val="16"/>
        <rFont val="Times New Roman"/>
        <family val="1"/>
      </rPr>
      <t/>
    </r>
    <phoneticPr fontId="72" type="noConversion"/>
  </si>
  <si>
    <r>
      <rPr>
        <sz val="12"/>
        <rFont val="標楷體"/>
        <family val="4"/>
        <charset val="136"/>
      </rPr>
      <t>單位：新臺幣千元</t>
    </r>
  </si>
  <si>
    <t>收        入</t>
  </si>
  <si>
    <t>成本與費用及賸餘</t>
    <phoneticPr fontId="72" type="noConversion"/>
  </si>
  <si>
    <t>業務成本與費用</t>
  </si>
  <si>
    <t xml:space="preserve">  投融資業務收入</t>
    <phoneticPr fontId="72" type="noConversion"/>
  </si>
  <si>
    <t xml:space="preserve">  投融資業務成本</t>
    <phoneticPr fontId="72" type="noConversion"/>
  </si>
  <si>
    <t xml:space="preserve">  保險收入</t>
    <phoneticPr fontId="72" type="noConversion"/>
  </si>
  <si>
    <t xml:space="preserve">  保險成本</t>
    <phoneticPr fontId="72" type="noConversion"/>
  </si>
  <si>
    <t xml:space="preserve">  其他業務收入</t>
    <phoneticPr fontId="72" type="noConversion"/>
  </si>
  <si>
    <t xml:space="preserve">  其他業務成本</t>
    <phoneticPr fontId="72" type="noConversion"/>
  </si>
  <si>
    <t>業務外費用</t>
  </si>
  <si>
    <t>本期賸餘</t>
  </si>
  <si>
    <t>收入總額</t>
    <phoneticPr fontId="72" type="noConversion"/>
  </si>
  <si>
    <t>成本、費用及賸餘總額</t>
    <phoneticPr fontId="72" type="noConversion"/>
  </si>
  <si>
    <r>
      <rPr>
        <b/>
        <sz val="16"/>
        <rFont val="標楷體"/>
        <family val="4"/>
        <charset val="136"/>
      </rPr>
      <t>圖</t>
    </r>
    <r>
      <rPr>
        <b/>
        <sz val="16"/>
        <rFont val="Times New Roman"/>
        <family val="1"/>
      </rPr>
      <t>2</t>
    </r>
    <phoneticPr fontId="72"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</si>
  <si>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</si>
  <si>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2" type="noConversion"/>
  </si>
  <si>
    <t>收入</t>
  </si>
  <si>
    <t xml:space="preserve">  業務收入</t>
    <phoneticPr fontId="72" type="noConversion"/>
  </si>
  <si>
    <t xml:space="preserve">  業務外收入</t>
    <phoneticPr fontId="72" type="noConversion"/>
  </si>
  <si>
    <t>收入合計</t>
  </si>
  <si>
    <t>費用</t>
    <phoneticPr fontId="72" type="noConversion"/>
  </si>
  <si>
    <t xml:space="preserve">  業務成本與費用</t>
    <phoneticPr fontId="72" type="noConversion"/>
  </si>
  <si>
    <t xml:space="preserve">  業務外費用</t>
    <phoneticPr fontId="72" type="noConversion"/>
  </si>
  <si>
    <t>費用合計</t>
    <phoneticPr fontId="72" type="noConversion"/>
  </si>
  <si>
    <t>本期賸餘</t>
    <phoneticPr fontId="72" type="noConversion"/>
  </si>
  <si>
    <r>
      <t xml:space="preserve">              </t>
    </r>
    <r>
      <rPr>
        <sz val="12"/>
        <rFont val="標楷體"/>
        <family val="4"/>
        <charset val="136"/>
      </rPr>
      <t>年度
項目　</t>
    </r>
    <phoneticPr fontId="72"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</si>
  <si>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</si>
  <si>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</si>
  <si>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</si>
  <si>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</si>
  <si>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</si>
  <si>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</si>
  <si>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2" type="noConversion"/>
  </si>
  <si>
    <r>
      <rPr>
        <sz val="18"/>
        <rFont val="標楷體"/>
        <family val="4"/>
        <charset val="136"/>
      </rPr>
      <t>收支餘絀預計表（勞工保險部分）</t>
    </r>
    <phoneticPr fontId="4"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</si>
  <si>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</si>
  <si>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</si>
  <si>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</si>
  <si>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4" type="noConversion"/>
  </si>
  <si>
    <r>
      <rPr>
        <sz val="11"/>
        <rFont val="標楷體"/>
        <family val="4"/>
        <charset val="136"/>
      </rPr>
      <t>％</t>
    </r>
  </si>
  <si>
    <t>　投融資業務收入</t>
    <phoneticPr fontId="4" type="noConversion"/>
  </si>
  <si>
    <t>　　  普通事故</t>
    <phoneticPr fontId="4" type="noConversion"/>
  </si>
  <si>
    <t>　　融資業務收入</t>
    <phoneticPr fontId="4" type="noConversion"/>
  </si>
  <si>
    <t>　　兌換賸餘</t>
    <phoneticPr fontId="4" type="noConversion"/>
  </si>
  <si>
    <t>　　存款利息收入</t>
    <phoneticPr fontId="4" type="noConversion"/>
  </si>
  <si>
    <t xml:space="preserve">      職業災害</t>
    <phoneticPr fontId="4" type="noConversion"/>
  </si>
  <si>
    <t>　　手續費收入</t>
    <phoneticPr fontId="4" type="noConversion"/>
  </si>
  <si>
    <t>　　  普通事故</t>
    <phoneticPr fontId="4" type="noConversion"/>
  </si>
  <si>
    <t xml:space="preserve">      職業災害</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</si>
  <si>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</si>
  <si>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</si>
  <si>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</si>
  <si>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</si>
  <si>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雜項業務收入</t>
    <phoneticPr fontId="4" type="noConversion"/>
  </si>
  <si>
    <t>業務成本與費用</t>
    <phoneticPr fontId="4" type="noConversion"/>
  </si>
  <si>
    <t xml:space="preserve">  投融資業務成本</t>
    <phoneticPr fontId="4" type="noConversion"/>
  </si>
  <si>
    <t>　　融資業務成本</t>
    <phoneticPr fontId="4" type="noConversion"/>
  </si>
  <si>
    <t>　　兌換短絀</t>
    <phoneticPr fontId="4" type="noConversion"/>
  </si>
  <si>
    <t>　保險成本</t>
    <phoneticPr fontId="4" type="noConversion"/>
  </si>
  <si>
    <t>　　保險給付</t>
    <phoneticPr fontId="4" type="noConversion"/>
  </si>
  <si>
    <t>　　提存責任準備</t>
    <phoneticPr fontId="4" type="noConversion"/>
  </si>
  <si>
    <t>　　呆帳</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</si>
  <si>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</si>
  <si>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</si>
  <si>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</si>
  <si>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</si>
  <si>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違規罰款收入</t>
    <phoneticPr fontId="4" type="noConversion"/>
  </si>
  <si>
    <t>　　收回呆帳</t>
    <phoneticPr fontId="4" type="noConversion"/>
  </si>
  <si>
    <t>　　雜項收入</t>
    <phoneticPr fontId="4" type="noConversion"/>
  </si>
  <si>
    <t>業務外費用</t>
    <phoneticPr fontId="4" type="noConversion"/>
  </si>
  <si>
    <t>　其他業務外費用</t>
    <phoneticPr fontId="4" type="noConversion"/>
  </si>
  <si>
    <t>　　雜項費用</t>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</si>
  <si>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</si>
  <si>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</si>
  <si>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預計平衡表（勞工保險部分）</t>
    </r>
    <phoneticPr fontId="4" type="noConversion"/>
  </si>
  <si>
    <t>科目</t>
    <phoneticPr fontId="4" type="noConversion"/>
  </si>
  <si>
    <t>資產</t>
    <phoneticPr fontId="4" type="noConversion"/>
  </si>
  <si>
    <t>流動資產</t>
    <phoneticPr fontId="4" type="noConversion"/>
  </si>
  <si>
    <t>　現金</t>
    <phoneticPr fontId="4" type="noConversion"/>
  </si>
  <si>
    <t>　流動金融資產</t>
    <phoneticPr fontId="4" type="noConversion"/>
  </si>
  <si>
    <t>　應收款項</t>
    <phoneticPr fontId="4" type="noConversion"/>
  </si>
  <si>
    <t>　預付款項</t>
    <phoneticPr fontId="4" type="noConversion"/>
  </si>
  <si>
    <t>　短期貸墊款</t>
    <phoneticPr fontId="4" type="noConversion"/>
  </si>
  <si>
    <t>投資、長期應收款、貸墊款及準備金</t>
    <phoneticPr fontId="4" type="noConversion"/>
  </si>
  <si>
    <t>　長期貸款</t>
    <phoneticPr fontId="4" type="noConversion"/>
  </si>
  <si>
    <t>其他資產</t>
    <phoneticPr fontId="4" type="noConversion"/>
  </si>
  <si>
    <t>　什項資產</t>
    <phoneticPr fontId="4" type="noConversion"/>
  </si>
  <si>
    <t>合計</t>
    <phoneticPr fontId="4" type="noConversion"/>
  </si>
  <si>
    <t>負債</t>
    <phoneticPr fontId="4" type="noConversion"/>
  </si>
  <si>
    <t>流動負債</t>
    <phoneticPr fontId="4" type="noConversion"/>
  </si>
  <si>
    <t>　應付款項</t>
    <phoneticPr fontId="4" type="noConversion"/>
  </si>
  <si>
    <t>　預收款項</t>
    <phoneticPr fontId="4" type="noConversion"/>
  </si>
  <si>
    <t>　流動金融負債</t>
    <phoneticPr fontId="4" type="noConversion"/>
  </si>
  <si>
    <t>其他負債</t>
    <phoneticPr fontId="4" type="noConversion"/>
  </si>
  <si>
    <t>　負債準備</t>
    <phoneticPr fontId="4" type="noConversion"/>
  </si>
  <si>
    <t>　什項負債</t>
    <phoneticPr fontId="4" type="noConversion"/>
  </si>
  <si>
    <t>淨值</t>
    <phoneticPr fontId="4" type="noConversion"/>
  </si>
  <si>
    <t>基金</t>
    <phoneticPr fontId="4" type="noConversion"/>
  </si>
  <si>
    <t>　基金</t>
    <phoneticPr fontId="4" type="noConversion"/>
  </si>
  <si>
    <t>公積</t>
    <phoneticPr fontId="4" type="noConversion"/>
  </si>
  <si>
    <t>　資本公積</t>
    <phoneticPr fontId="4" type="noConversion"/>
  </si>
  <si>
    <t>　累積賸餘</t>
    <phoneticPr fontId="4" type="noConversion"/>
  </si>
  <si>
    <r>
      <rPr>
        <sz val="18"/>
        <rFont val="標楷體"/>
        <family val="4"/>
        <charset val="136"/>
      </rPr>
      <t>收支餘絀預計表（就業保險部分）</t>
    </r>
    <phoneticPr fontId="4" type="noConversion"/>
  </si>
  <si>
    <r>
      <rPr>
        <sz val="11"/>
        <rFont val="標楷體"/>
        <family val="4"/>
        <charset val="136"/>
      </rPr>
      <t>金</t>
    </r>
    <r>
      <rPr>
        <sz val="11"/>
        <rFont val="Times New Roman"/>
        <family val="1"/>
      </rPr>
      <t xml:space="preserve"> </t>
    </r>
    <r>
      <rPr>
        <sz val="11"/>
        <rFont val="標楷體"/>
        <family val="4"/>
        <charset val="136"/>
      </rPr>
      <t>額</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</si>
  <si>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</si>
  <si>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</si>
  <si>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預計平衡表（就業保險部分）</t>
    </r>
    <phoneticPr fontId="4" type="noConversion"/>
  </si>
  <si>
    <t>科目</t>
    <phoneticPr fontId="4" type="noConversion"/>
  </si>
  <si>
    <t>資產</t>
    <phoneticPr fontId="4" type="noConversion"/>
  </si>
  <si>
    <t>流動資產</t>
    <phoneticPr fontId="4" type="noConversion"/>
  </si>
  <si>
    <t>　現金</t>
    <phoneticPr fontId="4" type="noConversion"/>
  </si>
  <si>
    <t>　流動金融資產</t>
    <phoneticPr fontId="4" type="noConversion"/>
  </si>
  <si>
    <t>　應收款項</t>
    <phoneticPr fontId="4" type="noConversion"/>
  </si>
  <si>
    <t>投資、長期應收款、貸墊款及準備金</t>
    <phoneticPr fontId="4" type="noConversion"/>
  </si>
  <si>
    <t>其他資產</t>
    <phoneticPr fontId="4" type="noConversion"/>
  </si>
  <si>
    <t>流動負債</t>
    <phoneticPr fontId="4" type="noConversion"/>
  </si>
  <si>
    <t>其他負債</t>
    <phoneticPr fontId="4" type="noConversion"/>
  </si>
  <si>
    <t>淨值</t>
    <phoneticPr fontId="4" type="noConversion"/>
  </si>
  <si>
    <t>其他資產</t>
    <phoneticPr fontId="4" type="noConversion"/>
  </si>
  <si>
    <t>　什項資產</t>
    <phoneticPr fontId="4" type="noConversion"/>
  </si>
  <si>
    <t>合計</t>
    <phoneticPr fontId="4" type="noConversion"/>
  </si>
  <si>
    <t>負債</t>
    <phoneticPr fontId="4" type="noConversion"/>
  </si>
  <si>
    <t>流動負債</t>
    <phoneticPr fontId="4" type="noConversion"/>
  </si>
  <si>
    <t>　短期債務</t>
    <phoneticPr fontId="4" type="noConversion"/>
  </si>
  <si>
    <t>　應付款項</t>
    <phoneticPr fontId="4" type="noConversion"/>
  </si>
  <si>
    <t>　預收款項</t>
    <phoneticPr fontId="4" type="noConversion"/>
  </si>
  <si>
    <t>其他負債</t>
    <phoneticPr fontId="4" type="noConversion"/>
  </si>
  <si>
    <t>　什項負債</t>
    <phoneticPr fontId="4" type="noConversion"/>
  </si>
  <si>
    <t>淨值</t>
    <phoneticPr fontId="4" type="noConversion"/>
  </si>
  <si>
    <t>　累積賸餘</t>
    <phoneticPr fontId="4" type="noConversion"/>
  </si>
  <si>
    <t>　　  未加保勞工</t>
    <phoneticPr fontId="4" type="noConversion"/>
  </si>
  <si>
    <t>　　  已加保勞工</t>
    <phoneticPr fontId="4" type="noConversion"/>
  </si>
  <si>
    <t xml:space="preserve">    雜項收入</t>
    <phoneticPr fontId="4" type="noConversion"/>
  </si>
  <si>
    <t xml:space="preserve">  其他業務外收入</t>
    <phoneticPr fontId="4" type="noConversion"/>
  </si>
  <si>
    <t>　　  未加保勞工</t>
    <phoneticPr fontId="4" type="noConversion"/>
  </si>
  <si>
    <t>　　雜項業務成本</t>
    <phoneticPr fontId="4" type="noConversion"/>
  </si>
  <si>
    <t>　其他業務成本</t>
    <phoneticPr fontId="4" type="noConversion"/>
  </si>
  <si>
    <t>　　  已加保勞工</t>
    <phoneticPr fontId="4" type="noConversion"/>
  </si>
  <si>
    <t>　　提存責任準備</t>
    <phoneticPr fontId="4" type="noConversion"/>
  </si>
  <si>
    <t>業務成本與費用</t>
    <phoneticPr fontId="4" type="noConversion"/>
  </si>
  <si>
    <t>　　雜項業務收入</t>
    <phoneticPr fontId="4" type="noConversion"/>
  </si>
  <si>
    <t>　　其他補助收入</t>
    <phoneticPr fontId="4" type="noConversion"/>
  </si>
  <si>
    <t>　其他業務收入</t>
    <phoneticPr fontId="4" type="noConversion"/>
  </si>
  <si>
    <t xml:space="preserve">  　收回責任準備</t>
    <phoneticPr fontId="4" type="noConversion"/>
  </si>
  <si>
    <t>　保險收入</t>
    <phoneticPr fontId="4" type="noConversion"/>
  </si>
  <si>
    <t>　　存款利息收入</t>
    <phoneticPr fontId="4" type="noConversion"/>
  </si>
  <si>
    <t>　投融資業務收入</t>
    <phoneticPr fontId="4" type="noConversion"/>
  </si>
  <si>
    <r>
      <rPr>
        <sz val="11"/>
        <rFont val="標楷體"/>
        <family val="4"/>
        <charset val="136"/>
      </rPr>
      <t>金</t>
    </r>
    <r>
      <rPr>
        <sz val="11"/>
        <rFont val="Times New Roman"/>
        <family val="1"/>
      </rPr>
      <t xml:space="preserve"> </t>
    </r>
    <r>
      <rPr>
        <sz val="11"/>
        <rFont val="標楷體"/>
        <family val="4"/>
        <charset val="136"/>
      </rPr>
      <t>額</t>
    </r>
    <phoneticPr fontId="4" type="noConversion"/>
  </si>
  <si>
    <t xml:space="preserve">      </t>
    <phoneticPr fontId="4" type="noConversion"/>
  </si>
  <si>
    <r>
      <rPr>
        <sz val="18"/>
        <rFont val="標楷體"/>
        <family val="4"/>
        <charset val="136"/>
      </rPr>
      <t>收支餘絀預計表（職業災害勞工保護部分）</t>
    </r>
    <r>
      <rPr>
        <sz val="18"/>
        <rFont val="Times New Roman"/>
        <family val="1"/>
      </rPr>
      <t xml:space="preserve"> </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</si>
  <si>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</si>
  <si>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</si>
  <si>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t>合計</t>
    <phoneticPr fontId="4" type="noConversion"/>
  </si>
  <si>
    <t>　累積賸餘</t>
    <phoneticPr fontId="4" type="noConversion"/>
  </si>
  <si>
    <t>淨值</t>
    <phoneticPr fontId="4" type="noConversion"/>
  </si>
  <si>
    <t>　什項負債</t>
    <phoneticPr fontId="4" type="noConversion"/>
  </si>
  <si>
    <t>　負債準備</t>
    <phoneticPr fontId="4" type="noConversion"/>
  </si>
  <si>
    <t>其他負債</t>
    <phoneticPr fontId="4" type="noConversion"/>
  </si>
  <si>
    <t>　應付款項</t>
    <phoneticPr fontId="4" type="noConversion"/>
  </si>
  <si>
    <t>流動負債</t>
    <phoneticPr fontId="4" type="noConversion"/>
  </si>
  <si>
    <t>負債</t>
    <phoneticPr fontId="4" type="noConversion"/>
  </si>
  <si>
    <t>　什項資產</t>
    <phoneticPr fontId="4" type="noConversion"/>
  </si>
  <si>
    <t>其他資產</t>
    <phoneticPr fontId="4" type="noConversion"/>
  </si>
  <si>
    <t>　預付款項</t>
    <phoneticPr fontId="4" type="noConversion"/>
  </si>
  <si>
    <t>　應收款項</t>
    <phoneticPr fontId="4" type="noConversion"/>
  </si>
  <si>
    <t>　現金</t>
    <phoneticPr fontId="4" type="noConversion"/>
  </si>
  <si>
    <t>流動資產</t>
    <phoneticPr fontId="4" type="noConversion"/>
  </si>
  <si>
    <t>資產</t>
    <phoneticPr fontId="4" type="noConversion"/>
  </si>
  <si>
    <t>科目</t>
    <phoneticPr fontId="4" type="noConversion"/>
  </si>
  <si>
    <r>
      <rPr>
        <sz val="18"/>
        <rFont val="標楷體"/>
        <family val="4"/>
        <charset val="136"/>
      </rPr>
      <t>預計平衡表（職業災害勞工保護部分）</t>
    </r>
    <r>
      <rPr>
        <sz val="18"/>
        <rFont val="Times New Roman"/>
        <family val="1"/>
      </rPr>
      <t xml:space="preserve"> </t>
    </r>
    <phoneticPr fontId="4" type="noConversion"/>
  </si>
  <si>
    <t>　　投資業務成本</t>
    <phoneticPr fontId="4" type="noConversion"/>
  </si>
  <si>
    <r>
      <rPr>
        <sz val="12"/>
        <rFont val="標楷體"/>
        <family val="4"/>
        <charset val="136"/>
      </rPr>
      <t>　本期賸餘（短絀）</t>
    </r>
    <phoneticPr fontId="4" type="noConversion"/>
  </si>
  <si>
    <r>
      <t>2.</t>
    </r>
    <r>
      <rPr>
        <sz val="12"/>
        <rFont val="標楷體"/>
        <family val="4"/>
        <charset val="136"/>
      </rPr>
      <t>利息費用</t>
    </r>
    <phoneticPr fontId="4" type="noConversion"/>
  </si>
  <si>
    <r>
      <t>1.</t>
    </r>
    <r>
      <rPr>
        <sz val="12"/>
        <rFont val="標楷體"/>
        <family val="4"/>
        <charset val="136"/>
      </rPr>
      <t xml:space="preserve">提存呆帳
</t>
    </r>
    <r>
      <rPr>
        <sz val="12"/>
        <rFont val="Times New Roman"/>
        <family val="1"/>
      </rPr>
      <t xml:space="preserve">   
   </t>
    </r>
    <phoneticPr fontId="4" type="noConversion"/>
  </si>
  <si>
    <r>
      <t>2.</t>
    </r>
    <r>
      <rPr>
        <sz val="12"/>
        <rFont val="標楷體"/>
        <family val="4"/>
        <charset val="136"/>
      </rPr>
      <t>折舊</t>
    </r>
    <phoneticPr fontId="4" type="noConversion"/>
  </si>
  <si>
    <r>
      <t>3.</t>
    </r>
    <r>
      <rPr>
        <sz val="12"/>
        <rFont val="標楷體"/>
        <family val="4"/>
        <charset val="136"/>
      </rPr>
      <t>攤銷</t>
    </r>
    <phoneticPr fontId="4" type="noConversion"/>
  </si>
  <si>
    <r>
      <t>4.</t>
    </r>
    <r>
      <rPr>
        <sz val="12"/>
        <rFont val="標楷體"/>
        <family val="4"/>
        <charset val="136"/>
      </rPr>
      <t>提存責任準備</t>
    </r>
    <r>
      <rPr>
        <sz val="12"/>
        <rFont val="Times New Roman"/>
        <family val="1"/>
      </rPr>
      <t/>
    </r>
    <phoneticPr fontId="4" type="noConversion"/>
  </si>
  <si>
    <r>
      <rPr>
        <b/>
        <sz val="12"/>
        <rFont val="標楷體"/>
        <family val="4"/>
        <charset val="136"/>
      </rPr>
      <t>　　業務活動之淨現金流入（流出）</t>
    </r>
    <phoneticPr fontId="4" type="noConversion"/>
  </si>
  <si>
    <t>籌資活動之現金流量</t>
    <phoneticPr fontId="4" type="noConversion"/>
  </si>
  <si>
    <r>
      <rPr>
        <sz val="12"/>
        <rFont val="標楷體"/>
        <family val="4"/>
        <charset val="136"/>
      </rPr>
      <t xml:space="preserve">　增加短期債務、流動金融負債及其他負債
</t>
    </r>
    <r>
      <rPr>
        <sz val="12"/>
        <rFont val="Times New Roman"/>
        <family val="1"/>
      </rPr>
      <t xml:space="preserve">    </t>
    </r>
    <phoneticPr fontId="4" type="noConversion"/>
  </si>
  <si>
    <r>
      <rPr>
        <sz val="12"/>
        <rFont val="標楷體"/>
        <family val="4"/>
        <charset val="136"/>
      </rPr>
      <t xml:space="preserve">　減少短期債務、流動金融負債及其他負債
</t>
    </r>
    <r>
      <rPr>
        <sz val="12"/>
        <rFont val="Times New Roman"/>
        <family val="1"/>
      </rPr>
      <t xml:space="preserve">    </t>
    </r>
    <phoneticPr fontId="4" type="noConversion"/>
  </si>
  <si>
    <r>
      <t xml:space="preserve">   </t>
    </r>
    <r>
      <rPr>
        <sz val="12"/>
        <rFont val="標楷體"/>
        <family val="4"/>
        <charset val="136"/>
      </rPr>
      <t>支付利息</t>
    </r>
    <phoneticPr fontId="4" type="noConversion"/>
  </si>
  <si>
    <t xml:space="preserve">  收取利息</t>
    <phoneticPr fontId="4" type="noConversion"/>
  </si>
  <si>
    <r>
      <t xml:space="preserve">    </t>
    </r>
    <r>
      <rPr>
        <sz val="12"/>
        <rFont val="標楷體"/>
        <family val="4"/>
        <charset val="136"/>
      </rPr>
      <t>利息股利之調整</t>
    </r>
    <phoneticPr fontId="4" type="noConversion"/>
  </si>
  <si>
    <t xml:space="preserve">          國內投資</t>
    <phoneticPr fontId="4" type="noConversion"/>
  </si>
  <si>
    <t>租金及權利金收入明細表</t>
    <phoneticPr fontId="4" type="noConversion"/>
  </si>
  <si>
    <r>
      <rPr>
        <sz val="12"/>
        <rFont val="標楷體"/>
        <family val="4"/>
        <charset val="136"/>
      </rPr>
      <t>科目及業務項目</t>
    </r>
    <phoneticPr fontId="4"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</si>
  <si>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4" type="noConversion"/>
  </si>
  <si>
    <r>
      <rPr>
        <sz val="12"/>
        <rFont val="標楷體"/>
        <family val="4"/>
        <charset val="136"/>
      </rPr>
      <t>說</t>
    </r>
    <r>
      <rPr>
        <sz val="12"/>
        <rFont val="Times New Roman"/>
        <family val="1"/>
      </rPr>
      <t xml:space="preserve">  </t>
    </r>
    <r>
      <rPr>
        <sz val="12"/>
        <rFont val="標楷體"/>
        <family val="4"/>
        <charset val="136"/>
      </rPr>
      <t>明</t>
    </r>
    <phoneticPr fontId="4" type="noConversion"/>
  </si>
  <si>
    <t>出租資產成本明細表</t>
    <phoneticPr fontId="4" type="noConversion"/>
  </si>
  <si>
    <t>　  投資業務成本</t>
    <phoneticPr fontId="4" type="noConversion"/>
  </si>
  <si>
    <t>出租資產成本說明</t>
    <phoneticPr fontId="4" type="noConversion"/>
  </si>
  <si>
    <t xml:space="preserve">      折舊、折耗及攤銷</t>
    <phoneticPr fontId="4" type="noConversion"/>
  </si>
  <si>
    <t xml:space="preserve">        投資性不動產折舊</t>
    <phoneticPr fontId="4" type="noConversion"/>
  </si>
  <si>
    <t xml:space="preserve">    投資業務成本</t>
    <phoneticPr fontId="4" type="noConversion"/>
  </si>
  <si>
    <t>投資性不動產</t>
    <phoneticPr fontId="4" type="noConversion"/>
  </si>
  <si>
    <t>出租資
產成本</t>
    <phoneticPr fontId="4" type="noConversion"/>
  </si>
  <si>
    <t>出租資
產成本</t>
    <phoneticPr fontId="4" type="noConversion"/>
  </si>
  <si>
    <t>投資性不動產收入分析表</t>
    <phoneticPr fontId="4" type="noConversion"/>
  </si>
  <si>
    <t>　租金及權利金收入</t>
    <phoneticPr fontId="4" type="noConversion"/>
  </si>
  <si>
    <t>　　投資業務收入</t>
    <phoneticPr fontId="4" type="noConversion"/>
  </si>
  <si>
    <t xml:space="preserve">  出租資產成本</t>
    <phoneticPr fontId="4" type="noConversion"/>
  </si>
  <si>
    <t>　　投資業務成本</t>
    <phoneticPr fontId="4" type="noConversion"/>
  </si>
  <si>
    <t>說明</t>
    <phoneticPr fontId="4" type="noConversion"/>
  </si>
  <si>
    <t>現金流量預計表（就業保險部分）</t>
    <phoneticPr fontId="4" type="noConversion"/>
  </si>
  <si>
    <t xml:space="preserve">現金流量預計表（職業災害勞工保護部分） </t>
    <phoneticPr fontId="4" type="noConversion"/>
  </si>
  <si>
    <r>
      <rPr>
        <b/>
        <sz val="12"/>
        <rFont val="標楷體"/>
        <family val="4"/>
        <charset val="136"/>
      </rPr>
      <t>籌資活動之現金流量</t>
    </r>
    <phoneticPr fontId="4"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</si>
  <si>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4" type="noConversion"/>
  </si>
  <si>
    <r>
      <rPr>
        <sz val="12"/>
        <rFont val="標楷體"/>
        <family val="4"/>
        <charset val="136"/>
      </rPr>
      <t>支付利息</t>
    </r>
    <r>
      <rPr>
        <sz val="12"/>
        <rFont val="Times New Roman"/>
        <family val="1"/>
      </rPr>
      <t xml:space="preserve"> </t>
    </r>
    <r>
      <rPr>
        <sz val="12"/>
        <rFont val="標楷體"/>
        <family val="4"/>
        <charset val="136"/>
      </rPr>
      <t>千元。</t>
    </r>
    <phoneticPr fontId="4" type="noConversion"/>
  </si>
  <si>
    <r>
      <t>3.</t>
    </r>
    <r>
      <rPr>
        <sz val="12"/>
        <rFont val="標楷體"/>
        <family val="4"/>
        <charset val="136"/>
      </rPr>
      <t>流動負債淨減</t>
    </r>
    <r>
      <rPr>
        <sz val="12"/>
        <rFont val="Times New Roman"/>
        <family val="1"/>
      </rPr>
      <t xml:space="preserve"> </t>
    </r>
    <phoneticPr fontId="4"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</si>
  <si>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4"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</si>
  <si>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4" type="noConversion"/>
  </si>
  <si>
    <t xml:space="preserve">  非流動金融資產</t>
    <phoneticPr fontId="4" type="noConversion"/>
  </si>
  <si>
    <t>　投資性不動產</t>
    <phoneticPr fontId="4" type="noConversion"/>
  </si>
  <si>
    <t>　待處理資產</t>
    <phoneticPr fontId="4" type="noConversion"/>
  </si>
  <si>
    <t>　非流動金融資產</t>
    <phoneticPr fontId="4" type="noConversion"/>
  </si>
  <si>
    <t xml:space="preserve">  流動金融資產</t>
    <phoneticPr fontId="4" type="noConversion"/>
  </si>
  <si>
    <t xml:space="preserve">  租金及權利金收入</t>
    <phoneticPr fontId="4" type="noConversion"/>
  </si>
  <si>
    <t xml:space="preserve">  出租資產成本</t>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</si>
  <si>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</si>
  <si>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</si>
  <si>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</si>
  <si>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4" type="noConversion"/>
  </si>
  <si>
    <r>
      <t xml:space="preserve">    </t>
    </r>
    <r>
      <rPr>
        <sz val="12"/>
        <rFont val="標楷體"/>
        <family val="4"/>
        <charset val="136"/>
      </rPr>
      <t>單位：新臺幣千元</t>
    </r>
    <phoneticPr fontId="4" type="noConversion"/>
  </si>
  <si>
    <r>
      <t>5.</t>
    </r>
    <r>
      <rPr>
        <sz val="12"/>
        <rFont val="標楷體"/>
        <family val="4"/>
        <charset val="136"/>
      </rPr>
      <t>流動負債淨增</t>
    </r>
    <r>
      <rPr>
        <sz val="12"/>
        <rFont val="Times New Roman"/>
        <family val="1"/>
      </rPr>
      <t xml:space="preserve"> </t>
    </r>
    <phoneticPr fontId="4" type="noConversion"/>
  </si>
  <si>
    <t>　    折舊、折耗及攤銷</t>
    <phoneticPr fontId="4" type="noConversion"/>
  </si>
  <si>
    <t>　　    投資性不動產折舊</t>
    <phoneticPr fontId="4" type="noConversion"/>
  </si>
  <si>
    <r>
      <rPr>
        <sz val="18"/>
        <rFont val="標楷體"/>
        <family val="4"/>
        <charset val="136"/>
      </rPr>
      <t>現金流量預計表（勞工保險部分）</t>
    </r>
    <phoneticPr fontId="4" type="noConversion"/>
  </si>
  <si>
    <r>
      <rPr>
        <sz val="12"/>
        <rFont val="標楷體"/>
        <family val="4"/>
        <charset val="136"/>
      </rPr>
      <t>利息收入</t>
    </r>
    <phoneticPr fontId="4" type="noConversion"/>
  </si>
  <si>
    <r>
      <rPr>
        <sz val="12"/>
        <rFont val="標楷體"/>
        <family val="4"/>
        <charset val="136"/>
      </rPr>
      <t>支付利息</t>
    </r>
    <r>
      <rPr>
        <sz val="12"/>
        <rFont val="Times New Roman"/>
        <family val="1"/>
      </rPr>
      <t xml:space="preserve">    </t>
    </r>
    <r>
      <rPr>
        <sz val="12"/>
        <rFont val="標楷體"/>
        <family val="4"/>
        <charset val="136"/>
      </rPr>
      <t>千元。</t>
    </r>
    <phoneticPr fontId="4" type="noConversion"/>
  </si>
  <si>
    <r>
      <t>2.</t>
    </r>
    <r>
      <rPr>
        <sz val="12"/>
        <rFont val="標楷體"/>
        <family val="4"/>
        <charset val="136"/>
      </rPr>
      <t>收回責任準備</t>
    </r>
    <r>
      <rPr>
        <sz val="12"/>
        <rFont val="Times New Roman"/>
        <family val="1"/>
      </rPr>
      <t/>
    </r>
    <phoneticPr fontId="4" type="noConversion"/>
  </si>
  <si>
    <r>
      <t>4.</t>
    </r>
    <r>
      <rPr>
        <sz val="12"/>
        <rFont val="標楷體"/>
        <family val="4"/>
        <charset val="136"/>
      </rPr>
      <t>流動資產淨減</t>
    </r>
    <phoneticPr fontId="4" type="noConversion"/>
  </si>
  <si>
    <r>
      <t xml:space="preserve">    </t>
    </r>
    <r>
      <rPr>
        <sz val="12"/>
        <rFont val="標楷體"/>
        <family val="4"/>
        <charset val="136"/>
      </rPr>
      <t>收取利息</t>
    </r>
    <phoneticPr fontId="4" type="noConversion"/>
  </si>
  <si>
    <r>
      <t xml:space="preserve">    </t>
    </r>
    <r>
      <rPr>
        <sz val="12"/>
        <rFont val="標楷體"/>
        <family val="4"/>
        <charset val="136"/>
      </rPr>
      <t>未計利息股利之本期賸餘（短絀）</t>
    </r>
    <phoneticPr fontId="4" type="noConversion"/>
  </si>
  <si>
    <r>
      <t xml:space="preserve">    </t>
    </r>
    <r>
      <rPr>
        <sz val="12"/>
        <rFont val="標楷體"/>
        <family val="4"/>
        <charset val="136"/>
      </rPr>
      <t>未計利息股利之現金流入（流出）</t>
    </r>
    <phoneticPr fontId="4" type="noConversion"/>
  </si>
  <si>
    <t>　　業務活動之淨現金流入（流出）</t>
    <phoneticPr fontId="4" type="noConversion"/>
  </si>
  <si>
    <t>　　投資活動之淨現金流入（流出）</t>
    <phoneticPr fontId="4" type="noConversion"/>
  </si>
  <si>
    <t>　　籌資活動之淨現金流入（流出）</t>
    <phoneticPr fontId="4" type="noConversion"/>
  </si>
  <si>
    <t>現金及約當現金之淨增（淨減）</t>
    <phoneticPr fontId="4" type="noConversion"/>
  </si>
  <si>
    <t>累積餘絀</t>
    <phoneticPr fontId="4" type="noConversion"/>
  </si>
  <si>
    <t>業務賸餘（短絀）</t>
    <phoneticPr fontId="4" type="noConversion"/>
  </si>
  <si>
    <t>業務外賸餘（短絀）</t>
    <phoneticPr fontId="4" type="noConversion"/>
  </si>
  <si>
    <t>本期賸餘（短絀）</t>
    <phoneticPr fontId="4" type="noConversion"/>
  </si>
  <si>
    <t>現金及約當現金之淨增（淨減）</t>
    <phoneticPr fontId="4" type="noConversion"/>
  </si>
  <si>
    <t>累積餘絀</t>
    <phoneticPr fontId="4" type="noConversion"/>
  </si>
  <si>
    <t>　本期賸餘（短絀）</t>
    <phoneticPr fontId="4" type="noConversion"/>
  </si>
  <si>
    <r>
      <t xml:space="preserve">    </t>
    </r>
    <r>
      <rPr>
        <sz val="12"/>
        <rFont val="標楷體"/>
        <family val="4"/>
        <charset val="136"/>
      </rPr>
      <t>未計利息股利之本期賸餘</t>
    </r>
    <r>
      <rPr>
        <sz val="12"/>
        <rFont val="標楷體"/>
        <family val="4"/>
        <charset val="136"/>
      </rPr>
      <t>（短絀）</t>
    </r>
    <phoneticPr fontId="4" type="noConversion"/>
  </si>
  <si>
    <r>
      <t xml:space="preserve">    </t>
    </r>
    <r>
      <rPr>
        <sz val="12"/>
        <rFont val="標楷體"/>
        <family val="4"/>
        <charset val="136"/>
      </rPr>
      <t>未計利息股利之現金流入</t>
    </r>
    <r>
      <rPr>
        <sz val="12"/>
        <rFont val="標楷體"/>
        <family val="4"/>
        <charset val="136"/>
      </rPr>
      <t>（流出）</t>
    </r>
    <phoneticPr fontId="4" type="noConversion"/>
  </si>
  <si>
    <t>業務外賸餘（短絀）</t>
    <phoneticPr fontId="4" type="noConversion"/>
  </si>
  <si>
    <r>
      <t>2.</t>
    </r>
    <r>
      <rPr>
        <sz val="12"/>
        <rFont val="標楷體"/>
        <family val="4"/>
        <charset val="136"/>
      </rPr>
      <t>提存責任準備</t>
    </r>
    <r>
      <rPr>
        <sz val="12"/>
        <rFont val="Times New Roman"/>
        <family val="1"/>
      </rPr>
      <t/>
    </r>
    <phoneticPr fontId="4" type="noConversion"/>
  </si>
  <si>
    <r>
      <t>3.</t>
    </r>
    <r>
      <rPr>
        <sz val="12"/>
        <rFont val="標楷體"/>
        <family val="4"/>
        <charset val="136"/>
      </rPr>
      <t>折舊</t>
    </r>
    <phoneticPr fontId="4" type="noConversion"/>
  </si>
  <si>
    <t>出租資產成本</t>
    <phoneticPr fontId="4" type="noConversion"/>
  </si>
  <si>
    <t xml:space="preserve">    投資性不動產成本
     （普通事故）</t>
    <phoneticPr fontId="4" type="noConversion"/>
  </si>
  <si>
    <t xml:space="preserve">    投資性不動產成本
    （普通事故）</t>
    <phoneticPr fontId="4" type="noConversion"/>
  </si>
  <si>
    <t>　    稅捐與規費（強制費）</t>
    <phoneticPr fontId="4" type="noConversion"/>
  </si>
  <si>
    <t xml:space="preserve">  　融資業務成本（普通事故）</t>
    <phoneticPr fontId="4" type="noConversion"/>
  </si>
  <si>
    <t>累積餘絀</t>
    <phoneticPr fontId="4" type="noConversion"/>
  </si>
  <si>
    <t>業務賸餘（短絀）</t>
    <phoneticPr fontId="4" type="noConversion"/>
  </si>
  <si>
    <r>
      <rPr>
        <b/>
        <sz val="12"/>
        <rFont val="標楷體"/>
        <family val="4"/>
        <charset val="136"/>
      </rPr>
      <t>　　投資活動之淨現金流入（流出）</t>
    </r>
    <phoneticPr fontId="4" type="noConversion"/>
  </si>
  <si>
    <r>
      <rPr>
        <b/>
        <sz val="12"/>
        <rFont val="標楷體"/>
        <family val="4"/>
        <charset val="136"/>
      </rPr>
      <t>　　籌資活動之淨現金流入（流出）</t>
    </r>
    <phoneticPr fontId="4" type="noConversion"/>
  </si>
  <si>
    <r>
      <rPr>
        <b/>
        <sz val="12"/>
        <rFont val="標楷體"/>
        <family val="4"/>
        <charset val="136"/>
      </rPr>
      <t>現金及約當現金之淨增（淨減）</t>
    </r>
    <phoneticPr fontId="4" type="noConversion"/>
  </si>
  <si>
    <r>
      <t>3.</t>
    </r>
    <r>
      <rPr>
        <sz val="12"/>
        <rFont val="標楷體"/>
        <family val="4"/>
        <charset val="136"/>
      </rPr>
      <t>攤銷</t>
    </r>
    <phoneticPr fontId="4"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</si>
  <si>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4"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</si>
  <si>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4" type="noConversion"/>
  </si>
  <si>
    <t>　遞延資產</t>
    <phoneticPr fontId="4" type="noConversion"/>
  </si>
  <si>
    <t>　待處理資產</t>
    <phoneticPr fontId="4" type="noConversion"/>
  </si>
  <si>
    <t>　遞延負債</t>
    <phoneticPr fontId="4" type="noConversion"/>
  </si>
  <si>
    <r>
      <t>4.</t>
    </r>
    <r>
      <rPr>
        <sz val="12"/>
        <rFont val="標楷體"/>
        <family val="4"/>
        <charset val="136"/>
      </rPr>
      <t>流動負債淨減</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</si>
  <si>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</si>
  <si>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</si>
  <si>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現金流量預計表</t>
    </r>
    <phoneticPr fontId="4" type="noConversion"/>
  </si>
  <si>
    <r>
      <rPr>
        <sz val="12"/>
        <rFont val="標楷體"/>
        <family val="4"/>
        <charset val="136"/>
      </rPr>
      <t>項目</t>
    </r>
    <phoneticPr fontId="4" type="noConversion"/>
  </si>
  <si>
    <r>
      <rPr>
        <sz val="12"/>
        <rFont val="標楷體"/>
        <family val="4"/>
        <charset val="136"/>
      </rPr>
      <t>預算數</t>
    </r>
    <phoneticPr fontId="4" type="noConversion"/>
  </si>
  <si>
    <r>
      <rPr>
        <sz val="12"/>
        <rFont val="標楷體"/>
        <family val="4"/>
        <charset val="136"/>
      </rPr>
      <t>　減少投資、長期應收款、貸墊款及準備金</t>
    </r>
    <phoneticPr fontId="4" type="noConversion"/>
  </si>
  <si>
    <r>
      <rPr>
        <sz val="12"/>
        <rFont val="標楷體"/>
        <family val="4"/>
        <charset val="136"/>
      </rPr>
      <t>係減少其他負債千元。</t>
    </r>
    <phoneticPr fontId="4" type="noConversion"/>
  </si>
  <si>
    <t xml:space="preserve">        旅運費</t>
    <phoneticPr fontId="4" type="noConversion"/>
  </si>
  <si>
    <t>　　 　 旅運費</t>
    <phoneticPr fontId="4" type="noConversion"/>
  </si>
  <si>
    <t>　　 　 郵電費</t>
    <phoneticPr fontId="4" type="noConversion"/>
  </si>
  <si>
    <t>　    材料及用品費</t>
    <phoneticPr fontId="4" type="noConversion"/>
  </si>
  <si>
    <t xml:space="preserve">         旅運費</t>
    <phoneticPr fontId="4" type="noConversion"/>
  </si>
  <si>
    <t xml:space="preserve">       材料及用品費</t>
    <phoneticPr fontId="4" type="noConversion"/>
  </si>
  <si>
    <t xml:space="preserve">       折舊、折耗及攤銷</t>
    <phoneticPr fontId="4" type="noConversion"/>
  </si>
  <si>
    <t>材料及用品費</t>
    <phoneticPr fontId="4" type="noConversion"/>
  </si>
  <si>
    <t>　郵電費</t>
    <phoneticPr fontId="4" type="noConversion"/>
  </si>
  <si>
    <r>
      <rPr>
        <b/>
        <sz val="12"/>
        <rFont val="標楷體"/>
        <family val="4"/>
        <charset val="136"/>
      </rPr>
      <t>投資性不動產收入</t>
    </r>
    <phoneticPr fontId="21" type="noConversion"/>
  </si>
  <si>
    <r>
      <rPr>
        <sz val="12"/>
        <rFont val="標楷體"/>
        <family val="4"/>
        <charset val="136"/>
      </rPr>
      <t>宜蘭市和睦路</t>
    </r>
    <r>
      <rPr>
        <sz val="12"/>
        <rFont val="Times New Roman"/>
        <family val="1"/>
      </rPr>
      <t>1-10</t>
    </r>
    <r>
      <rPr>
        <sz val="12"/>
        <rFont val="標楷體"/>
        <family val="4"/>
        <charset val="136"/>
      </rPr>
      <t>號</t>
    </r>
    <phoneticPr fontId="21" type="noConversion"/>
  </si>
  <si>
    <r>
      <rPr>
        <sz val="12"/>
        <rFont val="標楷體"/>
        <family val="4"/>
        <charset val="136"/>
      </rPr>
      <t>澎湖縣馬公市三民路</t>
    </r>
    <r>
      <rPr>
        <sz val="12"/>
        <rFont val="Times New Roman"/>
        <family val="1"/>
      </rPr>
      <t>36</t>
    </r>
    <r>
      <rPr>
        <sz val="12"/>
        <rFont val="標楷體"/>
        <family val="4"/>
        <charset val="136"/>
      </rPr>
      <t>號</t>
    </r>
    <phoneticPr fontId="21" type="noConversion"/>
  </si>
  <si>
    <t>　遞延負債</t>
    <phoneticPr fontId="4" type="noConversion"/>
  </si>
  <si>
    <t>　　違規罰款收入</t>
    <phoneticPr fontId="4" type="noConversion"/>
  </si>
  <si>
    <t>　　  已加保勞工</t>
    <phoneticPr fontId="4" type="noConversion"/>
  </si>
  <si>
    <t xml:space="preserve">    違規罰款收入</t>
    <phoneticPr fontId="4" type="noConversion"/>
  </si>
  <si>
    <t>　減少流動金融資產及短期貸墊款</t>
    <phoneticPr fontId="4" type="noConversion"/>
  </si>
  <si>
    <t>勞動部勞工保險局</t>
    <phoneticPr fontId="4" type="noConversion"/>
  </si>
  <si>
    <t>勞動部勞動基金運用局</t>
    <phoneticPr fontId="4" type="noConversion"/>
  </si>
  <si>
    <t>勞動部職業安全衛生署</t>
    <phoneticPr fontId="4" type="noConversion"/>
  </si>
  <si>
    <r>
      <rPr>
        <sz val="12"/>
        <rFont val="標楷體"/>
        <family val="4"/>
        <charset val="136"/>
      </rPr>
      <t>普通事故保險費由被保險人負擔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；無職業災害保險費。</t>
    </r>
    <phoneticPr fontId="21" type="noConversion"/>
  </si>
  <si>
    <t>業務活動之現金流量</t>
  </si>
  <si>
    <t>　　</t>
    <phoneticPr fontId="4" type="noConversion"/>
  </si>
  <si>
    <t>期初現金及約當現金</t>
  </si>
  <si>
    <t>　　業務活動之淨現金流入（流出）</t>
    <phoneticPr fontId="4" type="noConversion"/>
  </si>
  <si>
    <t>投資活動之現金流量</t>
    <phoneticPr fontId="4" type="noConversion"/>
  </si>
  <si>
    <t>　減少流動金融資產及短期貸墊款</t>
    <phoneticPr fontId="4" type="noConversion"/>
  </si>
  <si>
    <t>　減少投資、長期應收款、貸墊款及準備金</t>
    <phoneticPr fontId="4" type="noConversion"/>
  </si>
  <si>
    <t>　減少無形資產及其他資產</t>
    <phoneticPr fontId="4" type="noConversion"/>
  </si>
  <si>
    <t>　增加流動金融資產及短期貸墊款</t>
    <phoneticPr fontId="4" type="noConversion"/>
  </si>
  <si>
    <t>　增加投資、長期應收款、貸墊款及準備金</t>
    <phoneticPr fontId="4" type="noConversion"/>
  </si>
  <si>
    <t>　增加無形資產及其他資產</t>
    <phoneticPr fontId="4" type="noConversion"/>
  </si>
  <si>
    <t>　　投資活動之淨現金流入（流出）</t>
    <phoneticPr fontId="4" type="noConversion"/>
  </si>
  <si>
    <t>籌資活動之現金流量</t>
    <phoneticPr fontId="4" type="noConversion"/>
  </si>
  <si>
    <t xml:space="preserve">　增加短期債務、流動金融負債及其他負債
    </t>
    <phoneticPr fontId="4" type="noConversion"/>
  </si>
  <si>
    <t xml:space="preserve">　減少短期債務、流動金融負債及其他負債
    </t>
    <phoneticPr fontId="4" type="noConversion"/>
  </si>
  <si>
    <t xml:space="preserve">   支付利息</t>
    <phoneticPr fontId="4" type="noConversion"/>
  </si>
  <si>
    <r>
      <t>1.</t>
    </r>
    <r>
      <rPr>
        <sz val="12"/>
        <rFont val="標楷體"/>
        <family val="4"/>
        <charset val="136"/>
      </rPr>
      <t>利息收入</t>
    </r>
    <phoneticPr fontId="4" type="noConversion"/>
  </si>
  <si>
    <t>期末現金及約當現金</t>
    <phoneticPr fontId="4" type="noConversion"/>
  </si>
  <si>
    <t>租金及權利金收入</t>
    <phoneticPr fontId="4" type="noConversion"/>
  </si>
  <si>
    <t xml:space="preserve">  勞工保險</t>
    <phoneticPr fontId="4" type="noConversion"/>
  </si>
  <si>
    <t>　  投資性不動產收入</t>
    <phoneticPr fontId="4" type="noConversion"/>
  </si>
  <si>
    <t>年</t>
    <phoneticPr fontId="4" type="noConversion"/>
  </si>
  <si>
    <t xml:space="preserve">      普通事故</t>
    <phoneticPr fontId="4" type="noConversion"/>
  </si>
  <si>
    <t xml:space="preserve">        職業災害</t>
    <phoneticPr fontId="4" type="noConversion"/>
  </si>
  <si>
    <t xml:space="preserve">        普通事故</t>
    <phoneticPr fontId="4" type="noConversion"/>
  </si>
  <si>
    <t xml:space="preserve">  就業保險</t>
    <phoneticPr fontId="4" type="noConversion"/>
  </si>
  <si>
    <t xml:space="preserve">  　投資業務收入</t>
    <phoneticPr fontId="4" type="noConversion"/>
  </si>
  <si>
    <t xml:space="preserve">  　  權益證券</t>
    <phoneticPr fontId="4" type="noConversion"/>
  </si>
  <si>
    <t xml:space="preserve"> 　　   普通事故</t>
    <phoneticPr fontId="4" type="noConversion"/>
  </si>
  <si>
    <t xml:space="preserve"> 　　     國外投資</t>
    <phoneticPr fontId="4" type="noConversion"/>
  </si>
  <si>
    <t>　  投資業務收入</t>
    <phoneticPr fontId="4" type="noConversion"/>
  </si>
  <si>
    <t xml:space="preserve">      已加保勞工</t>
    <phoneticPr fontId="4" type="noConversion"/>
  </si>
  <si>
    <t>　    已加保勞工</t>
    <phoneticPr fontId="4" type="noConversion"/>
  </si>
  <si>
    <r>
      <rPr>
        <sz val="12"/>
        <rFont val="標楷體"/>
        <family val="4"/>
        <charset val="136"/>
      </rPr>
      <t>本項目全數由勞動部職業安全衛生署辦理。</t>
    </r>
    <phoneticPr fontId="4" type="noConversion"/>
  </si>
  <si>
    <t xml:space="preserve">      違規罰款收入</t>
    <phoneticPr fontId="4" type="noConversion"/>
  </si>
  <si>
    <t xml:space="preserve">      收回呆帳</t>
    <phoneticPr fontId="4" type="noConversion"/>
  </si>
  <si>
    <t xml:space="preserve">      雜項收入</t>
    <phoneticPr fontId="4" type="noConversion"/>
  </si>
  <si>
    <t xml:space="preserve">    財務收入</t>
    <phoneticPr fontId="4" type="noConversion"/>
  </si>
  <si>
    <t xml:space="preserve">      利息收入</t>
    <phoneticPr fontId="4" type="noConversion"/>
  </si>
  <si>
    <t xml:space="preserve">    其他業務外收入</t>
    <phoneticPr fontId="4" type="noConversion"/>
  </si>
  <si>
    <t xml:space="preserve">      收回呆帳</t>
    <phoneticPr fontId="4" type="noConversion"/>
  </si>
  <si>
    <t>出租資產成本</t>
    <phoneticPr fontId="4" type="noConversion"/>
  </si>
  <si>
    <t xml:space="preserve">        水電費</t>
    <phoneticPr fontId="4" type="noConversion"/>
  </si>
  <si>
    <t xml:space="preserve">        修理保養及保固費</t>
    <phoneticPr fontId="4" type="noConversion"/>
  </si>
  <si>
    <t xml:space="preserve">        一般服務費</t>
    <phoneticPr fontId="4" type="noConversion"/>
  </si>
  <si>
    <t xml:space="preserve">      稅捐與規費（強制費）</t>
    <phoneticPr fontId="4" type="noConversion"/>
  </si>
  <si>
    <t xml:space="preserve">        房屋稅</t>
    <phoneticPr fontId="4" type="noConversion"/>
  </si>
  <si>
    <t xml:space="preserve">        規費</t>
    <phoneticPr fontId="4" type="noConversion"/>
  </si>
  <si>
    <t xml:space="preserve">        其他費用</t>
    <phoneticPr fontId="4" type="noConversion"/>
  </si>
  <si>
    <t>　    服務費用</t>
    <phoneticPr fontId="4" type="noConversion"/>
  </si>
  <si>
    <t>　　 　 印刷裝訂與廣告費</t>
    <phoneticPr fontId="4" type="noConversion"/>
  </si>
  <si>
    <t>　        職業災害</t>
    <phoneticPr fontId="4" type="noConversion"/>
  </si>
  <si>
    <t>　　    用品消耗</t>
    <phoneticPr fontId="4" type="noConversion"/>
  </si>
  <si>
    <t>　    短絀、賠償與保險給付</t>
    <phoneticPr fontId="4" type="noConversion"/>
  </si>
  <si>
    <t>　　    各項短絀</t>
    <phoneticPr fontId="4" type="noConversion"/>
  </si>
  <si>
    <t>　  兌換短絀（普通事故）</t>
    <phoneticPr fontId="4" type="noConversion"/>
  </si>
  <si>
    <t>　  兌換短絀</t>
    <phoneticPr fontId="4" type="noConversion"/>
  </si>
  <si>
    <t xml:space="preserve">       服務費用</t>
    <phoneticPr fontId="4" type="noConversion"/>
  </si>
  <si>
    <t xml:space="preserve">         郵電費</t>
    <phoneticPr fontId="4" type="noConversion"/>
  </si>
  <si>
    <t xml:space="preserve">         印刷裝訂與廣告費</t>
    <phoneticPr fontId="4" type="noConversion"/>
  </si>
  <si>
    <t xml:space="preserve">         一般服務費</t>
    <phoneticPr fontId="4" type="noConversion"/>
  </si>
  <si>
    <t xml:space="preserve">         專業服務費</t>
    <phoneticPr fontId="4" type="noConversion"/>
  </si>
  <si>
    <t xml:space="preserve">         用品消耗</t>
    <phoneticPr fontId="4" type="noConversion"/>
  </si>
  <si>
    <t xml:space="preserve">         攤銷</t>
    <phoneticPr fontId="4" type="noConversion"/>
  </si>
  <si>
    <r>
      <rPr>
        <sz val="12"/>
        <rFont val="標楷體"/>
        <family val="4"/>
        <charset val="136"/>
      </rPr>
      <t>編列千元，係職業災害勞工保護未加保勞工之收入減成本與費用後之餘額，悉數轉列提存責任準備。</t>
    </r>
    <phoneticPr fontId="4" type="noConversion"/>
  </si>
  <si>
    <t>其他業務成本</t>
    <phoneticPr fontId="4" type="noConversion"/>
  </si>
  <si>
    <t xml:space="preserve">        利息</t>
    <phoneticPr fontId="4" type="noConversion"/>
  </si>
  <si>
    <t xml:space="preserve">    雜項業務成本(未加保勞工)</t>
    <phoneticPr fontId="4" type="noConversion"/>
  </si>
  <si>
    <t xml:space="preserve"> 　   短絀、賠償與保險給付</t>
    <phoneticPr fontId="4" type="noConversion"/>
  </si>
  <si>
    <t xml:space="preserve">             其他</t>
    <phoneticPr fontId="4" type="noConversion"/>
  </si>
  <si>
    <t>　  雜項業務成本</t>
    <phoneticPr fontId="4" type="noConversion"/>
  </si>
  <si>
    <t>　      利息</t>
    <phoneticPr fontId="4" type="noConversion"/>
  </si>
  <si>
    <t xml:space="preserve">        其他</t>
    <phoneticPr fontId="4" type="noConversion"/>
  </si>
  <si>
    <t xml:space="preserve">   　   其他</t>
    <phoneticPr fontId="4" type="noConversion"/>
  </si>
  <si>
    <t>　        其他費用</t>
    <phoneticPr fontId="4" type="noConversion"/>
  </si>
  <si>
    <t xml:space="preserve">          其他費用 </t>
    <phoneticPr fontId="4" type="noConversion"/>
  </si>
  <si>
    <t>期初基金數額</t>
    <phoneticPr fontId="4" type="noConversion"/>
  </si>
  <si>
    <t>　加：</t>
    <phoneticPr fontId="4" type="noConversion"/>
  </si>
  <si>
    <t>　　以前年度公積撥充</t>
    <phoneticPr fontId="4" type="noConversion"/>
  </si>
  <si>
    <t>　　賸餘撥充</t>
    <phoneticPr fontId="4" type="noConversion"/>
  </si>
  <si>
    <t>　　其他</t>
    <phoneticPr fontId="4" type="noConversion"/>
  </si>
  <si>
    <t>　減：</t>
    <phoneticPr fontId="4" type="noConversion"/>
  </si>
  <si>
    <t>　　填補短絀</t>
    <phoneticPr fontId="4" type="noConversion"/>
  </si>
  <si>
    <t>期末基金數額</t>
    <phoneticPr fontId="4" type="noConversion"/>
  </si>
  <si>
    <t>　投資性不動產</t>
    <phoneticPr fontId="4" type="noConversion"/>
  </si>
  <si>
    <t>　短期債務</t>
    <phoneticPr fontId="4" type="noConversion"/>
  </si>
  <si>
    <t>　基金</t>
    <phoneticPr fontId="4" type="noConversion"/>
  </si>
  <si>
    <t>公積</t>
    <phoneticPr fontId="4" type="noConversion"/>
  </si>
  <si>
    <t xml:space="preserve">  保險給付</t>
    <phoneticPr fontId="4" type="noConversion"/>
  </si>
  <si>
    <t>　  勞工保險</t>
    <phoneticPr fontId="4" type="noConversion"/>
  </si>
  <si>
    <t>　  就業保險</t>
    <phoneticPr fontId="4" type="noConversion"/>
  </si>
  <si>
    <t>　  農民健康保險</t>
    <phoneticPr fontId="4" type="noConversion"/>
  </si>
  <si>
    <t>　  職業災害勞工保護</t>
    <phoneticPr fontId="4" type="noConversion"/>
  </si>
  <si>
    <t>服務費用</t>
  </si>
  <si>
    <t>　水電費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</si>
  <si>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</si>
  <si>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</si>
  <si>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</si>
  <si>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</si>
  <si>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</si>
  <si>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　用品消耗</t>
    <phoneticPr fontId="4" type="noConversion"/>
  </si>
  <si>
    <t>租金與利息</t>
    <phoneticPr fontId="4" type="noConversion"/>
  </si>
  <si>
    <t>　利息</t>
    <phoneticPr fontId="4" type="noConversion"/>
  </si>
  <si>
    <t>　土地稅</t>
    <phoneticPr fontId="4" type="noConversion"/>
  </si>
  <si>
    <t>　房屋稅</t>
    <phoneticPr fontId="4" type="noConversion"/>
  </si>
  <si>
    <t>　規費</t>
    <phoneticPr fontId="4" type="noConversion"/>
  </si>
  <si>
    <t>　保險給付</t>
    <phoneticPr fontId="4" type="noConversion"/>
  </si>
  <si>
    <t>　提存</t>
    <phoneticPr fontId="4" type="noConversion"/>
  </si>
  <si>
    <t>其他</t>
    <phoneticPr fontId="4" type="noConversion"/>
  </si>
  <si>
    <t>　其他費用</t>
    <phoneticPr fontId="4" type="noConversion"/>
  </si>
  <si>
    <t>總　　　　　計</t>
    <phoneticPr fontId="4" type="noConversion"/>
  </si>
  <si>
    <t>　水電費</t>
    <phoneticPr fontId="4" type="noConversion"/>
  </si>
  <si>
    <t>　郵電費</t>
    <phoneticPr fontId="4" type="noConversion"/>
  </si>
  <si>
    <t>　旅運費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</si>
  <si>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</si>
  <si>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</si>
  <si>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</si>
  <si>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</si>
  <si>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</si>
  <si>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材料及用品費</t>
    <phoneticPr fontId="4" type="noConversion"/>
  </si>
  <si>
    <t>　用品消耗</t>
    <phoneticPr fontId="4" type="noConversion"/>
  </si>
  <si>
    <t>租金與利息</t>
    <phoneticPr fontId="4" type="noConversion"/>
  </si>
  <si>
    <t>　利息</t>
    <phoneticPr fontId="4" type="noConversion"/>
  </si>
  <si>
    <t>折舊、折耗及攤銷</t>
    <phoneticPr fontId="4" type="noConversion"/>
  </si>
  <si>
    <t>　投資性不動產折舊</t>
    <phoneticPr fontId="4" type="noConversion"/>
  </si>
  <si>
    <t>　攤銷</t>
    <phoneticPr fontId="4" type="noConversion"/>
  </si>
  <si>
    <t>稅捐與規費(強制費)</t>
    <phoneticPr fontId="4" type="noConversion"/>
  </si>
  <si>
    <t>　土地稅</t>
    <phoneticPr fontId="4" type="noConversion"/>
  </si>
  <si>
    <t>　房屋稅</t>
    <phoneticPr fontId="4" type="noConversion"/>
  </si>
  <si>
    <t>　規費</t>
    <phoneticPr fontId="4" type="noConversion"/>
  </si>
  <si>
    <t>短絀、賠償與保險給付</t>
    <phoneticPr fontId="4" type="noConversion"/>
  </si>
  <si>
    <t>　各項短絀</t>
    <phoneticPr fontId="4" type="noConversion"/>
  </si>
  <si>
    <t>　保險給付</t>
    <phoneticPr fontId="4" type="noConversion"/>
  </si>
  <si>
    <t>　提存</t>
    <phoneticPr fontId="4" type="noConversion"/>
  </si>
  <si>
    <t>其他</t>
    <phoneticPr fontId="4" type="noConversion"/>
  </si>
  <si>
    <t>　其他費用</t>
    <phoneticPr fontId="4" type="noConversion"/>
  </si>
  <si>
    <t>總　　　　　計</t>
    <phoneticPr fontId="4" type="noConversion"/>
  </si>
  <si>
    <t>折舊、折耗及攤銷</t>
    <phoneticPr fontId="4" type="noConversion"/>
  </si>
  <si>
    <t>　投資性不動產折舊</t>
    <phoneticPr fontId="4" type="noConversion"/>
  </si>
  <si>
    <t>　攤銷</t>
    <phoneticPr fontId="4" type="noConversion"/>
  </si>
  <si>
    <t>稅捐與規費(強制費)</t>
    <phoneticPr fontId="4" type="noConversion"/>
  </si>
  <si>
    <t>短絀、賠償與保險給付</t>
    <phoneticPr fontId="4" type="noConversion"/>
  </si>
  <si>
    <t>　各項短絀</t>
    <phoneticPr fontId="4"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</si>
  <si>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1"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</si>
  <si>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1"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</si>
  <si>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1"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</si>
  <si>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t>
    </r>
    <r>
      <rPr>
        <sz val="12"/>
        <rFont val="標楷體"/>
        <family val="4"/>
        <charset val="136"/>
      </rPr>
      <t>、</t>
    </r>
    <r>
      <rPr>
        <sz val="12"/>
        <rFont val="Times New Roman"/>
        <family val="1"/>
      </rPr>
      <t>27-1</t>
    </r>
    <r>
      <rPr>
        <sz val="12"/>
        <rFont val="標楷體"/>
        <family val="4"/>
        <charset val="136"/>
      </rPr>
      <t>、</t>
    </r>
    <r>
      <rPr>
        <sz val="12"/>
        <rFont val="Times New Roman"/>
        <family val="1"/>
      </rPr>
      <t>29</t>
    </r>
    <r>
      <rPr>
        <sz val="12"/>
        <rFont val="標楷體"/>
        <family val="4"/>
        <charset val="136"/>
      </rPr>
      <t>、</t>
    </r>
    <r>
      <rPr>
        <sz val="12"/>
        <rFont val="Times New Roman"/>
        <family val="1"/>
      </rPr>
      <t>31</t>
    </r>
    <r>
      <rPr>
        <sz val="12"/>
        <rFont val="標楷體"/>
        <family val="4"/>
        <charset val="136"/>
      </rPr>
      <t>、</t>
    </r>
    <r>
      <rPr>
        <sz val="12"/>
        <rFont val="Times New Roman"/>
        <family val="1"/>
      </rPr>
      <t>33</t>
    </r>
    <r>
      <rPr>
        <sz val="12"/>
        <rFont val="標楷體"/>
        <family val="4"/>
        <charset val="136"/>
      </rPr>
      <t>號</t>
    </r>
    <phoneticPr fontId="21" type="noConversion"/>
  </si>
  <si>
    <r>
      <rPr>
        <sz val="12"/>
        <rFont val="標楷體"/>
        <family val="4"/>
        <charset val="136"/>
      </rPr>
      <t>花蓮市自由街</t>
    </r>
    <r>
      <rPr>
        <sz val="12"/>
        <rFont val="Times New Roman"/>
        <family val="1"/>
      </rPr>
      <t>140</t>
    </r>
    <r>
      <rPr>
        <sz val="12"/>
        <rFont val="標楷體"/>
        <family val="4"/>
        <charset val="136"/>
      </rPr>
      <t>號</t>
    </r>
    <phoneticPr fontId="21"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</si>
  <si>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1"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</si>
  <si>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1"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</si>
  <si>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1"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</si>
  <si>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4"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</si>
  <si>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4" type="noConversion"/>
  </si>
  <si>
    <t xml:space="preserve">    滯納金收入</t>
    <phoneticPr fontId="4" type="noConversion"/>
  </si>
  <si>
    <r>
      <rPr>
        <sz val="12"/>
        <rFont val="標楷體"/>
        <family val="4"/>
        <charset val="136"/>
      </rPr>
      <t>考量農保被保險人年齡層老化及凋零，申領農保重度身心障礙給付及喪葬津貼經本局逕予退保人數增加，暨主管機關要求基層農會及本局積極清查農保被保險人加保資格，致農保退保人數增加，使農保投保總人數逐年下降等因素編列。</t>
    </r>
    <phoneticPr fontId="4" type="noConversion"/>
  </si>
  <si>
    <t>　  　  被保險人負擔</t>
    <phoneticPr fontId="21" type="noConversion"/>
  </si>
  <si>
    <t xml:space="preserve">      職業訓練機構接受
      訓練者</t>
    <phoneticPr fontId="4" type="noConversion"/>
  </si>
  <si>
    <t>　 　   投保單位負擔</t>
    <phoneticPr fontId="21" type="noConversion"/>
  </si>
  <si>
    <t>　　 　 被保險人負擔</t>
    <phoneticPr fontId="21" type="noConversion"/>
  </si>
  <si>
    <t xml:space="preserve">      公司、行號之員工          </t>
    <phoneticPr fontId="4" type="noConversion"/>
  </si>
  <si>
    <t xml:space="preserve"> 　     政府補助</t>
    <phoneticPr fontId="21" type="noConversion"/>
  </si>
  <si>
    <t>　　  　被保險人負擔</t>
    <phoneticPr fontId="21" type="noConversion"/>
  </si>
  <si>
    <r>
      <rPr>
        <sz val="11"/>
        <rFont val="標楷體"/>
        <family val="4"/>
        <charset val="136"/>
      </rPr>
      <t>依照職業災害勞工職業重建補助辦法公告受理申請及補助。</t>
    </r>
    <phoneticPr fontId="21" type="noConversion"/>
  </si>
  <si>
    <r>
      <rPr>
        <sz val="11"/>
        <rFont val="標楷體"/>
        <family val="4"/>
        <charset val="136"/>
      </rPr>
      <t>全年預估</t>
    </r>
    <r>
      <rPr>
        <sz val="11"/>
        <rFont val="Times New Roman"/>
        <family val="1"/>
      </rPr>
      <t>2</t>
    </r>
    <r>
      <rPr>
        <sz val="11"/>
        <rFont val="標楷體"/>
        <family val="4"/>
        <charset val="136"/>
      </rPr>
      <t>件。</t>
    </r>
    <phoneticPr fontId="21" type="noConversion"/>
  </si>
  <si>
    <r>
      <rPr>
        <sz val="11"/>
        <rFont val="標楷體"/>
        <family val="4"/>
        <charset val="136"/>
      </rPr>
      <t>全年預估</t>
    </r>
    <r>
      <rPr>
        <sz val="11"/>
        <rFont val="Times New Roman"/>
        <family val="1"/>
      </rPr>
      <t>4</t>
    </r>
    <r>
      <rPr>
        <sz val="11"/>
        <rFont val="標楷體"/>
        <family val="4"/>
        <charset val="136"/>
      </rPr>
      <t>件。</t>
    </r>
    <phoneticPr fontId="21" type="noConversion"/>
  </si>
  <si>
    <t>　調整項目</t>
    <phoneticPr fontId="4"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</si>
  <si>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</si>
  <si>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4" type="noConversion"/>
  </si>
  <si>
    <t xml:space="preserve">  收取利息</t>
    <phoneticPr fontId="4" type="noConversion"/>
  </si>
  <si>
    <t xml:space="preserve">  旅運費</t>
    <phoneticPr fontId="4" type="noConversion"/>
  </si>
  <si>
    <r>
      <t>4.</t>
    </r>
    <r>
      <rPr>
        <sz val="12"/>
        <rFont val="標楷體"/>
        <family val="4"/>
        <charset val="136"/>
      </rPr>
      <t>攤銷</t>
    </r>
    <phoneticPr fontId="4" type="noConversion"/>
  </si>
  <si>
    <r>
      <rPr>
        <sz val="12"/>
        <rFont val="標楷體"/>
        <family val="4"/>
        <charset val="136"/>
      </rPr>
      <t>係勞工保險業務減少其他資產千元。</t>
    </r>
    <phoneticPr fontId="4" type="noConversion"/>
  </si>
  <si>
    <r>
      <rPr>
        <sz val="12"/>
        <rFont val="標楷體"/>
        <family val="4"/>
        <charset val="136"/>
      </rPr>
      <t>利息收入</t>
    </r>
    <phoneticPr fontId="4" type="noConversion"/>
  </si>
  <si>
    <r>
      <rPr>
        <sz val="12"/>
        <rFont val="標楷體"/>
        <family val="4"/>
        <charset val="136"/>
      </rPr>
      <t>千元</t>
    </r>
    <phoneticPr fontId="4" type="noConversion"/>
  </si>
  <si>
    <r>
      <t>7.</t>
    </r>
    <r>
      <rPr>
        <sz val="12"/>
        <rFont val="標楷體"/>
        <family val="4"/>
        <charset val="136"/>
      </rPr>
      <t>其他</t>
    </r>
    <phoneticPr fontId="4" type="noConversion"/>
  </si>
  <si>
    <t>　增加無形資產、遞延借項及其他資產</t>
    <phoneticPr fontId="4" type="noConversion"/>
  </si>
  <si>
    <t>期末現金及約當現金</t>
  </si>
  <si>
    <t xml:space="preserve">  利息股利之調整</t>
    <phoneticPr fontId="4" type="noConversion"/>
  </si>
  <si>
    <t xml:space="preserve">  未計利息股利之本期賸餘（短絀）</t>
    <phoneticPr fontId="4" type="noConversion"/>
  </si>
  <si>
    <t xml:space="preserve">  未計利息股利之現金流入（流出）</t>
    <phoneticPr fontId="4" type="noConversion"/>
  </si>
  <si>
    <t xml:space="preserve">  收取利息</t>
    <phoneticPr fontId="4" type="noConversion"/>
  </si>
  <si>
    <t xml:space="preserve">  支付利息</t>
    <phoneticPr fontId="4" type="noConversion"/>
  </si>
  <si>
    <t>　　折減基金繳庫</t>
    <phoneticPr fontId="4" type="noConversion"/>
  </si>
  <si>
    <t xml:space="preserve">  未計利息股利之現金流入（流出）</t>
    <phoneticPr fontId="4" type="noConversion"/>
  </si>
  <si>
    <r>
      <t xml:space="preserve">  </t>
    </r>
    <r>
      <rPr>
        <sz val="12"/>
        <rFont val="標楷體"/>
        <family val="4"/>
        <charset val="136"/>
      </rPr>
      <t>支付利息</t>
    </r>
    <phoneticPr fontId="4" type="noConversion"/>
  </si>
  <si>
    <t>　  籌資活動之淨現金流入（流出）</t>
    <phoneticPr fontId="4" type="noConversion"/>
  </si>
  <si>
    <r>
      <rPr>
        <sz val="12"/>
        <rFont val="標楷體"/>
        <family val="4"/>
        <charset val="136"/>
      </rPr>
      <t>扣除政府補助後依逾期繳納保費數之</t>
    </r>
    <r>
      <rPr>
        <sz val="12"/>
        <rFont val="Times New Roman"/>
        <family val="1"/>
      </rPr>
      <t>0.2%</t>
    </r>
    <r>
      <rPr>
        <sz val="12"/>
        <rFont val="標楷體"/>
        <family val="4"/>
        <charset val="136"/>
      </rPr>
      <t>，逾期</t>
    </r>
    <r>
      <rPr>
        <sz val="12"/>
        <rFont val="Times New Roman"/>
        <family val="1"/>
      </rPr>
      <t>285</t>
    </r>
    <r>
      <rPr>
        <sz val="12"/>
        <rFont val="標楷體"/>
        <family val="4"/>
        <charset val="136"/>
      </rPr>
      <t>天計列。</t>
    </r>
    <phoneticPr fontId="21" type="noConversion"/>
  </si>
  <si>
    <t xml:space="preserve">    收回呆帳</t>
    <phoneticPr fontId="4" type="noConversion"/>
  </si>
  <si>
    <t>　　  未加保勞工</t>
    <phoneticPr fontId="4" type="noConversion"/>
  </si>
  <si>
    <r>
      <rPr>
        <sz val="11"/>
        <rFont val="標楷體"/>
        <family val="4"/>
        <charset val="136"/>
      </rPr>
      <t>全年預估</t>
    </r>
    <r>
      <rPr>
        <sz val="11"/>
        <rFont val="Times New Roman"/>
        <family val="1"/>
      </rPr>
      <t>13,750</t>
    </r>
    <r>
      <rPr>
        <sz val="11"/>
        <rFont val="標楷體"/>
        <family val="4"/>
        <charset val="136"/>
      </rPr>
      <t>人次。</t>
    </r>
    <phoneticPr fontId="21" type="noConversion"/>
  </si>
  <si>
    <t>　　  未加保勞工</t>
    <phoneticPr fontId="4" type="noConversion"/>
  </si>
  <si>
    <t xml:space="preserve">  職業災害保護</t>
    <phoneticPr fontId="4" type="noConversion"/>
  </si>
  <si>
    <r>
      <rPr>
        <sz val="12"/>
        <rFont val="標楷體"/>
        <family val="4"/>
        <charset val="136"/>
      </rPr>
      <t>編列千元，係基金委託評選案審查文件郵費等。</t>
    </r>
    <phoneticPr fontId="4" type="noConversion"/>
  </si>
  <si>
    <t xml:space="preserve">  就業保險</t>
    <phoneticPr fontId="4" type="noConversion"/>
  </si>
  <si>
    <r>
      <rPr>
        <b/>
        <sz val="12"/>
        <rFont val="標楷體"/>
        <family val="4"/>
        <charset val="136"/>
      </rPr>
      <t>保險給付</t>
    </r>
    <phoneticPr fontId="21" type="noConversion"/>
  </si>
  <si>
    <r>
      <t xml:space="preserve">  </t>
    </r>
    <r>
      <rPr>
        <b/>
        <sz val="12"/>
        <rFont val="標楷體"/>
        <family val="4"/>
        <charset val="136"/>
      </rPr>
      <t>就業保險</t>
    </r>
    <phoneticPr fontId="21" type="noConversion"/>
  </si>
  <si>
    <r>
      <rPr>
        <sz val="11"/>
        <rFont val="標楷體"/>
        <family val="4"/>
        <charset val="136"/>
      </rPr>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r>
    <phoneticPr fontId="21" type="noConversion"/>
  </si>
  <si>
    <r>
      <t xml:space="preserve">  </t>
    </r>
    <r>
      <rPr>
        <b/>
        <sz val="12"/>
        <rFont val="標楷體"/>
        <family val="4"/>
        <charset val="136"/>
      </rPr>
      <t>職業災害勞工保護</t>
    </r>
    <phoneticPr fontId="21" type="noConversion"/>
  </si>
  <si>
    <r>
      <rPr>
        <sz val="11"/>
        <rFont val="標楷體"/>
        <family val="4"/>
        <charset val="136"/>
      </rPr>
      <t>全年預估</t>
    </r>
    <r>
      <rPr>
        <sz val="11"/>
        <rFont val="Times New Roman"/>
        <family val="1"/>
      </rPr>
      <t>12</t>
    </r>
    <r>
      <rPr>
        <sz val="11"/>
        <rFont val="標楷體"/>
        <family val="4"/>
        <charset val="136"/>
      </rPr>
      <t>人次。</t>
    </r>
    <phoneticPr fontId="21" type="noConversion"/>
  </si>
  <si>
    <r>
      <t>4.</t>
    </r>
    <r>
      <rPr>
        <sz val="12"/>
        <rFont val="標楷體"/>
        <family val="4"/>
        <charset val="136"/>
      </rPr>
      <t>攤銷</t>
    </r>
    <phoneticPr fontId="4" type="noConversion"/>
  </si>
  <si>
    <r>
      <t>3.</t>
    </r>
    <r>
      <rPr>
        <sz val="12"/>
        <rFont val="標楷體"/>
        <family val="4"/>
        <charset val="136"/>
      </rPr>
      <t>流動資產淨減</t>
    </r>
    <phoneticPr fontId="4" type="noConversion"/>
  </si>
  <si>
    <r>
      <rPr>
        <sz val="12"/>
        <rFont val="標楷體"/>
        <family val="4"/>
        <charset val="136"/>
      </rPr>
      <t>係減少投資</t>
    </r>
    <r>
      <rPr>
        <sz val="12"/>
        <rFont val="Times New Roman"/>
        <family val="1"/>
      </rPr>
      <t>-</t>
    </r>
    <r>
      <rPr>
        <sz val="12"/>
        <rFont val="標楷體"/>
        <family val="4"/>
        <charset val="136"/>
      </rPr>
      <t>非流動金融資產千元。</t>
    </r>
    <phoneticPr fontId="4" type="noConversion"/>
  </si>
  <si>
    <t>　  保費收入</t>
    <phoneticPr fontId="4" type="noConversion"/>
  </si>
  <si>
    <t>預(決)算數</t>
    <phoneticPr fontId="4" type="noConversion"/>
  </si>
  <si>
    <r>
      <rPr>
        <sz val="12"/>
        <rFont val="標楷體"/>
        <family val="4"/>
        <charset val="136"/>
      </rPr>
      <t>編列</t>
    </r>
    <r>
      <rPr>
        <sz val="12"/>
        <rFont val="Times New Roman"/>
        <family val="1"/>
      </rPr>
      <t>150</t>
    </r>
    <r>
      <rPr>
        <sz val="12"/>
        <rFont val="標楷體"/>
        <family val="4"/>
        <charset val="136"/>
      </rPr>
      <t>千元，為委託調查研究費編列</t>
    </r>
    <r>
      <rPr>
        <sz val="12"/>
        <rFont val="Times New Roman"/>
        <family val="1"/>
      </rPr>
      <t>150</t>
    </r>
    <r>
      <rPr>
        <sz val="12"/>
        <rFont val="標楷體"/>
        <family val="4"/>
        <charset val="136"/>
      </rPr>
      <t>千元，係基金不動產鑑價費用。</t>
    </r>
    <phoneticPr fontId="4" type="noConversion"/>
  </si>
  <si>
    <r>
      <t xml:space="preserve">           </t>
    </r>
    <r>
      <rPr>
        <sz val="12"/>
        <rFont val="標楷體"/>
        <family val="4"/>
        <charset val="136"/>
      </rPr>
      <t>職業災害預防與補助</t>
    </r>
    <phoneticPr fontId="21" type="noConversion"/>
  </si>
  <si>
    <r>
      <rPr>
        <sz val="12"/>
        <rFont val="標楷體"/>
        <family val="4"/>
        <charset val="136"/>
      </rPr>
      <t>　</t>
    </r>
    <r>
      <rPr>
        <sz val="12"/>
        <rFont val="Times New Roman"/>
        <family val="1"/>
      </rPr>
      <t xml:space="preserve">           </t>
    </r>
    <r>
      <rPr>
        <sz val="12"/>
        <rFont val="標楷體"/>
        <family val="4"/>
        <charset val="136"/>
      </rPr>
      <t xml:space="preserve">補助相關團體辦理職業災
</t>
    </r>
    <r>
      <rPr>
        <sz val="12"/>
        <rFont val="Times New Roman"/>
        <family val="1"/>
      </rPr>
      <t xml:space="preserve">               </t>
    </r>
    <r>
      <rPr>
        <sz val="12"/>
        <rFont val="標楷體"/>
        <family val="4"/>
        <charset val="136"/>
      </rPr>
      <t>害預防事項</t>
    </r>
    <phoneticPr fontId="21" type="noConversion"/>
  </si>
  <si>
    <r>
      <t xml:space="preserve">           </t>
    </r>
    <r>
      <rPr>
        <sz val="12"/>
        <rFont val="標楷體"/>
        <family val="4"/>
        <charset val="136"/>
      </rPr>
      <t>職業災害勞工職業重建補助</t>
    </r>
    <phoneticPr fontId="21" type="noConversion"/>
  </si>
  <si>
    <r>
      <t xml:space="preserve">           </t>
    </r>
    <r>
      <rPr>
        <sz val="12"/>
        <rFont val="標楷體"/>
        <family val="4"/>
        <charset val="136"/>
      </rPr>
      <t>輔助設施補助</t>
    </r>
    <phoneticPr fontId="21"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</si>
  <si>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退保自願參加勞保普通事故
</t>
    </r>
    <r>
      <rPr>
        <sz val="12"/>
        <rFont val="Times New Roman"/>
        <family val="1"/>
      </rPr>
      <t xml:space="preserve">           </t>
    </r>
    <r>
      <rPr>
        <sz val="12"/>
        <rFont val="標楷體"/>
        <family val="4"/>
        <charset val="136"/>
      </rPr>
      <t>保險者保費</t>
    </r>
    <phoneticPr fontId="21" type="noConversion"/>
  </si>
  <si>
    <r>
      <t xml:space="preserve">           </t>
    </r>
    <r>
      <rPr>
        <sz val="12"/>
        <rFont val="標楷體"/>
        <family val="4"/>
        <charset val="136"/>
      </rPr>
      <t>複檢費用</t>
    </r>
    <phoneticPr fontId="21" type="noConversion"/>
  </si>
  <si>
    <r>
      <t xml:space="preserve">           </t>
    </r>
    <r>
      <rPr>
        <sz val="12"/>
        <rFont val="標楷體"/>
        <family val="4"/>
        <charset val="136"/>
      </rPr>
      <t>委託鑑定費用</t>
    </r>
    <phoneticPr fontId="21" type="noConversion"/>
  </si>
  <si>
    <r>
      <t xml:space="preserve">       </t>
    </r>
    <r>
      <rPr>
        <sz val="12"/>
        <rFont val="標楷體"/>
        <family val="4"/>
        <charset val="136"/>
      </rPr>
      <t>失業給付</t>
    </r>
    <phoneticPr fontId="21" type="noConversion"/>
  </si>
  <si>
    <r>
      <t xml:space="preserve">       </t>
    </r>
    <r>
      <rPr>
        <sz val="12"/>
        <rFont val="標楷體"/>
        <family val="4"/>
        <charset val="136"/>
      </rPr>
      <t>提早就業獎助津貼</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</si>
  <si>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</si>
  <si>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育嬰留職停薪津貼</t>
    </r>
    <phoneticPr fontId="21" type="noConversion"/>
  </si>
  <si>
    <r>
      <t xml:space="preserve">       </t>
    </r>
    <r>
      <rPr>
        <sz val="12"/>
        <rFont val="標楷體"/>
        <family val="4"/>
        <charset val="136"/>
      </rPr>
      <t>補助全民健保費</t>
    </r>
    <phoneticPr fontId="21" type="noConversion"/>
  </si>
  <si>
    <r>
      <t xml:space="preserve">           </t>
    </r>
    <r>
      <rPr>
        <sz val="12"/>
        <rFont val="標楷體"/>
        <family val="4"/>
        <charset val="136"/>
      </rPr>
      <t>生育給付</t>
    </r>
    <phoneticPr fontId="21" type="noConversion"/>
  </si>
  <si>
    <r>
      <t xml:space="preserve">               </t>
    </r>
    <r>
      <rPr>
        <sz val="12"/>
        <rFont val="標楷體"/>
        <family val="4"/>
        <charset val="136"/>
      </rPr>
      <t>本人生育</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</si>
  <si>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配偶生育</t>
    </r>
    <phoneticPr fontId="21" type="noConversion"/>
  </si>
  <si>
    <r>
      <t xml:space="preserve">           </t>
    </r>
    <r>
      <rPr>
        <sz val="12"/>
        <rFont val="標楷體"/>
        <family val="4"/>
        <charset val="136"/>
      </rPr>
      <t>身心障礙給付</t>
    </r>
    <phoneticPr fontId="21" type="noConversion"/>
  </si>
  <si>
    <r>
      <t xml:space="preserve">           </t>
    </r>
    <r>
      <rPr>
        <sz val="12"/>
        <rFont val="標楷體"/>
        <family val="4"/>
        <charset val="136"/>
      </rPr>
      <t>喪葬津貼</t>
    </r>
    <phoneticPr fontId="21" type="noConversion"/>
  </si>
  <si>
    <r>
      <t xml:space="preserve">   </t>
    </r>
    <r>
      <rPr>
        <sz val="12"/>
        <rFont val="標楷體"/>
        <family val="4"/>
        <charset val="136"/>
      </rPr>
      <t>　</t>
    </r>
    <r>
      <rPr>
        <sz val="12"/>
        <rFont val="Times New Roman"/>
        <family val="1"/>
      </rPr>
      <t xml:space="preserve">    </t>
    </r>
    <r>
      <rPr>
        <sz val="12"/>
        <rFont val="標楷體"/>
        <family val="4"/>
        <charset val="136"/>
      </rPr>
      <t>複檢費用</t>
    </r>
    <phoneticPr fontId="21" type="noConversion"/>
  </si>
  <si>
    <r>
      <t xml:space="preserve">       </t>
    </r>
    <r>
      <rPr>
        <b/>
        <sz val="12"/>
        <rFont val="標楷體"/>
        <family val="4"/>
        <charset val="136"/>
      </rPr>
      <t>已加保勞工</t>
    </r>
    <phoneticPr fontId="21" type="noConversion"/>
  </si>
  <si>
    <r>
      <t xml:space="preserve">           </t>
    </r>
    <r>
      <rPr>
        <sz val="12"/>
        <rFont val="標楷體"/>
        <family val="4"/>
        <charset val="136"/>
      </rPr>
      <t>職業疾病生活津貼</t>
    </r>
    <phoneticPr fontId="21"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</si>
  <si>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</si>
  <si>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</si>
  <si>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</si>
  <si>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</si>
  <si>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</si>
  <si>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器具補助</t>
    </r>
    <phoneticPr fontId="21" type="noConversion"/>
  </si>
  <si>
    <r>
      <t xml:space="preserve">           </t>
    </r>
    <r>
      <rPr>
        <sz val="12"/>
        <rFont val="標楷體"/>
        <family val="4"/>
        <charset val="136"/>
      </rPr>
      <t>看護補助</t>
    </r>
    <phoneticPr fontId="21" type="noConversion"/>
  </si>
  <si>
    <r>
      <t xml:space="preserve">           </t>
    </r>
    <r>
      <rPr>
        <sz val="12"/>
        <rFont val="標楷體"/>
        <family val="4"/>
        <charset val="136"/>
      </rPr>
      <t>家屬補助</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</si>
  <si>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</si>
  <si>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</si>
  <si>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</si>
  <si>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1"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</si>
  <si>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</si>
  <si>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1" type="noConversion"/>
  </si>
  <si>
    <r>
      <t xml:space="preserve">    </t>
    </r>
    <r>
      <rPr>
        <b/>
        <sz val="12"/>
        <rFont val="標楷體"/>
        <family val="4"/>
        <charset val="136"/>
      </rPr>
      <t>勞工保險</t>
    </r>
    <phoneticPr fontId="21" type="noConversion"/>
  </si>
  <si>
    <r>
      <t xml:space="preserve">        </t>
    </r>
    <r>
      <rPr>
        <sz val="12"/>
        <rFont val="標楷體"/>
        <family val="4"/>
        <charset val="136"/>
      </rPr>
      <t>普通事故</t>
    </r>
    <phoneticPr fontId="21" type="noConversion"/>
  </si>
  <si>
    <r>
      <t xml:space="preserve">        </t>
    </r>
    <r>
      <rPr>
        <sz val="12"/>
        <rFont val="標楷體"/>
        <family val="4"/>
        <charset val="136"/>
      </rPr>
      <t>職業災害</t>
    </r>
    <phoneticPr fontId="21" type="noConversion"/>
  </si>
  <si>
    <r>
      <t xml:space="preserve">           </t>
    </r>
    <r>
      <rPr>
        <sz val="12"/>
        <rFont val="標楷體"/>
        <family val="4"/>
        <charset val="136"/>
      </rPr>
      <t>普通事故</t>
    </r>
    <phoneticPr fontId="21" type="noConversion"/>
  </si>
  <si>
    <r>
      <t xml:space="preserve">           </t>
    </r>
    <r>
      <rPr>
        <sz val="12"/>
        <rFont val="標楷體"/>
        <family val="4"/>
        <charset val="136"/>
      </rPr>
      <t>職業災害</t>
    </r>
    <phoneticPr fontId="21" type="noConversion"/>
  </si>
  <si>
    <r>
      <t xml:space="preserve">      </t>
    </r>
    <r>
      <rPr>
        <sz val="12"/>
        <rFont val="標楷體"/>
        <family val="4"/>
        <charset val="136"/>
      </rPr>
      <t>　</t>
    </r>
    <r>
      <rPr>
        <sz val="12"/>
        <rFont val="Times New Roman"/>
        <family val="1"/>
      </rPr>
      <t xml:space="preserve"> </t>
    </r>
    <r>
      <rPr>
        <sz val="12"/>
        <rFont val="標楷體"/>
        <family val="4"/>
        <charset val="136"/>
      </rPr>
      <t>生育給付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</si>
  <si>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</si>
  <si>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t xml:space="preserve">           </t>
    </r>
    <r>
      <rPr>
        <sz val="12"/>
        <rFont val="標楷體"/>
        <family val="4"/>
        <charset val="136"/>
      </rPr>
      <t>傷病給付</t>
    </r>
    <phoneticPr fontId="21" type="noConversion"/>
  </si>
  <si>
    <r>
      <t xml:space="preserve">           </t>
    </r>
    <r>
      <rPr>
        <sz val="12"/>
        <rFont val="標楷體"/>
        <family val="4"/>
        <charset val="136"/>
      </rPr>
      <t>失能給付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</si>
  <si>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</si>
  <si>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</si>
  <si>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</si>
  <si>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</si>
  <si>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</si>
  <si>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</si>
  <si>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</si>
  <si>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</si>
  <si>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</si>
  <si>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補償一次金</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</si>
  <si>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</si>
  <si>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</si>
  <si>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</si>
  <si>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</si>
  <si>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補償一次金</t>
    </r>
    <phoneticPr fontId="21" type="noConversion"/>
  </si>
  <si>
    <r>
      <t xml:space="preserve">           </t>
    </r>
    <r>
      <rPr>
        <sz val="12"/>
        <rFont val="標楷體"/>
        <family val="4"/>
        <charset val="136"/>
      </rPr>
      <t>複檢費用</t>
    </r>
    <phoneticPr fontId="21" type="noConversion"/>
  </si>
  <si>
    <r>
      <rPr>
        <sz val="12"/>
        <rFont val="標楷體"/>
        <family val="4"/>
        <charset val="136"/>
      </rPr>
      <t>　</t>
    </r>
    <r>
      <rPr>
        <sz val="12"/>
        <rFont val="Times New Roman"/>
        <family val="1"/>
      </rPr>
      <t xml:space="preserve">           </t>
    </r>
    <r>
      <rPr>
        <sz val="12"/>
        <rFont val="標楷體"/>
        <family val="4"/>
        <charset val="136"/>
      </rPr>
      <t>普通事故</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</si>
  <si>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</si>
  <si>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</si>
  <si>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</si>
  <si>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</si>
  <si>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</si>
  <si>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t xml:space="preserve">           </t>
    </r>
    <r>
      <rPr>
        <sz val="12"/>
        <rFont val="標楷體"/>
        <family val="4"/>
        <charset val="136"/>
      </rPr>
      <t>老年給付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</si>
  <si>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</si>
  <si>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rPr>
        <sz val="12"/>
        <rFont val="標楷體"/>
        <family val="4"/>
        <charset val="136"/>
      </rPr>
      <t>　　　　</t>
    </r>
    <r>
      <rPr>
        <sz val="12"/>
        <rFont val="Times New Roman"/>
        <family val="1"/>
      </rPr>
      <t xml:space="preserve">    </t>
    </r>
    <r>
      <rPr>
        <sz val="12"/>
        <rFont val="標楷體"/>
        <family val="4"/>
        <charset val="136"/>
      </rPr>
      <t>一次請領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</si>
  <si>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</si>
  <si>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</si>
  <si>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</si>
  <si>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t xml:space="preserve">           </t>
    </r>
    <r>
      <rPr>
        <sz val="12"/>
        <rFont val="標楷體"/>
        <family val="4"/>
        <charset val="136"/>
      </rPr>
      <t>死亡給付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</si>
  <si>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家屬</t>
    </r>
    <phoneticPr fontId="21" type="noConversion"/>
  </si>
  <si>
    <r>
      <rPr>
        <sz val="12"/>
        <rFont val="標楷體"/>
        <family val="4"/>
        <charset val="136"/>
      </rPr>
      <t>　　　</t>
    </r>
    <r>
      <rPr>
        <sz val="12"/>
        <rFont val="Times New Roman"/>
        <family val="1"/>
      </rPr>
      <t xml:space="preserve">       </t>
    </r>
    <r>
      <rPr>
        <sz val="12"/>
        <rFont val="標楷體"/>
        <family val="4"/>
        <charset val="136"/>
      </rPr>
      <t>本人</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</si>
  <si>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</si>
  <si>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</si>
  <si>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</si>
  <si>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</si>
  <si>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</si>
  <si>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1" type="noConversion"/>
  </si>
  <si>
    <r>
      <rPr>
        <sz val="12"/>
        <rFont val="標楷體"/>
        <family val="4"/>
        <charset val="136"/>
      </rPr>
      <t>　　</t>
    </r>
    <r>
      <rPr>
        <sz val="12"/>
        <rFont val="Times New Roman"/>
        <family val="1"/>
      </rPr>
      <t xml:space="preserve">               </t>
    </r>
    <r>
      <rPr>
        <sz val="12"/>
        <rFont val="標楷體"/>
        <family val="4"/>
        <charset val="136"/>
      </rPr>
      <t>職災補償金</t>
    </r>
    <phoneticPr fontId="21" type="noConversion"/>
  </si>
  <si>
    <r>
      <rPr>
        <sz val="12"/>
        <rFont val="標楷體"/>
        <family val="4"/>
        <charset val="136"/>
      </rPr>
      <t>　　　　</t>
    </r>
    <r>
      <rPr>
        <sz val="12"/>
        <rFont val="Times New Roman"/>
        <family val="1"/>
      </rPr>
      <t xml:space="preserve">       </t>
    </r>
    <r>
      <rPr>
        <sz val="12"/>
        <rFont val="標楷體"/>
        <family val="4"/>
        <charset val="136"/>
      </rPr>
      <t>遺屬年金</t>
    </r>
    <phoneticPr fontId="21" type="noConversion"/>
  </si>
  <si>
    <r>
      <t xml:space="preserve">           </t>
    </r>
    <r>
      <rPr>
        <sz val="12"/>
        <rFont val="標楷體"/>
        <family val="4"/>
        <charset val="136"/>
      </rPr>
      <t>失蹤津貼</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</si>
  <si>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</si>
  <si>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</si>
  <si>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1" type="noConversion"/>
  </si>
  <si>
    <r>
      <rPr>
        <b/>
        <sz val="12"/>
        <rFont val="標楷體"/>
        <family val="4"/>
        <charset val="136"/>
      </rPr>
      <t xml:space="preserve">   醫療給付</t>
    </r>
    <r>
      <rPr>
        <b/>
        <sz val="12"/>
        <rFont val="Times New Roman"/>
        <family val="1"/>
      </rPr>
      <t xml:space="preserve"> </t>
    </r>
    <phoneticPr fontId="21" type="noConversion"/>
  </si>
  <si>
    <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</si>
  <si>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</si>
  <si>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</si>
  <si>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rPr>
        <sz val="12"/>
        <rFont val="標楷體"/>
        <family val="4"/>
        <charset val="136"/>
      </rPr>
      <t>　</t>
    </r>
    <r>
      <rPr>
        <sz val="12"/>
        <rFont val="Times New Roman"/>
        <family val="1"/>
      </rPr>
      <t xml:space="preserve">           </t>
    </r>
    <r>
      <rPr>
        <sz val="12"/>
        <rFont val="標楷體"/>
        <family val="4"/>
        <charset val="136"/>
      </rPr>
      <t>門診費用</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</si>
  <si>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</si>
  <si>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</si>
  <si>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預防職業病健康檢查</t>
    </r>
    <r>
      <rPr>
        <sz val="12"/>
        <rFont val="Times New Roman"/>
        <family val="1"/>
      </rPr>
      <t xml:space="preserve"> </t>
    </r>
    <phoneticPr fontId="21" type="noConversion"/>
  </si>
  <si>
    <t xml:space="preserve">  租金及權利金收入</t>
  </si>
  <si>
    <t xml:space="preserve">  投融資業務收入</t>
  </si>
  <si>
    <t xml:space="preserve">  保險收入</t>
  </si>
  <si>
    <t xml:space="preserve">  其他業務收入</t>
  </si>
  <si>
    <t>業務外收入</t>
    <phoneticPr fontId="4" type="noConversion"/>
  </si>
  <si>
    <t xml:space="preserve">  出租資產成本</t>
  </si>
  <si>
    <t xml:space="preserve">  投融資業務成本</t>
  </si>
  <si>
    <t xml:space="preserve">  保險成本</t>
  </si>
  <si>
    <t xml:space="preserve">  其他業務成本</t>
  </si>
  <si>
    <t>記得要改圖表內數字</t>
    <phoneticPr fontId="4" type="noConversion"/>
  </si>
  <si>
    <t>檢核</t>
    <phoneticPr fontId="4" type="noConversion"/>
  </si>
  <si>
    <t>檢核</t>
    <phoneticPr fontId="4" type="noConversion"/>
  </si>
  <si>
    <t xml:space="preserve">  </t>
    <phoneticPr fontId="4" type="noConversion"/>
  </si>
  <si>
    <r>
      <rPr>
        <sz val="12"/>
        <rFont val="標楷體"/>
        <family val="4"/>
        <charset val="136"/>
      </rPr>
      <t>編列</t>
    </r>
    <r>
      <rPr>
        <sz val="12"/>
        <rFont val="標楷體"/>
        <family val="4"/>
        <charset val="136"/>
      </rPr>
      <t>千元，係基金委託經營外聘委員之旅運費等。</t>
    </r>
    <phoneticPr fontId="4" type="noConversion"/>
  </si>
  <si>
    <r>
      <rPr>
        <sz val="12"/>
        <rFont val="標楷體"/>
        <family val="4"/>
        <charset val="136"/>
      </rPr>
      <t>編列</t>
    </r>
    <r>
      <rPr>
        <sz val="12"/>
        <rFont val="標楷體"/>
        <family val="4"/>
        <charset val="136"/>
      </rPr>
      <t>千元，係基金國外委託經營之評選文件印刷費等。</t>
    </r>
    <phoneticPr fontId="4" type="noConversion"/>
  </si>
  <si>
    <r>
      <rPr>
        <sz val="12"/>
        <rFont val="標楷體"/>
        <family val="4"/>
        <charset val="136"/>
      </rPr>
      <t>編列</t>
    </r>
    <r>
      <rPr>
        <sz val="12"/>
        <rFont val="標楷體"/>
        <family val="4"/>
        <charset val="136"/>
      </rPr>
      <t>千元，係基金委託經營評選會議便當等。</t>
    </r>
    <phoneticPr fontId="4" type="noConversion"/>
  </si>
  <si>
    <t xml:space="preserve">        攤銷</t>
    <phoneticPr fontId="4" type="noConversion"/>
  </si>
  <si>
    <r>
      <rPr>
        <sz val="12"/>
        <rFont val="標楷體"/>
        <family val="4"/>
        <charset val="136"/>
      </rPr>
      <t>編列</t>
    </r>
    <r>
      <rPr>
        <sz val="12"/>
        <rFont val="Times New Roman"/>
        <family val="1"/>
      </rPr>
      <t>394</t>
    </r>
    <r>
      <rPr>
        <sz val="12"/>
        <rFont val="標楷體"/>
        <family val="4"/>
        <charset val="136"/>
      </rPr>
      <t>千元，係基金投資不動產之房屋公證費、國產署代標租之作業費用等。</t>
    </r>
    <phoneticPr fontId="4" type="noConversion"/>
  </si>
  <si>
    <t>貸款
年度</t>
    <phoneticPr fontId="21" type="noConversion"/>
  </si>
  <si>
    <t>期初貸出
餘額</t>
    <phoneticPr fontId="21" type="noConversion"/>
  </si>
  <si>
    <t>本年度收回
金額</t>
    <phoneticPr fontId="21" type="noConversion"/>
  </si>
  <si>
    <t>農保組及基金運用局</t>
    <phoneticPr fontId="4" type="noConversion"/>
  </si>
  <si>
    <t>保費組</t>
    <phoneticPr fontId="4" type="noConversion"/>
  </si>
  <si>
    <t xml:space="preserve"> </t>
    <phoneticPr fontId="4" type="noConversion"/>
  </si>
  <si>
    <t>合計</t>
    <phoneticPr fontId="4" type="noConversion"/>
  </si>
  <si>
    <t>本年度貸出
金額</t>
    <phoneticPr fontId="21" type="noConversion"/>
  </si>
  <si>
    <t>　　      已加保勞工</t>
    <phoneticPr fontId="4" type="noConversion"/>
  </si>
  <si>
    <r>
      <rPr>
        <sz val="12"/>
        <rFont val="標楷體"/>
        <family val="4"/>
        <charset val="136"/>
      </rPr>
      <t>編列</t>
    </r>
    <r>
      <rPr>
        <sz val="12"/>
        <rFont val="Times New Roman"/>
        <family val="1"/>
      </rPr>
      <t>609</t>
    </r>
    <r>
      <rPr>
        <sz val="12"/>
        <rFont val="標楷體"/>
        <family val="4"/>
        <charset val="136"/>
      </rPr>
      <t>千元，係投資性不動產之攤銷。</t>
    </r>
    <phoneticPr fontId="4" type="noConversion"/>
  </si>
  <si>
    <r>
      <t xml:space="preserve"> </t>
    </r>
    <r>
      <rPr>
        <sz val="12"/>
        <rFont val="標楷體"/>
        <family val="4"/>
        <charset val="136"/>
      </rPr>
      <t>　</t>
    </r>
    <r>
      <rPr>
        <sz val="12"/>
        <rFont val="Times New Roman"/>
        <family val="1"/>
      </rPr>
      <t xml:space="preserve">      </t>
    </r>
    <r>
      <rPr>
        <sz val="12"/>
        <rFont val="標楷體"/>
        <family val="4"/>
        <charset val="136"/>
      </rPr>
      <t>職業疾病生活津貼</t>
    </r>
    <r>
      <rPr>
        <sz val="12"/>
        <rFont val="Times New Roman"/>
        <family val="1"/>
      </rPr>
      <t>-</t>
    </r>
    <r>
      <rPr>
        <sz val="12"/>
        <rFont val="標楷體"/>
        <family val="4"/>
        <charset val="136"/>
      </rPr>
      <t xml:space="preserve">勞保
</t>
    </r>
    <r>
      <rPr>
        <sz val="12"/>
        <rFont val="Times New Roman"/>
        <family val="1"/>
      </rPr>
      <t xml:space="preserve">           </t>
    </r>
    <r>
      <rPr>
        <sz val="12"/>
        <rFont val="標楷體"/>
        <family val="4"/>
        <charset val="136"/>
      </rPr>
      <t>效力終止</t>
    </r>
    <phoneticPr fontId="21" type="noConversion"/>
  </si>
  <si>
    <r>
      <t>2.</t>
    </r>
    <r>
      <rPr>
        <sz val="12"/>
        <rFont val="標楷體"/>
        <family val="4"/>
        <charset val="136"/>
      </rPr>
      <t>收回責任準備</t>
    </r>
    <r>
      <rPr>
        <sz val="12"/>
        <rFont val="Times New Roman"/>
        <family val="1"/>
      </rPr>
      <t/>
    </r>
    <phoneticPr fontId="4" type="noConversion"/>
  </si>
  <si>
    <r>
      <rPr>
        <sz val="12"/>
        <rFont val="標楷體"/>
        <family val="4"/>
        <charset val="136"/>
      </rPr>
      <t>係依職業災害勞工保護法第</t>
    </r>
    <r>
      <rPr>
        <sz val="12"/>
        <rFont val="Times New Roman"/>
        <family val="1"/>
      </rPr>
      <t>34</t>
    </r>
    <r>
      <rPr>
        <sz val="12"/>
        <rFont val="標楷體"/>
        <family val="4"/>
        <charset val="136"/>
      </rPr>
      <t>條但書規定所處罰鍰。</t>
    </r>
    <phoneticPr fontId="4" type="noConversion"/>
  </si>
  <si>
    <t>比較增減</t>
    <phoneticPr fontId="4" type="noConversion"/>
  </si>
  <si>
    <t>比較增減</t>
    <phoneticPr fontId="4" type="noConversion"/>
  </si>
  <si>
    <t>比較增減</t>
    <phoneticPr fontId="4" type="noConversion"/>
  </si>
  <si>
    <t>　減少投資、長期應收款、貸墊款及準備金</t>
    <phoneticPr fontId="4" type="noConversion"/>
  </si>
  <si>
    <r>
      <rPr>
        <sz val="12"/>
        <rFont val="標楷體"/>
        <family val="4"/>
        <charset val="136"/>
      </rPr>
      <t>本科目全數由勞動部勞動基金運用局辦理。</t>
    </r>
    <phoneticPr fontId="4" type="noConversion"/>
  </si>
  <si>
    <t>　　以代管國有財產撥充</t>
    <phoneticPr fontId="4" type="noConversion"/>
  </si>
  <si>
    <t>　　國庫增撥數</t>
    <phoneticPr fontId="4" type="noConversion"/>
  </si>
  <si>
    <t>　　      未加保勞工</t>
    <phoneticPr fontId="4" type="noConversion"/>
  </si>
  <si>
    <t>計畫名稱</t>
    <phoneticPr fontId="21" type="noConversion"/>
  </si>
  <si>
    <t>　　  未加保勞工</t>
    <phoneticPr fontId="4" type="noConversion"/>
  </si>
  <si>
    <t>貸出款明細表</t>
    <phoneticPr fontId="4" type="noConversion"/>
  </si>
  <si>
    <t>國庫帳戶台幣存款，由勞動部勞工保險局辦理。</t>
    <phoneticPr fontId="4" type="noConversion"/>
  </si>
  <si>
    <t xml:space="preserve">  保險成本</t>
    <phoneticPr fontId="4" type="noConversion"/>
  </si>
  <si>
    <t xml:space="preserve">　  保險給付  </t>
    <phoneticPr fontId="4" type="noConversion"/>
  </si>
  <si>
    <t>　    已加保勞工</t>
    <phoneticPr fontId="4" type="noConversion"/>
  </si>
  <si>
    <t>　  呆帳</t>
    <phoneticPr fontId="4" type="noConversion"/>
  </si>
  <si>
    <t>　　  未加保勞工</t>
    <phoneticPr fontId="4"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</si>
  <si>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4" type="noConversion"/>
  </si>
  <si>
    <t>截至本年度
累計
貸出餘額</t>
    <phoneticPr fontId="21" type="noConversion"/>
  </si>
  <si>
    <t xml:space="preserve">
</t>
    <phoneticPr fontId="4" type="noConversion"/>
  </si>
  <si>
    <t>2.</t>
    <phoneticPr fontId="4" type="noConversion"/>
  </si>
  <si>
    <t xml:space="preserve">
1.
2.</t>
    <phoneticPr fontId="4" type="noConversion"/>
  </si>
  <si>
    <t>　遞延資產</t>
    <phoneticPr fontId="4" type="noConversion"/>
  </si>
  <si>
    <r>
      <t xml:space="preserve">           </t>
    </r>
    <r>
      <rPr>
        <sz val="12"/>
        <rFont val="標楷體"/>
        <family val="4"/>
        <charset val="136"/>
      </rPr>
      <t>傷害給付</t>
    </r>
    <phoneticPr fontId="21" type="noConversion"/>
  </si>
  <si>
    <r>
      <t xml:space="preserve">           </t>
    </r>
    <r>
      <rPr>
        <sz val="12"/>
        <rFont val="標楷體"/>
        <family val="4"/>
        <charset val="136"/>
      </rPr>
      <t>就醫津貼</t>
    </r>
    <phoneticPr fontId="21" type="noConversion"/>
  </si>
  <si>
    <r>
      <t xml:space="preserve">               </t>
    </r>
    <r>
      <rPr>
        <sz val="12"/>
        <rFont val="標楷體"/>
        <family val="4"/>
        <charset val="136"/>
      </rPr>
      <t>門診就醫津貼</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</si>
  <si>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住院就醫津貼</t>
    </r>
    <phoneticPr fontId="21" type="noConversion"/>
  </si>
  <si>
    <t>3.</t>
  </si>
  <si>
    <t>(1)</t>
  </si>
  <si>
    <t>　　  農保</t>
  </si>
  <si>
    <t>　　  農保</t>
    <phoneticPr fontId="4" type="noConversion"/>
  </si>
  <si>
    <t>　　  農職保</t>
  </si>
  <si>
    <r>
      <rPr>
        <sz val="11"/>
        <rFont val="標楷體"/>
        <family val="4"/>
        <charset val="136"/>
      </rPr>
      <t>全年預估</t>
    </r>
    <r>
      <rPr>
        <sz val="11"/>
        <rFont val="Times New Roman"/>
        <family val="1"/>
      </rPr>
      <t>24</t>
    </r>
    <r>
      <rPr>
        <sz val="11"/>
        <rFont val="標楷體"/>
        <family val="4"/>
        <charset val="136"/>
      </rPr>
      <t>人次。</t>
    </r>
    <phoneticPr fontId="21" type="noConversion"/>
  </si>
  <si>
    <r>
      <rPr>
        <sz val="11"/>
        <rFont val="標楷體"/>
        <family val="4"/>
        <charset val="136"/>
      </rPr>
      <t>全年預估</t>
    </r>
    <r>
      <rPr>
        <sz val="11"/>
        <rFont val="Times New Roman"/>
        <family val="1"/>
      </rPr>
      <t>600</t>
    </r>
    <r>
      <rPr>
        <sz val="11"/>
        <rFont val="標楷體"/>
        <family val="4"/>
        <charset val="136"/>
      </rPr>
      <t>人次。</t>
    </r>
    <phoneticPr fontId="21" type="noConversion"/>
  </si>
  <si>
    <r>
      <rPr>
        <sz val="11"/>
        <rFont val="標楷體"/>
        <family val="4"/>
        <charset val="136"/>
      </rPr>
      <t>全年預估</t>
    </r>
    <r>
      <rPr>
        <sz val="11"/>
        <rFont val="Times New Roman"/>
        <family val="1"/>
      </rPr>
      <t>3,600</t>
    </r>
    <r>
      <rPr>
        <sz val="11"/>
        <rFont val="標楷體"/>
        <family val="4"/>
        <charset val="136"/>
      </rPr>
      <t>人次。</t>
    </r>
    <phoneticPr fontId="21" type="noConversion"/>
  </si>
  <si>
    <r>
      <t xml:space="preserve">      </t>
    </r>
    <r>
      <rPr>
        <b/>
        <sz val="12"/>
        <rFont val="標楷體"/>
        <family val="4"/>
        <charset val="136"/>
      </rPr>
      <t>農保</t>
    </r>
    <phoneticPr fontId="21" type="noConversion"/>
  </si>
  <si>
    <t xml:space="preserve"> 農保及農職保</t>
    <phoneticPr fontId="4" type="noConversion"/>
  </si>
  <si>
    <r>
      <t xml:space="preserve">      </t>
    </r>
    <r>
      <rPr>
        <b/>
        <sz val="12"/>
        <rFont val="標楷體"/>
        <family val="4"/>
        <charset val="136"/>
      </rPr>
      <t>農職保</t>
    </r>
    <phoneticPr fontId="21" type="noConversion"/>
  </si>
  <si>
    <r>
      <t xml:space="preserve">       </t>
    </r>
    <r>
      <rPr>
        <b/>
        <sz val="12"/>
        <rFont val="標楷體"/>
        <family val="4"/>
        <charset val="136"/>
      </rPr>
      <t>現金給付</t>
    </r>
    <r>
      <rPr>
        <b/>
        <sz val="12"/>
        <rFont val="Times New Roman"/>
        <family val="1"/>
      </rPr>
      <t xml:space="preserve"> </t>
    </r>
    <phoneticPr fontId="21" type="noConversion"/>
  </si>
  <si>
    <r>
      <t xml:space="preserve">       </t>
    </r>
    <r>
      <rPr>
        <b/>
        <sz val="12"/>
        <rFont val="標楷體"/>
        <family val="4"/>
        <charset val="136"/>
      </rPr>
      <t>現金給付</t>
    </r>
    <r>
      <rPr>
        <b/>
        <sz val="12"/>
        <rFont val="Times New Roman"/>
        <family val="1"/>
      </rPr>
      <t xml:space="preserve"> </t>
    </r>
    <phoneticPr fontId="21" type="noConversion"/>
  </si>
  <si>
    <t>註：百分比及前年度決算數細數之和與總數或略有出入，係四捨五入關係。以下各表同。</t>
    <phoneticPr fontId="4" type="noConversion"/>
  </si>
  <si>
    <t>註：百分比及前年度決算數細數之和與總數或略有出入，係四捨五入關係。以下各表同。</t>
    <phoneticPr fontId="4" type="noConversion"/>
  </si>
  <si>
    <t>營運量</t>
  </si>
  <si>
    <t>營運量</t>
    <phoneticPr fontId="4" type="noConversion"/>
  </si>
  <si>
    <t>利率</t>
  </si>
  <si>
    <t>利率</t>
    <phoneticPr fontId="4" type="noConversion"/>
  </si>
  <si>
    <t>收入</t>
    <phoneticPr fontId="4" type="noConversion"/>
  </si>
  <si>
    <t xml:space="preserve">  農保及農職保</t>
    <phoneticPr fontId="4" type="noConversion"/>
  </si>
  <si>
    <t xml:space="preserve">      農保</t>
    <phoneticPr fontId="4" type="noConversion"/>
  </si>
  <si>
    <t xml:space="preserve">      農職保</t>
    <phoneticPr fontId="4" type="noConversion"/>
  </si>
  <si>
    <t>　農保及農職保</t>
    <phoneticPr fontId="4" type="noConversion"/>
  </si>
  <si>
    <t xml:space="preserve">        農保</t>
    <phoneticPr fontId="4" type="noConversion"/>
  </si>
  <si>
    <t xml:space="preserve">        農職保</t>
    <phoneticPr fontId="4" type="noConversion"/>
  </si>
  <si>
    <t xml:space="preserve">     農保</t>
    <phoneticPr fontId="4" type="noConversion"/>
  </si>
  <si>
    <t xml:space="preserve">     農職保</t>
    <phoneticPr fontId="4" type="noConversion"/>
  </si>
  <si>
    <t xml:space="preserve">  農保及農職保</t>
    <phoneticPr fontId="4" type="noConversion"/>
  </si>
  <si>
    <t xml:space="preserve">        農保</t>
    <phoneticPr fontId="4" type="noConversion"/>
  </si>
  <si>
    <t xml:space="preserve">        農保</t>
    <phoneticPr fontId="4" type="noConversion"/>
  </si>
  <si>
    <t>　職業災害勞工保護</t>
    <phoneticPr fontId="4" type="noConversion"/>
  </si>
  <si>
    <t xml:space="preserve">   職業災害勞工保護</t>
    <phoneticPr fontId="4" type="noConversion"/>
  </si>
  <si>
    <r>
      <rPr>
        <sz val="12"/>
        <rFont val="標楷體"/>
        <family val="4"/>
        <charset val="136"/>
      </rPr>
      <t>編列</t>
    </r>
    <r>
      <rPr>
        <sz val="12"/>
        <rFont val="Times New Roman"/>
        <family val="1"/>
      </rPr>
      <t>30</t>
    </r>
    <r>
      <rPr>
        <sz val="12"/>
        <rFont val="標楷體"/>
        <family val="4"/>
        <charset val="136"/>
      </rPr>
      <t>千元，係定存利息匯款手續費等。</t>
    </r>
    <phoneticPr fontId="4" type="noConversion"/>
  </si>
  <si>
    <t>　　　    農保</t>
    <phoneticPr fontId="4" type="noConversion"/>
  </si>
  <si>
    <t>　　　    農職保</t>
    <phoneticPr fontId="4" type="noConversion"/>
  </si>
  <si>
    <t>　農保及農職保</t>
    <phoneticPr fontId="4" type="noConversion"/>
  </si>
  <si>
    <t xml:space="preserve"> 職業災害勞工保護</t>
    <phoneticPr fontId="4" type="noConversion"/>
  </si>
  <si>
    <t>　          未加保勞工</t>
    <phoneticPr fontId="4" type="noConversion"/>
  </si>
  <si>
    <t>　  農保及農職保</t>
    <phoneticPr fontId="4"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</si>
  <si>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1"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</si>
  <si>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r>
      <rPr>
        <sz val="12"/>
        <rFont val="Times New Roman"/>
        <family val="1"/>
      </rPr>
      <t>)</t>
    </r>
    <phoneticPr fontId="21" type="noConversion"/>
  </si>
  <si>
    <t>　農保及農職保</t>
    <phoneticPr fontId="4" type="noConversion"/>
  </si>
  <si>
    <t xml:space="preserve">    農保 </t>
    <phoneticPr fontId="4" type="noConversion"/>
  </si>
  <si>
    <r>
      <rPr>
        <sz val="12"/>
        <rFont val="標楷體"/>
        <family val="4"/>
        <charset val="136"/>
      </rPr>
      <t>保險費由被保險人負擔</t>
    </r>
    <r>
      <rPr>
        <sz val="12"/>
        <rFont val="Times New Roman"/>
        <family val="1"/>
      </rPr>
      <t>30%</t>
    </r>
    <r>
      <rPr>
        <sz val="12"/>
        <rFont val="標楷體"/>
        <family val="4"/>
        <charset val="136"/>
      </rPr>
      <t>，政府補助</t>
    </r>
    <r>
      <rPr>
        <sz val="12"/>
        <rFont val="Times New Roman"/>
        <family val="1"/>
      </rPr>
      <t>70%</t>
    </r>
    <r>
      <rPr>
        <sz val="12"/>
        <rFont val="標楷體"/>
        <family val="4"/>
        <charset val="136"/>
      </rPr>
      <t>。</t>
    </r>
    <phoneticPr fontId="4" type="noConversion"/>
  </si>
  <si>
    <t>保險費由被保險人負擔60%，政府補助40%。</t>
    <phoneticPr fontId="21" type="noConversion"/>
  </si>
  <si>
    <t>　農保及農職保</t>
    <phoneticPr fontId="4" type="noConversion"/>
  </si>
  <si>
    <t>　  農保</t>
    <phoneticPr fontId="4" type="noConversion"/>
  </si>
  <si>
    <t xml:space="preserve">  　  保費收入</t>
    <phoneticPr fontId="4" type="noConversion"/>
  </si>
  <si>
    <t xml:space="preserve">      滯納金收入</t>
    <phoneticPr fontId="4" type="noConversion"/>
  </si>
  <si>
    <t>　  農職保</t>
    <phoneticPr fontId="4" type="noConversion"/>
  </si>
  <si>
    <t xml:space="preserve">   　 保費收入</t>
    <phoneticPr fontId="4" type="noConversion"/>
  </si>
  <si>
    <t>　      被保險人負擔</t>
    <phoneticPr fontId="21" type="noConversion"/>
  </si>
  <si>
    <t>　      政府補助</t>
    <phoneticPr fontId="21" type="noConversion"/>
  </si>
  <si>
    <t xml:space="preserve"> 　   滯納金收入 </t>
    <phoneticPr fontId="4" type="noConversion"/>
  </si>
  <si>
    <t xml:space="preserve">    失能補助</t>
    <phoneticPr fontId="21" type="noConversion"/>
  </si>
  <si>
    <r>
      <t xml:space="preserve">        </t>
    </r>
    <r>
      <rPr>
        <sz val="12"/>
        <rFont val="標楷體"/>
        <family val="4"/>
        <charset val="136"/>
      </rPr>
      <t>失能生活津貼</t>
    </r>
    <phoneticPr fontId="21" type="noConversion"/>
  </si>
  <si>
    <r>
      <t xml:space="preserve">           </t>
    </r>
    <r>
      <rPr>
        <sz val="12"/>
        <rFont val="標楷體"/>
        <family val="4"/>
        <charset val="136"/>
      </rPr>
      <t>失能生活津貼</t>
    </r>
    <phoneticPr fontId="21" type="noConversion"/>
  </si>
  <si>
    <r>
      <rPr>
        <sz val="12"/>
        <rFont val="標楷體"/>
        <family val="4"/>
        <charset val="136"/>
      </rPr>
      <t>全年預估</t>
    </r>
    <r>
      <rPr>
        <sz val="12"/>
        <rFont val="Times New Roman"/>
        <family val="1"/>
      </rPr>
      <t>24</t>
    </r>
    <r>
      <rPr>
        <sz val="12"/>
        <rFont val="標楷體"/>
        <family val="4"/>
        <charset val="136"/>
      </rPr>
      <t>人次。</t>
    </r>
    <phoneticPr fontId="21" type="noConversion"/>
  </si>
  <si>
    <r>
      <rPr>
        <sz val="12"/>
        <rFont val="標楷體"/>
        <family val="4"/>
        <charset val="136"/>
      </rPr>
      <t>全年預估</t>
    </r>
    <r>
      <rPr>
        <sz val="12"/>
        <rFont val="Times New Roman"/>
        <family val="1"/>
      </rPr>
      <t>480</t>
    </r>
    <r>
      <rPr>
        <sz val="12"/>
        <rFont val="標楷體"/>
        <family val="4"/>
        <charset val="136"/>
      </rPr>
      <t>人次。</t>
    </r>
    <phoneticPr fontId="21" type="noConversion"/>
  </si>
  <si>
    <r>
      <rPr>
        <sz val="12"/>
        <rFont val="標楷體"/>
        <family val="4"/>
        <charset val="136"/>
      </rPr>
      <t>全年預估</t>
    </r>
    <r>
      <rPr>
        <sz val="12"/>
        <rFont val="Times New Roman"/>
        <family val="1"/>
      </rPr>
      <t>660</t>
    </r>
    <r>
      <rPr>
        <sz val="12"/>
        <rFont val="標楷體"/>
        <family val="4"/>
        <charset val="136"/>
      </rPr>
      <t>人次。</t>
    </r>
    <phoneticPr fontId="21" type="noConversion"/>
  </si>
  <si>
    <r>
      <rPr>
        <sz val="12"/>
        <rFont val="標楷體"/>
        <family val="4"/>
        <charset val="136"/>
      </rPr>
      <t>全年預估</t>
    </r>
    <r>
      <rPr>
        <sz val="12"/>
        <rFont val="Times New Roman"/>
        <family val="1"/>
      </rPr>
      <t>10</t>
    </r>
    <r>
      <rPr>
        <sz val="12"/>
        <rFont val="標楷體"/>
        <family val="4"/>
        <charset val="136"/>
      </rPr>
      <t>人次。</t>
    </r>
    <phoneticPr fontId="21" type="noConversion"/>
  </si>
  <si>
    <t>　　  農保</t>
    <phoneticPr fontId="4" type="noConversion"/>
  </si>
  <si>
    <t>　  　農職保</t>
    <phoneticPr fontId="4" type="noConversion"/>
  </si>
  <si>
    <t>註：百分比及前年度決算數細數之和與總數或略有出入，係四捨五入關係。以下各表同。</t>
    <phoneticPr fontId="4" type="noConversion"/>
  </si>
  <si>
    <t>其他</t>
    <phoneticPr fontId="4" type="noConversion"/>
  </si>
  <si>
    <t>合    計</t>
    <phoneticPr fontId="4" type="noConversion"/>
  </si>
  <si>
    <t xml:space="preserve">房屋及
建築  </t>
    <phoneticPr fontId="104" type="noConversion"/>
  </si>
  <si>
    <t>機械及
設備</t>
    <phoneticPr fontId="104" type="noConversion"/>
  </si>
  <si>
    <t>什 項 
設 備</t>
    <phoneticPr fontId="104" type="noConversion"/>
  </si>
  <si>
    <t>租賃
權益</t>
    <phoneticPr fontId="104" type="noConversion"/>
  </si>
  <si>
    <t>租賃權
益改良</t>
    <phoneticPr fontId="4" type="noConversion"/>
  </si>
  <si>
    <t xml:space="preserve"> </t>
    <phoneticPr fontId="104" type="noConversion"/>
  </si>
  <si>
    <t>　勞工保險</t>
    <phoneticPr fontId="4" type="noConversion"/>
  </si>
  <si>
    <r>
      <rPr>
        <sz val="11"/>
        <rFont val="標楷體"/>
        <family val="4"/>
        <charset val="136"/>
      </rPr>
      <t>全年預估</t>
    </r>
    <r>
      <rPr>
        <sz val="11"/>
        <rFont val="Times New Roman"/>
        <family val="1"/>
      </rPr>
      <t>10</t>
    </r>
    <r>
      <rPr>
        <sz val="11"/>
        <rFont val="標楷體"/>
        <family val="4"/>
        <charset val="136"/>
      </rPr>
      <t>人次。</t>
    </r>
    <phoneticPr fontId="21" type="noConversion"/>
  </si>
  <si>
    <r>
      <rPr>
        <sz val="12"/>
        <rFont val="標楷體"/>
        <family val="4"/>
        <charset val="136"/>
      </rPr>
      <t>全年預估</t>
    </r>
    <r>
      <rPr>
        <sz val="12"/>
        <rFont val="Times New Roman"/>
        <family val="1"/>
      </rPr>
      <t>460</t>
    </r>
    <r>
      <rPr>
        <sz val="12"/>
        <rFont val="標楷體"/>
        <family val="4"/>
        <charset val="136"/>
      </rPr>
      <t>人次。</t>
    </r>
    <phoneticPr fontId="21" type="noConversion"/>
  </si>
  <si>
    <t>　　其他補助收入</t>
    <phoneticPr fontId="4" type="noConversion"/>
  </si>
  <si>
    <t>本期賸餘（短絀）</t>
  </si>
  <si>
    <t>係增加其他負債0千元。</t>
    <phoneticPr fontId="4" type="noConversion"/>
  </si>
  <si>
    <r>
      <rPr>
        <sz val="18"/>
        <rFont val="標楷體"/>
        <family val="4"/>
        <charset val="136"/>
      </rPr>
      <t>收支餘絀預計表（農保及農職保部分）</t>
    </r>
    <r>
      <rPr>
        <sz val="18"/>
        <rFont val="Times New Roman"/>
        <family val="1"/>
      </rPr>
      <t xml:space="preserve"> </t>
    </r>
    <phoneticPr fontId="4" type="noConversion"/>
  </si>
  <si>
    <t>現金流量預計表（農保及農職保部分）</t>
    <phoneticPr fontId="4" type="noConversion"/>
  </si>
  <si>
    <t>　    未加保勞工</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</si>
  <si>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4" type="noConversion"/>
  </si>
  <si>
    <r>
      <rPr>
        <sz val="12"/>
        <rFont val="標楷體"/>
        <family val="4"/>
        <charset val="136"/>
      </rPr>
      <t>係被保險人貸款違約金收入。</t>
    </r>
    <phoneticPr fontId="4" type="noConversion"/>
  </si>
  <si>
    <r>
      <rPr>
        <sz val="12"/>
        <rFont val="標楷體"/>
        <family val="4"/>
        <charset val="136"/>
      </rPr>
      <t>係依職業災害勞工保護法第</t>
    </r>
    <r>
      <rPr>
        <sz val="12"/>
        <rFont val="Times New Roman"/>
        <family val="1"/>
      </rPr>
      <t>34</t>
    </r>
    <r>
      <rPr>
        <sz val="12"/>
        <rFont val="標楷體"/>
        <family val="4"/>
        <charset val="136"/>
      </rPr>
      <t>條規定所處罰鍰。</t>
    </r>
    <phoneticPr fontId="4" type="noConversion"/>
  </si>
  <si>
    <t>不動產、廠房及設備</t>
    <phoneticPr fontId="4" type="noConversion"/>
  </si>
  <si>
    <t>投資性
不動產</t>
    <phoneticPr fontId="4" type="noConversion"/>
  </si>
  <si>
    <r>
      <rPr>
        <sz val="18"/>
        <rFont val="標楷體"/>
        <family val="4"/>
        <charset val="136"/>
      </rPr>
      <t>預計平衡表（農保及農職保部分）</t>
    </r>
    <r>
      <rPr>
        <sz val="18"/>
        <rFont val="Times New Roman"/>
        <family val="1"/>
      </rPr>
      <t xml:space="preserve"> </t>
    </r>
    <phoneticPr fontId="4" type="noConversion"/>
  </si>
  <si>
    <r>
      <rPr>
        <sz val="12"/>
        <rFont val="標楷體"/>
        <family val="4"/>
        <charset val="136"/>
      </rPr>
      <t>收回責任準備</t>
    </r>
    <r>
      <rPr>
        <sz val="12"/>
        <rFont val="Times New Roman"/>
        <family val="1"/>
      </rPr>
      <t/>
    </r>
    <phoneticPr fontId="4" type="noConversion"/>
  </si>
  <si>
    <t xml:space="preserve"> </t>
    <phoneticPr fontId="4" type="noConversion"/>
  </si>
  <si>
    <t>業務外費用</t>
    <phoneticPr fontId="4" type="noConversion"/>
  </si>
  <si>
    <t xml:space="preserve">  其他業務外費用</t>
    <phoneticPr fontId="4" type="noConversion"/>
  </si>
  <si>
    <t xml:space="preserve">    雜項費用</t>
    <phoneticPr fontId="4" type="noConversion"/>
  </si>
  <si>
    <t>　　  未加保勞工</t>
    <phoneticPr fontId="4" type="noConversion"/>
  </si>
  <si>
    <r>
      <rPr>
        <sz val="12"/>
        <rFont val="標楷體"/>
        <family val="4"/>
        <charset val="136"/>
      </rPr>
      <t>編列千元，係按催收款項餘額依回收情況提列呆帳。</t>
    </r>
    <phoneticPr fontId="4" type="noConversion"/>
  </si>
  <si>
    <r>
      <rPr>
        <sz val="12"/>
        <rFont val="標楷體"/>
        <family val="4"/>
        <charset val="136"/>
      </rPr>
      <t>本項目全數由勞動部職業安全衛生署辦理。</t>
    </r>
    <phoneticPr fontId="4" type="noConversion"/>
  </si>
  <si>
    <r>
      <rPr>
        <sz val="12"/>
        <rFont val="標楷體"/>
        <family val="4"/>
        <charset val="136"/>
      </rPr>
      <t>詳第</t>
    </r>
    <r>
      <rPr>
        <sz val="12"/>
        <rFont val="Times New Roman"/>
        <family val="1"/>
      </rPr>
      <t>54</t>
    </r>
    <r>
      <rPr>
        <sz val="12"/>
        <rFont val="標楷體"/>
        <family val="4"/>
        <charset val="136"/>
      </rPr>
      <t>、</t>
    </r>
    <r>
      <rPr>
        <sz val="12"/>
        <rFont val="Times New Roman"/>
        <family val="1"/>
      </rPr>
      <t>56~58</t>
    </r>
    <r>
      <rPr>
        <sz val="12"/>
        <rFont val="標楷體"/>
        <family val="4"/>
        <charset val="136"/>
      </rPr>
      <t>頁保費收入分析表及附表。</t>
    </r>
    <phoneticPr fontId="4" type="noConversion"/>
  </si>
  <si>
    <r>
      <rPr>
        <sz val="12"/>
        <rFont val="標楷體"/>
        <family val="4"/>
        <charset val="136"/>
      </rPr>
      <t>詳第</t>
    </r>
    <r>
      <rPr>
        <sz val="12"/>
        <rFont val="Times New Roman"/>
        <family val="1"/>
      </rPr>
      <t>55</t>
    </r>
    <r>
      <rPr>
        <sz val="12"/>
        <rFont val="標楷體"/>
        <family val="4"/>
        <charset val="136"/>
      </rPr>
      <t>、</t>
    </r>
    <r>
      <rPr>
        <sz val="12"/>
        <rFont val="Times New Roman"/>
        <family val="1"/>
      </rPr>
      <t>58~60</t>
    </r>
    <r>
      <rPr>
        <sz val="12"/>
        <rFont val="標楷體"/>
        <family val="4"/>
        <charset val="136"/>
      </rPr>
      <t>頁保費收入分析表及附表。</t>
    </r>
    <phoneticPr fontId="4" type="noConversion"/>
  </si>
  <si>
    <r>
      <rPr>
        <sz val="12"/>
        <rFont val="標楷體"/>
        <family val="4"/>
        <charset val="136"/>
      </rPr>
      <t>詳第</t>
    </r>
    <r>
      <rPr>
        <sz val="12"/>
        <rFont val="Times New Roman"/>
        <family val="1"/>
      </rPr>
      <t>55</t>
    </r>
    <r>
      <rPr>
        <sz val="12"/>
        <rFont val="標楷體"/>
        <family val="4"/>
        <charset val="136"/>
      </rPr>
      <t>、</t>
    </r>
    <r>
      <rPr>
        <sz val="12"/>
        <rFont val="Times New Roman"/>
        <family val="1"/>
      </rPr>
      <t>60</t>
    </r>
    <r>
      <rPr>
        <sz val="12"/>
        <rFont val="標楷體"/>
        <family val="4"/>
        <charset val="136"/>
      </rPr>
      <t>頁保費收入分析表及附表。</t>
    </r>
    <phoneticPr fontId="4" type="noConversion"/>
  </si>
  <si>
    <t>前年度決算資產原值</t>
    <phoneticPr fontId="4" type="noConversion"/>
  </si>
  <si>
    <t>上年度預計增減資產原值</t>
    <phoneticPr fontId="4" type="noConversion"/>
  </si>
  <si>
    <t>本年度預計增減資產原值</t>
    <phoneticPr fontId="4" type="noConversion"/>
  </si>
  <si>
    <t>資產重估增值額</t>
    <phoneticPr fontId="4" type="noConversion"/>
  </si>
  <si>
    <t>本年度(12月底)止資產總額</t>
    <phoneticPr fontId="4" type="noConversion"/>
  </si>
  <si>
    <t>本年度應提折舊額</t>
    <phoneticPr fontId="4" type="noConversion"/>
  </si>
  <si>
    <t>項目</t>
    <phoneticPr fontId="4" type="noConversion"/>
  </si>
  <si>
    <t>土地
改
良物</t>
    <phoneticPr fontId="104" type="noConversion"/>
  </si>
  <si>
    <t>交通
及運
輸設備</t>
    <phoneticPr fontId="4" type="noConversion"/>
  </si>
  <si>
    <t>生產
性
植物</t>
    <phoneticPr fontId="4" type="noConversion"/>
  </si>
  <si>
    <t xml:space="preserve">   投資性
    不動產
    折舊</t>
    <phoneticPr fontId="4" type="noConversion"/>
  </si>
  <si>
    <t xml:space="preserve"> 出租資產
  成本</t>
    <phoneticPr fontId="4" type="noConversion"/>
  </si>
  <si>
    <t>短期貸款</t>
    <phoneticPr fontId="4" type="noConversion"/>
  </si>
  <si>
    <t>應收到期長期貸款</t>
    <phoneticPr fontId="4" type="noConversion"/>
  </si>
  <si>
    <t>小計</t>
    <phoneticPr fontId="4" type="noConversion"/>
  </si>
  <si>
    <t>長期貸款</t>
    <phoneticPr fontId="4" type="noConversion"/>
  </si>
  <si>
    <t>減:轉列應收到期長期貸款</t>
    <phoneticPr fontId="4" type="noConversion"/>
  </si>
  <si>
    <r>
      <rPr>
        <sz val="12"/>
        <rFont val="標楷體"/>
        <family val="4"/>
        <charset val="136"/>
      </rPr>
      <t>備註</t>
    </r>
    <phoneticPr fontId="21"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</si>
  <si>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4" type="noConversion"/>
  </si>
  <si>
    <r>
      <rPr>
        <sz val="11"/>
        <rFont val="標楷體"/>
        <family val="4"/>
        <charset val="136"/>
      </rPr>
      <t>全年預估</t>
    </r>
    <r>
      <rPr>
        <sz val="11"/>
        <rFont val="Times New Roman"/>
        <family val="1"/>
      </rPr>
      <t>700</t>
    </r>
    <r>
      <rPr>
        <sz val="11"/>
        <rFont val="標楷體"/>
        <family val="4"/>
        <charset val="136"/>
      </rPr>
      <t>人次。</t>
    </r>
    <phoneticPr fontId="21" type="noConversion"/>
  </si>
  <si>
    <t>資產折舊明細表</t>
    <phoneticPr fontId="4" type="noConversion"/>
  </si>
  <si>
    <t>　　    攤銷</t>
    <phoneticPr fontId="4" type="noConversion"/>
  </si>
  <si>
    <t xml:space="preserve">投保人數係參酌歷年統計資料就保人數均逐年穩定成長因素編列。
</t>
    <phoneticPr fontId="4" type="noConversion"/>
  </si>
  <si>
    <t>平均月投保薪資係參酌歷年統計資料編列。</t>
    <phoneticPr fontId="4" type="noConversion"/>
  </si>
  <si>
    <t>2.</t>
    <phoneticPr fontId="4" type="noConversion"/>
  </si>
  <si>
    <t>係政府撥補勞工保險基金。</t>
    <phoneticPr fontId="4" type="noConversion"/>
  </si>
  <si>
    <r>
      <rPr>
        <sz val="12"/>
        <rFont val="標楷體"/>
        <family val="4"/>
        <charset val="136"/>
      </rPr>
      <t>係依據勞動部改制前之行政院勞工委員會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11</t>
    </r>
    <r>
      <rPr>
        <sz val="12"/>
        <rFont val="標楷體"/>
        <family val="4"/>
        <charset val="136"/>
      </rPr>
      <t>千元</t>
    </r>
    <r>
      <rPr>
        <sz val="12"/>
        <rFont val="新細明體"/>
        <family val="1"/>
        <charset val="136"/>
      </rPr>
      <t>。</t>
    </r>
    <phoneticPr fontId="4" type="noConversion"/>
  </si>
  <si>
    <t xml:space="preserve">  農保及農職保</t>
    <phoneticPr fontId="4" type="noConversion"/>
  </si>
  <si>
    <t xml:space="preserve">    雜項業務成本(農保)</t>
    <phoneticPr fontId="4" type="noConversion"/>
  </si>
  <si>
    <t>　農保及農職保</t>
    <phoneticPr fontId="4" type="noConversion"/>
  </si>
  <si>
    <t xml:space="preserve">         </t>
    <phoneticPr fontId="4" type="noConversion"/>
  </si>
  <si>
    <r>
      <t>110</t>
    </r>
    <r>
      <rPr>
        <sz val="18"/>
        <rFont val="標楷體"/>
        <family val="4"/>
        <charset val="136"/>
      </rPr>
      <t>年度收入、成本與費用及賸餘</t>
    </r>
    <phoneticPr fontId="72" type="noConversion"/>
  </si>
  <si>
    <r>
      <t>110</t>
    </r>
    <r>
      <rPr>
        <b/>
        <sz val="12"/>
        <rFont val="標楷體"/>
        <family val="4"/>
        <charset val="136"/>
      </rPr>
      <t>年度預算</t>
    </r>
    <phoneticPr fontId="72" type="noConversion"/>
  </si>
  <si>
    <t>106年度決算</t>
    <phoneticPr fontId="72" type="noConversion"/>
  </si>
  <si>
    <t>107年度決算</t>
    <phoneticPr fontId="72" type="noConversion"/>
  </si>
  <si>
    <t>108年度決算</t>
    <phoneticPr fontId="72" type="noConversion"/>
  </si>
  <si>
    <t>109年度預算</t>
    <phoneticPr fontId="72" type="noConversion"/>
  </si>
  <si>
    <r>
      <rPr>
        <sz val="12"/>
        <rFont val="標楷體"/>
        <family val="4"/>
        <charset val="136"/>
      </rPr>
      <t>中華民國</t>
    </r>
    <r>
      <rPr>
        <sz val="12"/>
        <rFont val="Times New Roman"/>
        <family val="1"/>
      </rPr>
      <t>110</t>
    </r>
    <r>
      <rPr>
        <sz val="12"/>
        <rFont val="標楷體"/>
        <family val="4"/>
        <charset val="136"/>
      </rPr>
      <t>年度</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</si>
  <si>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</si>
  <si>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</si>
  <si>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</si>
  <si>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</si>
  <si>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</si>
  <si>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</si>
  <si>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 xml:space="preserve"> </t>
    </r>
    <r>
      <rPr>
        <sz val="12"/>
        <rFont val="標楷體"/>
        <family val="4"/>
        <charset val="136"/>
      </rPr>
      <t>中華民國</t>
    </r>
    <r>
      <rPr>
        <sz val="12"/>
        <rFont val="Times New Roman"/>
        <family val="1"/>
      </rPr>
      <t>110</t>
    </r>
    <r>
      <rPr>
        <sz val="12"/>
        <rFont val="標楷體"/>
        <family val="4"/>
        <charset val="136"/>
      </rPr>
      <t>年度</t>
    </r>
    <phoneticPr fontId="4" type="noConversion"/>
  </si>
  <si>
    <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</si>
  <si>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 xml:space="preserve">                                                                </t>
    </r>
    <r>
      <rPr>
        <sz val="12"/>
        <rFont val="標楷體"/>
        <family val="4"/>
        <charset val="136"/>
      </rPr>
      <t>中華民國</t>
    </r>
    <r>
      <rPr>
        <sz val="12"/>
        <rFont val="Times New Roman"/>
        <family val="1"/>
      </rPr>
      <t xml:space="preserve"> 110</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</si>
  <si>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r>
      <t xml:space="preserve">                                                                   </t>
    </r>
    <r>
      <rPr>
        <sz val="12"/>
        <rFont val="標楷體"/>
        <family val="4"/>
        <charset val="136"/>
      </rPr>
      <t>中華民國</t>
    </r>
    <r>
      <rPr>
        <sz val="12"/>
        <rFont val="Times New Roman"/>
        <family val="1"/>
      </rPr>
      <t xml:space="preserve"> 110</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</si>
  <si>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</si>
  <si>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</si>
  <si>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</si>
  <si>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</si>
  <si>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</si>
  <si>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106</t>
    </r>
    <r>
      <rPr>
        <b/>
        <sz val="12"/>
        <rFont val="標楷體"/>
        <family val="4"/>
        <charset val="136"/>
      </rPr>
      <t>年度決算數</t>
    </r>
    <phoneticPr fontId="4" type="noConversion"/>
  </si>
  <si>
    <r>
      <rPr>
        <b/>
        <sz val="12"/>
        <rFont val="Times New Roman"/>
        <family val="1"/>
      </rPr>
      <t>107</t>
    </r>
    <r>
      <rPr>
        <b/>
        <sz val="12"/>
        <rFont val="標楷體"/>
        <family val="4"/>
        <charset val="136"/>
      </rPr>
      <t>年度決算數</t>
    </r>
    <phoneticPr fontId="4" type="noConversion"/>
  </si>
  <si>
    <r>
      <t xml:space="preserve">               </t>
    </r>
    <r>
      <rPr>
        <sz val="12"/>
        <rFont val="標楷體"/>
        <family val="4"/>
        <charset val="136"/>
      </rPr>
      <t>中華民國</t>
    </r>
    <r>
      <rPr>
        <sz val="12"/>
        <rFont val="Times New Roman"/>
        <family val="1"/>
      </rPr>
      <t xml:space="preserve">    110</t>
    </r>
    <r>
      <rPr>
        <sz val="12"/>
        <rFont val="標楷體"/>
        <family val="4"/>
        <charset val="136"/>
      </rPr>
      <t>年度</t>
    </r>
    <phoneticPr fontId="4" type="noConversion"/>
  </si>
  <si>
    <r>
      <t xml:space="preserve">              </t>
    </r>
    <r>
      <rPr>
        <sz val="12"/>
        <rFont val="標楷體"/>
        <family val="4"/>
        <charset val="136"/>
      </rPr>
      <t>中華民國</t>
    </r>
    <r>
      <rPr>
        <sz val="12"/>
        <rFont val="Times New Roman"/>
        <family val="1"/>
      </rPr>
      <t xml:space="preserve">      110</t>
    </r>
    <r>
      <rPr>
        <sz val="12"/>
        <rFont val="標楷體"/>
        <family val="4"/>
        <charset val="136"/>
      </rPr>
      <t>年度</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</si>
  <si>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</si>
  <si>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</si>
  <si>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</si>
  <si>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</si>
  <si>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</si>
  <si>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</si>
  <si>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</si>
  <si>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</si>
  <si>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110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</si>
  <si>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</si>
  <si>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</si>
  <si>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</si>
  <si>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</si>
  <si>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</si>
  <si>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1"/>
        <rFont val="標楷體"/>
        <family val="4"/>
        <charset val="136"/>
      </rPr>
      <t>全年預估</t>
    </r>
    <r>
      <rPr>
        <sz val="11"/>
        <rFont val="Times New Roman"/>
        <family val="1"/>
      </rPr>
      <t>625</t>
    </r>
    <r>
      <rPr>
        <sz val="11"/>
        <rFont val="標楷體"/>
        <family val="4"/>
        <charset val="136"/>
      </rPr>
      <t>件。</t>
    </r>
    <phoneticPr fontId="21" type="noConversion"/>
  </si>
  <si>
    <r>
      <rPr>
        <sz val="11"/>
        <rFont val="標楷體"/>
        <family val="4"/>
        <charset val="136"/>
      </rPr>
      <t>全年預估</t>
    </r>
    <r>
      <rPr>
        <sz val="11"/>
        <rFont val="Times New Roman"/>
        <family val="1"/>
      </rPr>
      <t>1,560</t>
    </r>
    <r>
      <rPr>
        <sz val="11"/>
        <rFont val="標楷體"/>
        <family val="4"/>
        <charset val="136"/>
      </rPr>
      <t>件。</t>
    </r>
    <phoneticPr fontId="21" type="noConversion"/>
  </si>
  <si>
    <r>
      <rPr>
        <sz val="11"/>
        <rFont val="標楷體"/>
        <family val="4"/>
        <charset val="136"/>
      </rPr>
      <t>全年預估</t>
    </r>
    <r>
      <rPr>
        <sz val="11"/>
        <rFont val="Times New Roman"/>
        <family val="1"/>
      </rPr>
      <t>11,445</t>
    </r>
    <r>
      <rPr>
        <sz val="11"/>
        <rFont val="標楷體"/>
        <family val="4"/>
        <charset val="136"/>
      </rPr>
      <t>件。</t>
    </r>
    <phoneticPr fontId="21" type="noConversion"/>
  </si>
  <si>
    <r>
      <rPr>
        <sz val="11"/>
        <rFont val="標楷體"/>
        <family val="4"/>
        <charset val="136"/>
      </rPr>
      <t>全年預估</t>
    </r>
    <r>
      <rPr>
        <sz val="11"/>
        <rFont val="Times New Roman"/>
        <family val="1"/>
      </rPr>
      <t>27,958</t>
    </r>
    <r>
      <rPr>
        <sz val="11"/>
        <rFont val="標楷體"/>
        <family val="4"/>
        <charset val="136"/>
      </rPr>
      <t>件。</t>
    </r>
    <phoneticPr fontId="21" type="noConversion"/>
  </si>
  <si>
    <r>
      <rPr>
        <sz val="11"/>
        <rFont val="標楷體"/>
        <family val="4"/>
        <charset val="136"/>
      </rPr>
      <t>全年預估</t>
    </r>
    <r>
      <rPr>
        <sz val="11"/>
        <rFont val="Times New Roman"/>
        <family val="1"/>
      </rPr>
      <t>161</t>
    </r>
    <r>
      <rPr>
        <sz val="11"/>
        <rFont val="標楷體"/>
        <family val="4"/>
        <charset val="136"/>
      </rPr>
      <t>件。</t>
    </r>
    <phoneticPr fontId="21" type="noConversion"/>
  </si>
  <si>
    <r>
      <rPr>
        <sz val="11"/>
        <rFont val="標楷體"/>
        <family val="4"/>
        <charset val="136"/>
      </rPr>
      <t>投保人數</t>
    </r>
    <r>
      <rPr>
        <sz val="11"/>
        <rFont val="Times New Roman"/>
        <family val="1"/>
      </rPr>
      <t>1,038,000</t>
    </r>
    <r>
      <rPr>
        <sz val="11"/>
        <rFont val="標楷體"/>
        <family val="4"/>
        <charset val="136"/>
      </rPr>
      <t>人。</t>
    </r>
    <phoneticPr fontId="21" type="noConversion"/>
  </si>
  <si>
    <r>
      <rPr>
        <sz val="11"/>
        <rFont val="標楷體"/>
        <family val="4"/>
        <charset val="136"/>
      </rPr>
      <t>投保人數</t>
    </r>
    <r>
      <rPr>
        <sz val="11"/>
        <rFont val="Times New Roman"/>
        <family val="1"/>
      </rPr>
      <t>360,000</t>
    </r>
    <r>
      <rPr>
        <sz val="11"/>
        <rFont val="標楷體"/>
        <family val="4"/>
        <charset val="136"/>
      </rPr>
      <t>人。</t>
    </r>
    <phoneticPr fontId="21" type="noConversion"/>
  </si>
  <si>
    <r>
      <rPr>
        <sz val="11"/>
        <rFont val="標楷體"/>
        <family val="4"/>
        <charset val="136"/>
      </rPr>
      <t>全年預估</t>
    </r>
    <r>
      <rPr>
        <sz val="11"/>
        <rFont val="Times New Roman"/>
        <family val="1"/>
      </rPr>
      <t>5,040</t>
    </r>
    <r>
      <rPr>
        <sz val="11"/>
        <rFont val="標楷體"/>
        <family val="4"/>
        <charset val="136"/>
      </rPr>
      <t>件。</t>
    </r>
    <phoneticPr fontId="21" type="noConversion"/>
  </si>
  <si>
    <r>
      <rPr>
        <sz val="11"/>
        <rFont val="標楷體"/>
        <family val="4"/>
        <charset val="136"/>
      </rPr>
      <t>全年預估</t>
    </r>
    <r>
      <rPr>
        <sz val="11"/>
        <rFont val="Times New Roman"/>
        <family val="1"/>
      </rPr>
      <t>82</t>
    </r>
    <r>
      <rPr>
        <sz val="11"/>
        <rFont val="標楷體"/>
        <family val="4"/>
        <charset val="136"/>
      </rPr>
      <t>件。</t>
    </r>
    <phoneticPr fontId="21" type="noConversion"/>
  </si>
  <si>
    <r>
      <rPr>
        <sz val="11"/>
        <rFont val="標楷體"/>
        <family val="4"/>
        <charset val="136"/>
      </rPr>
      <t>全年預估</t>
    </r>
    <r>
      <rPr>
        <sz val="11"/>
        <rFont val="Times New Roman"/>
        <family val="1"/>
      </rPr>
      <t>170</t>
    </r>
    <r>
      <rPr>
        <sz val="11"/>
        <rFont val="標楷體"/>
        <family val="4"/>
        <charset val="136"/>
      </rPr>
      <t>件。</t>
    </r>
    <phoneticPr fontId="21" type="noConversion"/>
  </si>
  <si>
    <r>
      <rPr>
        <sz val="11"/>
        <rFont val="標楷體"/>
        <family val="4"/>
        <charset val="136"/>
      </rPr>
      <t>全年預估</t>
    </r>
    <r>
      <rPr>
        <sz val="11"/>
        <rFont val="Times New Roman"/>
        <family val="1"/>
      </rPr>
      <t>7</t>
    </r>
    <r>
      <rPr>
        <sz val="11"/>
        <rFont val="標楷體"/>
        <family val="4"/>
        <charset val="136"/>
      </rPr>
      <t>件。</t>
    </r>
    <phoneticPr fontId="21"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</si>
  <si>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1,520,376</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；無職業災害保險費。</t>
    </r>
    <phoneticPr fontId="4" type="noConversion"/>
  </si>
  <si>
    <r>
      <rPr>
        <sz val="12"/>
        <rFont val="標楷體"/>
        <family val="4"/>
        <charset val="136"/>
      </rPr>
      <t>職業災害勞工醫療期間退保自願繼續加保者，其保險費由被保險人負擔</t>
    </r>
    <r>
      <rPr>
        <sz val="12"/>
        <rFont val="Times New Roman"/>
        <family val="1"/>
      </rPr>
      <t>39%</t>
    </r>
    <r>
      <rPr>
        <sz val="12"/>
        <rFont val="標楷體"/>
        <family val="4"/>
        <charset val="136"/>
      </rPr>
      <t>，職業災害勞工保護法第</t>
    </r>
    <r>
      <rPr>
        <sz val="12"/>
        <rFont val="Times New Roman"/>
        <family val="1"/>
      </rPr>
      <t>3</t>
    </r>
    <r>
      <rPr>
        <sz val="12"/>
        <rFont val="標楷體"/>
        <family val="4"/>
        <charset val="136"/>
      </rPr>
      <t>條第</t>
    </r>
    <r>
      <rPr>
        <sz val="12"/>
        <rFont val="Times New Roman"/>
        <family val="1"/>
      </rPr>
      <t>1</t>
    </r>
    <r>
      <rPr>
        <sz val="12"/>
        <rFont val="標楷體"/>
        <family val="4"/>
        <charset val="136"/>
      </rPr>
      <t>項規定之專款補助</t>
    </r>
    <r>
      <rPr>
        <sz val="12"/>
        <rFont val="Times New Roman"/>
        <family val="1"/>
      </rPr>
      <t>61%</t>
    </r>
    <r>
      <rPr>
        <sz val="12"/>
        <rFont val="標楷體"/>
        <family val="4"/>
        <charset val="136"/>
      </rPr>
      <t>。</t>
    </r>
    <phoneticPr fontId="21"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</si>
  <si>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144,752</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4" type="noConversion"/>
  </si>
  <si>
    <t xml:space="preserve">  勞工保險</t>
    <phoneticPr fontId="4" type="noConversion"/>
  </si>
  <si>
    <r>
      <rPr>
        <sz val="11"/>
        <rFont val="標楷體"/>
        <family val="4"/>
        <charset val="136"/>
      </rPr>
      <t>投保人數</t>
    </r>
    <r>
      <rPr>
        <sz val="11"/>
        <rFont val="Times New Roman"/>
        <family val="1"/>
      </rPr>
      <t>7,130,000</t>
    </r>
    <r>
      <rPr>
        <sz val="11"/>
        <rFont val="標楷體"/>
        <family val="4"/>
        <charset val="136"/>
      </rPr>
      <t>人。</t>
    </r>
    <phoneticPr fontId="21" type="noConversion"/>
  </si>
  <si>
    <r>
      <rPr>
        <sz val="11"/>
        <rFont val="標楷體"/>
        <family val="4"/>
        <charset val="136"/>
      </rPr>
      <t>全年發生率</t>
    </r>
    <r>
      <rPr>
        <sz val="11"/>
        <rFont val="Times New Roman"/>
        <family val="1"/>
      </rPr>
      <t>13.46%</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</si>
  <si>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5.39%</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</si>
  <si>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1.09%</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</si>
  <si>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11.57%</t>
    </r>
    <r>
      <rPr>
        <b/>
        <sz val="6"/>
        <rFont val="Times New Roman"/>
        <family val="1"/>
      </rPr>
      <t>0</t>
    </r>
    <r>
      <rPr>
        <sz val="11"/>
        <rFont val="標楷體"/>
        <family val="4"/>
        <charset val="136"/>
      </rPr>
      <t>。</t>
    </r>
    <phoneticPr fontId="21" type="noConversion"/>
  </si>
  <si>
    <r>
      <rPr>
        <sz val="11"/>
        <rFont val="標楷體"/>
        <family val="4"/>
        <charset val="136"/>
      </rPr>
      <t>全年預估</t>
    </r>
    <r>
      <rPr>
        <sz val="11"/>
        <rFont val="Times New Roman"/>
        <family val="1"/>
      </rPr>
      <t>360</t>
    </r>
    <r>
      <rPr>
        <sz val="11"/>
        <rFont val="標楷體"/>
        <family val="4"/>
        <charset val="136"/>
      </rPr>
      <t>人次。</t>
    </r>
    <phoneticPr fontId="21" type="noConversion"/>
  </si>
  <si>
    <r>
      <rPr>
        <sz val="11"/>
        <rFont val="標楷體"/>
        <family val="4"/>
        <charset val="136"/>
      </rPr>
      <t>全年預估</t>
    </r>
    <r>
      <rPr>
        <sz val="11"/>
        <rFont val="Times New Roman"/>
        <family val="1"/>
      </rPr>
      <t>480</t>
    </r>
    <r>
      <rPr>
        <sz val="11"/>
        <rFont val="標楷體"/>
        <family val="4"/>
        <charset val="136"/>
      </rPr>
      <t>人次。</t>
    </r>
    <phoneticPr fontId="21" type="noConversion"/>
  </si>
  <si>
    <r>
      <rPr>
        <sz val="11"/>
        <rFont val="標楷體"/>
        <family val="4"/>
        <charset val="136"/>
      </rPr>
      <t>全年預估</t>
    </r>
    <r>
      <rPr>
        <sz val="11"/>
        <rFont val="Times New Roman"/>
        <family val="1"/>
      </rPr>
      <t>4,200</t>
    </r>
    <r>
      <rPr>
        <sz val="11"/>
        <rFont val="標楷體"/>
        <family val="4"/>
        <charset val="136"/>
      </rPr>
      <t>人次。</t>
    </r>
    <phoneticPr fontId="21" type="noConversion"/>
  </si>
  <si>
    <r>
      <rPr>
        <sz val="11"/>
        <rFont val="標楷體"/>
        <family val="4"/>
        <charset val="136"/>
      </rPr>
      <t>全年預估</t>
    </r>
    <r>
      <rPr>
        <sz val="11"/>
        <rFont val="Times New Roman"/>
        <family val="1"/>
      </rPr>
      <t>10,000</t>
    </r>
    <r>
      <rPr>
        <sz val="11"/>
        <rFont val="標楷體"/>
        <family val="4"/>
        <charset val="136"/>
      </rPr>
      <t>人次。</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</si>
  <si>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職業衛生與健康管理</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</si>
  <si>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職業傷病防治與重建服務</t>
    </r>
    <phoneticPr fontId="21" type="noConversion"/>
  </si>
  <si>
    <r>
      <rPr>
        <sz val="11"/>
        <rFont val="標楷體"/>
        <family val="4"/>
        <charset val="136"/>
      </rPr>
      <t>全年預估</t>
    </r>
    <r>
      <rPr>
        <sz val="11"/>
        <rFont val="Times New Roman"/>
        <family val="1"/>
      </rPr>
      <t>440</t>
    </r>
    <r>
      <rPr>
        <sz val="11"/>
        <rFont val="標楷體"/>
        <family val="4"/>
        <charset val="136"/>
      </rPr>
      <t>件。</t>
    </r>
    <phoneticPr fontId="21" type="noConversion"/>
  </si>
  <si>
    <r>
      <rPr>
        <sz val="11"/>
        <rFont val="標楷體"/>
        <family val="4"/>
        <charset val="136"/>
      </rPr>
      <t>依照職業災害預防補助辦法公告受理申請及補助。</t>
    </r>
    <phoneticPr fontId="4" type="noConversion"/>
  </si>
  <si>
    <r>
      <rPr>
        <sz val="11"/>
        <rFont val="標楷體"/>
        <family val="4"/>
        <charset val="136"/>
      </rPr>
      <t>投保人數</t>
    </r>
    <r>
      <rPr>
        <sz val="11"/>
        <rFont val="Times New Roman"/>
        <family val="1"/>
      </rPr>
      <t>10,530,000</t>
    </r>
    <r>
      <rPr>
        <sz val="11"/>
        <rFont val="標楷體"/>
        <family val="4"/>
        <charset val="136"/>
      </rPr>
      <t>人（含一般勞工</t>
    </r>
    <r>
      <rPr>
        <sz val="11"/>
        <rFont val="Times New Roman"/>
        <family val="1"/>
      </rPr>
      <t>10,110,000</t>
    </r>
    <r>
      <rPr>
        <sz val="11"/>
        <rFont val="標楷體"/>
        <family val="4"/>
        <charset val="136"/>
      </rPr>
      <t>人及已領老年給付勞工</t>
    </r>
    <r>
      <rPr>
        <sz val="11"/>
        <rFont val="Times New Roman"/>
        <family val="1"/>
      </rPr>
      <t>420,000</t>
    </r>
    <r>
      <rPr>
        <sz val="11"/>
        <rFont val="標楷體"/>
        <family val="4"/>
        <charset val="136"/>
      </rPr>
      <t>人）。</t>
    </r>
    <phoneticPr fontId="21" type="noConversion"/>
  </si>
  <si>
    <r>
      <rPr>
        <sz val="11"/>
        <rFont val="標楷體"/>
        <family val="4"/>
        <charset val="136"/>
      </rPr>
      <t>全年發生率</t>
    </r>
    <r>
      <rPr>
        <sz val="11"/>
        <rFont val="Times New Roman"/>
        <family val="1"/>
      </rPr>
      <t>0.18%</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</si>
  <si>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0.33%</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</si>
  <si>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0.15%</t>
    </r>
    <r>
      <rPr>
        <b/>
        <sz val="6"/>
        <rFont val="Times New Roman"/>
        <family val="1"/>
      </rPr>
      <t>0</t>
    </r>
    <r>
      <rPr>
        <sz val="11"/>
        <rFont val="標楷體"/>
        <family val="4"/>
        <charset val="136"/>
      </rPr>
      <t>。</t>
    </r>
    <phoneticPr fontId="21" type="noConversion"/>
  </si>
  <si>
    <r>
      <rPr>
        <sz val="11"/>
        <rFont val="標楷體"/>
        <family val="4"/>
        <charset val="136"/>
      </rPr>
      <t>全年住院率</t>
    </r>
    <r>
      <rPr>
        <sz val="11"/>
        <rFont val="Times New Roman"/>
        <family val="1"/>
      </rPr>
      <t>0.304%</t>
    </r>
    <r>
      <rPr>
        <sz val="11"/>
        <rFont val="標楷體"/>
        <family val="4"/>
        <charset val="136"/>
      </rPr>
      <t>。</t>
    </r>
    <phoneticPr fontId="21" type="noConversion"/>
  </si>
  <si>
    <r>
      <rPr>
        <sz val="11"/>
        <rFont val="標楷體"/>
        <family val="4"/>
        <charset val="136"/>
      </rPr>
      <t>全年就診率</t>
    </r>
    <r>
      <rPr>
        <sz val="11"/>
        <rFont val="Times New Roman"/>
        <family val="1"/>
      </rPr>
      <t>17.22%</t>
    </r>
    <r>
      <rPr>
        <sz val="11"/>
        <rFont val="標楷體"/>
        <family val="4"/>
        <charset val="136"/>
      </rPr>
      <t>。</t>
    </r>
    <phoneticPr fontId="21" type="noConversion"/>
  </si>
  <si>
    <r>
      <rPr>
        <sz val="11"/>
        <rFont val="標楷體"/>
        <family val="4"/>
        <charset val="136"/>
      </rPr>
      <t>按檢查類別，預估全年受檢人數。</t>
    </r>
    <phoneticPr fontId="21" type="noConversion"/>
  </si>
  <si>
    <r>
      <rPr>
        <sz val="11"/>
        <rFont val="標楷體"/>
        <family val="4"/>
        <charset val="136"/>
      </rPr>
      <t>全年預估</t>
    </r>
    <r>
      <rPr>
        <sz val="11"/>
        <rFont val="Times New Roman"/>
        <family val="1"/>
      </rPr>
      <t>5</t>
    </r>
    <r>
      <rPr>
        <sz val="11"/>
        <rFont val="標楷體"/>
        <family val="4"/>
        <charset val="136"/>
      </rPr>
      <t>件。</t>
    </r>
    <phoneticPr fontId="21" type="noConversion"/>
  </si>
  <si>
    <t>　　雜項業務成本</t>
    <phoneticPr fontId="4" type="noConversion"/>
  </si>
  <si>
    <r>
      <rPr>
        <sz val="12"/>
        <rFont val="標楷體"/>
        <family val="4"/>
        <charset val="136"/>
      </rPr>
      <t>係基金出租投資性不動產平均營運量</t>
    </r>
    <r>
      <rPr>
        <sz val="12"/>
        <rFont val="Times New Roman"/>
        <family val="1"/>
      </rPr>
      <t>1,647,559</t>
    </r>
    <r>
      <rPr>
        <sz val="12"/>
        <rFont val="標楷體"/>
        <family val="4"/>
        <charset val="136"/>
      </rPr>
      <t>千元所獲得之收入等，詳第</t>
    </r>
    <r>
      <rPr>
        <sz val="12"/>
        <rFont val="Times New Roman"/>
        <family val="1"/>
      </rPr>
      <t>53</t>
    </r>
    <r>
      <rPr>
        <sz val="12"/>
        <rFont val="標楷體"/>
        <family val="4"/>
        <charset val="136"/>
      </rPr>
      <t>頁投資性不動產收入分析表。</t>
    </r>
    <phoneticPr fontId="4"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</si>
  <si>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4" type="noConversion"/>
  </si>
  <si>
    <r>
      <rPr>
        <sz val="12"/>
        <rFont val="標楷體"/>
        <family val="4"/>
        <charset val="136"/>
      </rPr>
      <t>本科目勞動部勞工保險局辦理</t>
    </r>
    <r>
      <rPr>
        <sz val="12"/>
        <rFont val="Times New Roman"/>
        <family val="1"/>
      </rPr>
      <t>229,881</t>
    </r>
    <r>
      <rPr>
        <sz val="12"/>
        <rFont val="標楷體"/>
        <family val="4"/>
        <charset val="136"/>
      </rPr>
      <t>千元；勞動部職業安全衛生署辦理</t>
    </r>
    <r>
      <rPr>
        <sz val="12"/>
        <rFont val="Times New Roman"/>
        <family val="1"/>
      </rPr>
      <t>3,750</t>
    </r>
    <r>
      <rPr>
        <sz val="12"/>
        <rFont val="標楷體"/>
        <family val="4"/>
        <charset val="136"/>
      </rPr>
      <t>千元。</t>
    </r>
    <phoneticPr fontId="4" type="noConversion"/>
  </si>
  <si>
    <r>
      <rPr>
        <sz val="12"/>
        <rFont val="標楷體"/>
        <family val="4"/>
        <charset val="136"/>
      </rPr>
      <t>編列</t>
    </r>
    <r>
      <rPr>
        <sz val="12"/>
        <rFont val="Times New Roman"/>
        <family val="1"/>
      </rPr>
      <t>2,195</t>
    </r>
    <r>
      <rPr>
        <sz val="12"/>
        <rFont val="標楷體"/>
        <family val="4"/>
        <charset val="136"/>
      </rPr>
      <t>千元，係基金投資不動產之房屋修護費用等。</t>
    </r>
    <phoneticPr fontId="4" type="noConversion"/>
  </si>
  <si>
    <r>
      <rPr>
        <sz val="12"/>
        <rFont val="標楷體"/>
        <family val="4"/>
        <charset val="136"/>
      </rPr>
      <t>編列</t>
    </r>
    <r>
      <rPr>
        <sz val="12"/>
        <rFont val="Times New Roman"/>
        <family val="1"/>
      </rPr>
      <t>1,467</t>
    </r>
    <r>
      <rPr>
        <sz val="12"/>
        <rFont val="標楷體"/>
        <family val="4"/>
        <charset val="136"/>
      </rPr>
      <t>千元，係基金投資不動產之土地地價稅。</t>
    </r>
    <phoneticPr fontId="4" type="noConversion"/>
  </si>
  <si>
    <r>
      <rPr>
        <sz val="12"/>
        <rFont val="標楷體"/>
        <family val="4"/>
        <charset val="136"/>
      </rPr>
      <t>本科目全數由勞動部勞動基金運用局辦理</t>
    </r>
    <r>
      <rPr>
        <sz val="12"/>
        <rFont val="Times New Roman"/>
        <family val="1"/>
      </rPr>
      <t>21,280</t>
    </r>
    <r>
      <rPr>
        <sz val="12"/>
        <rFont val="標楷體"/>
        <family val="4"/>
        <charset val="136"/>
      </rPr>
      <t>千元。</t>
    </r>
    <phoneticPr fontId="4" type="noConversion"/>
  </si>
  <si>
    <r>
      <rPr>
        <sz val="12"/>
        <rFont val="標楷體"/>
        <family val="4"/>
        <charset val="136"/>
      </rPr>
      <t>編列</t>
    </r>
    <r>
      <rPr>
        <sz val="12"/>
        <rFont val="Times New Roman"/>
        <family val="1"/>
      </rPr>
      <t>16,154</t>
    </r>
    <r>
      <rPr>
        <sz val="12"/>
        <rFont val="標楷體"/>
        <family val="4"/>
        <charset val="136"/>
      </rPr>
      <t>千元，係提列投資取得不動產之折舊。</t>
    </r>
    <phoneticPr fontId="4" type="noConversion"/>
  </si>
  <si>
    <r>
      <rPr>
        <sz val="12"/>
        <rFont val="標楷體"/>
        <family val="4"/>
        <charset val="136"/>
      </rPr>
      <t>編列</t>
    </r>
    <r>
      <rPr>
        <sz val="12"/>
        <rFont val="Times New Roman"/>
        <family val="1"/>
      </rPr>
      <t>318</t>
    </r>
    <r>
      <rPr>
        <sz val="12"/>
        <rFont val="標楷體"/>
        <family val="4"/>
        <charset val="136"/>
      </rPr>
      <t>千元，係短期票券帳務維護費等。</t>
    </r>
    <phoneticPr fontId="4"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</si>
  <si>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4" type="noConversion"/>
  </si>
  <si>
    <r>
      <rPr>
        <sz val="12"/>
        <rFont val="標楷體"/>
        <family val="4"/>
        <charset val="136"/>
      </rPr>
      <t>編列</t>
    </r>
    <r>
      <rPr>
        <sz val="12"/>
        <rFont val="Times New Roman"/>
        <family val="1"/>
      </rPr>
      <t>36,055</t>
    </r>
    <r>
      <rPr>
        <sz val="12"/>
        <rFont val="標楷體"/>
        <family val="4"/>
        <charset val="136"/>
      </rPr>
      <t>千元，係國外投資委任律師處理訴訟費及委託經營聘請顧問費等。其中委託調查研究費編列</t>
    </r>
    <r>
      <rPr>
        <sz val="12"/>
        <rFont val="Times New Roman"/>
        <family val="1"/>
      </rPr>
      <t>1,985</t>
    </r>
    <r>
      <rPr>
        <sz val="12"/>
        <rFont val="標楷體"/>
        <family val="4"/>
        <charset val="136"/>
      </rPr>
      <t>千元，係依據勞動基金委託經營要點第</t>
    </r>
    <r>
      <rPr>
        <sz val="12"/>
        <rFont val="Times New Roman"/>
        <family val="1"/>
      </rPr>
      <t>5</t>
    </r>
    <r>
      <rPr>
        <sz val="12"/>
        <rFont val="標楷體"/>
        <family val="4"/>
        <charset val="136"/>
      </rPr>
      <t>點規定，委託專業投資顧問公司協助辦理國外委託經營受託機構之遴選、績效評定及考核管理之</t>
    </r>
    <r>
      <rPr>
        <sz val="12"/>
        <rFont val="標楷體"/>
        <family val="4"/>
        <charset val="136"/>
      </rPr>
      <t xml:space="preserve">國外監控顧問案。
</t>
    </r>
    <r>
      <rPr>
        <sz val="12"/>
        <rFont val="Times New Roman"/>
        <family val="1"/>
      </rPr>
      <t/>
    </r>
    <phoneticPr fontId="4" type="noConversion"/>
  </si>
  <si>
    <r>
      <rPr>
        <sz val="12"/>
        <rFont val="標楷體"/>
        <family val="4"/>
        <charset val="136"/>
      </rPr>
      <t>編列</t>
    </r>
    <r>
      <rPr>
        <sz val="12"/>
        <rFont val="Times New Roman"/>
        <family val="1"/>
      </rPr>
      <t>491,651,979</t>
    </r>
    <r>
      <rPr>
        <sz val="12"/>
        <rFont val="標楷體"/>
        <family val="4"/>
        <charset val="136"/>
      </rPr>
      <t>千元，係參考以前年度統計資料預估各項給付事故、發生率及單價等因素，詳第</t>
    </r>
    <r>
      <rPr>
        <sz val="12"/>
        <rFont val="Times New Roman"/>
        <family val="1"/>
      </rPr>
      <t>61~63</t>
    </r>
    <r>
      <rPr>
        <sz val="12"/>
        <rFont val="標楷體"/>
        <family val="4"/>
        <charset val="136"/>
      </rPr>
      <t>頁保險給付分析表，其中：</t>
    </r>
    <phoneticPr fontId="4" type="noConversion"/>
  </si>
  <si>
    <r>
      <t>1.</t>
    </r>
    <r>
      <rPr>
        <sz val="12"/>
        <rFont val="標楷體"/>
        <family val="4"/>
        <charset val="136"/>
      </rPr>
      <t>普通事故：編列</t>
    </r>
    <r>
      <rPr>
        <sz val="12"/>
        <rFont val="Times New Roman"/>
        <family val="1"/>
      </rPr>
      <t>484,271,046</t>
    </r>
    <r>
      <rPr>
        <sz val="12"/>
        <rFont val="標楷體"/>
        <family val="4"/>
        <charset val="136"/>
      </rPr>
      <t>千元，主要包含生育、傷病、失能、老年及死亡五項給付。</t>
    </r>
    <phoneticPr fontId="4" type="noConversion"/>
  </si>
  <si>
    <r>
      <t>2.</t>
    </r>
    <r>
      <rPr>
        <sz val="12"/>
        <rFont val="標楷體"/>
        <family val="4"/>
        <charset val="136"/>
      </rPr>
      <t>職業災害：編列</t>
    </r>
    <r>
      <rPr>
        <sz val="12"/>
        <rFont val="Times New Roman"/>
        <family val="1"/>
      </rPr>
      <t>7,380,933</t>
    </r>
    <r>
      <rPr>
        <sz val="12"/>
        <rFont val="標楷體"/>
        <family val="4"/>
        <charset val="136"/>
      </rPr>
      <t>千元，主要包含傷病、醫療、失能及死亡四項給付。</t>
    </r>
    <phoneticPr fontId="4" type="noConversion"/>
  </si>
  <si>
    <r>
      <rPr>
        <sz val="12"/>
        <rFont val="標楷體"/>
        <family val="4"/>
        <charset val="136"/>
      </rPr>
      <t>編列</t>
    </r>
    <r>
      <rPr>
        <sz val="12"/>
        <rFont val="Times New Roman"/>
        <family val="1"/>
      </rPr>
      <t>1,159,558</t>
    </r>
    <r>
      <rPr>
        <sz val="12"/>
        <rFont val="標楷體"/>
        <family val="4"/>
        <charset val="136"/>
      </rPr>
      <t>千元，係勞工保險</t>
    </r>
    <r>
      <rPr>
        <sz val="12"/>
        <rFont val="Times New Roman"/>
        <family val="1"/>
      </rPr>
      <t>-</t>
    </r>
    <r>
      <rPr>
        <sz val="12"/>
        <rFont val="標楷體"/>
        <family val="4"/>
        <charset val="136"/>
      </rPr>
      <t>職業災害之收入減支出後之餘額，悉數轉列提存責任準備。</t>
    </r>
    <phoneticPr fontId="4" type="noConversion"/>
  </si>
  <si>
    <r>
      <rPr>
        <sz val="12"/>
        <rFont val="標楷體"/>
        <family val="4"/>
        <charset val="136"/>
      </rPr>
      <t>編列</t>
    </r>
    <r>
      <rPr>
        <sz val="12"/>
        <rFont val="Times New Roman"/>
        <family val="1"/>
      </rPr>
      <t>701,531</t>
    </r>
    <r>
      <rPr>
        <sz val="12"/>
        <rFont val="標楷體"/>
        <family val="4"/>
        <charset val="136"/>
      </rPr>
      <t>千元，係按其他應收款及催收款項餘額依回收情況提列呆帳。</t>
    </r>
    <phoneticPr fontId="4" type="noConversion"/>
  </si>
  <si>
    <r>
      <rPr>
        <sz val="12"/>
        <rFont val="標楷體"/>
        <family val="4"/>
        <charset val="136"/>
      </rPr>
      <t>編列</t>
    </r>
    <r>
      <rPr>
        <sz val="12"/>
        <rFont val="Times New Roman"/>
        <family val="1"/>
      </rPr>
      <t>22,823,256</t>
    </r>
    <r>
      <rPr>
        <sz val="12"/>
        <rFont val="標楷體"/>
        <family val="4"/>
        <charset val="136"/>
      </rPr>
      <t>千元，係參考以前年度相關給付、津貼執行情形，包含失業給付、提早就業獎助津貼、職業訓練生活津貼、育嬰留職停薪津貼及補助全民健保費，詳第</t>
    </r>
    <r>
      <rPr>
        <sz val="12"/>
        <rFont val="Times New Roman"/>
        <family val="1"/>
      </rPr>
      <t>63~64</t>
    </r>
    <r>
      <rPr>
        <sz val="12"/>
        <rFont val="標楷體"/>
        <family val="4"/>
        <charset val="136"/>
      </rPr>
      <t>頁保險給付分析表。</t>
    </r>
    <phoneticPr fontId="4" type="noConversion"/>
  </si>
  <si>
    <r>
      <rPr>
        <sz val="12"/>
        <rFont val="標楷體"/>
        <family val="4"/>
        <charset val="136"/>
      </rPr>
      <t>編列</t>
    </r>
    <r>
      <rPr>
        <sz val="12"/>
        <rFont val="Times New Roman"/>
        <family val="1"/>
      </rPr>
      <t>40,128</t>
    </r>
    <r>
      <rPr>
        <sz val="12"/>
        <rFont val="標楷體"/>
        <family val="4"/>
        <charset val="136"/>
      </rPr>
      <t>千元，係按其他應收款及催收款項餘額依回收情況提列呆帳。</t>
    </r>
    <phoneticPr fontId="4" type="noConversion"/>
  </si>
  <si>
    <r>
      <rPr>
        <sz val="12"/>
        <rFont val="標楷體"/>
        <family val="4"/>
        <charset val="136"/>
      </rPr>
      <t>編列</t>
    </r>
    <r>
      <rPr>
        <sz val="12"/>
        <rFont val="Times New Roman"/>
        <family val="1"/>
      </rPr>
      <t>6,916,286</t>
    </r>
    <r>
      <rPr>
        <sz val="12"/>
        <rFont val="標楷體"/>
        <family val="4"/>
        <charset val="136"/>
      </rPr>
      <t>千元，係參考以前年度統計資料預估各項給付發生率及單價等因素，詳第</t>
    </r>
    <r>
      <rPr>
        <sz val="12"/>
        <rFont val="Times New Roman"/>
        <family val="1"/>
      </rPr>
      <t>64~65</t>
    </r>
    <r>
      <rPr>
        <sz val="12"/>
        <rFont val="標楷體"/>
        <family val="4"/>
        <charset val="136"/>
      </rPr>
      <t>頁保險給付分析表，其中：</t>
    </r>
    <phoneticPr fontId="4" type="noConversion"/>
  </si>
  <si>
    <r>
      <t>1.</t>
    </r>
    <r>
      <rPr>
        <sz val="12"/>
        <rFont val="標楷體"/>
        <family val="4"/>
        <charset val="136"/>
      </rPr>
      <t>農保：編列</t>
    </r>
    <r>
      <rPr>
        <sz val="12"/>
        <rFont val="Times New Roman"/>
        <family val="1"/>
      </rPr>
      <t>6,794,437</t>
    </r>
    <r>
      <rPr>
        <sz val="12"/>
        <rFont val="標楷體"/>
        <family val="4"/>
        <charset val="136"/>
      </rPr>
      <t>千元，主要包含生育給付、身心障礙給付及喪葬津貼。</t>
    </r>
    <phoneticPr fontId="4" type="noConversion"/>
  </si>
  <si>
    <r>
      <t>2.</t>
    </r>
    <r>
      <rPr>
        <sz val="12"/>
        <rFont val="標楷體"/>
        <family val="4"/>
        <charset val="136"/>
      </rPr>
      <t>農職保：編列</t>
    </r>
    <r>
      <rPr>
        <sz val="12"/>
        <rFont val="Times New Roman"/>
        <family val="1"/>
      </rPr>
      <t>121,849</t>
    </r>
    <r>
      <rPr>
        <sz val="12"/>
        <rFont val="標楷體"/>
        <family val="4"/>
        <charset val="136"/>
      </rPr>
      <t>千元，主要包含傷害給付、身心障礙給付、就醫津貼及喪葬津貼。</t>
    </r>
    <phoneticPr fontId="4" type="noConversion"/>
  </si>
  <si>
    <r>
      <t>編列</t>
    </r>
    <r>
      <rPr>
        <sz val="12"/>
        <rFont val="Times New Roman"/>
        <family val="1"/>
      </rPr>
      <t>8,835</t>
    </r>
    <r>
      <rPr>
        <sz val="12"/>
        <rFont val="標楷體"/>
        <family val="4"/>
        <charset val="136"/>
      </rPr>
      <t>千元，係農保按應收保費、其他應收款及催收款項餘額依回收情況提列呆帳。</t>
    </r>
    <phoneticPr fontId="4" type="noConversion"/>
  </si>
  <si>
    <r>
      <rPr>
        <sz val="12"/>
        <rFont val="標楷體"/>
        <family val="4"/>
        <charset val="136"/>
      </rPr>
      <t>編列</t>
    </r>
    <r>
      <rPr>
        <sz val="12"/>
        <rFont val="Times New Roman"/>
        <family val="1"/>
      </rPr>
      <t>51,960</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68</t>
    </r>
    <r>
      <rPr>
        <sz val="12"/>
        <rFont val="標楷體"/>
        <family val="4"/>
        <charset val="136"/>
      </rPr>
      <t>頁雜項業務成本分析表─職業災害勞工保護。</t>
    </r>
    <phoneticPr fontId="4" type="noConversion"/>
  </si>
  <si>
    <r>
      <rPr>
        <sz val="12"/>
        <rFont val="標楷體"/>
        <family val="4"/>
        <charset val="136"/>
      </rPr>
      <t>係應付保管款滿</t>
    </r>
    <r>
      <rPr>
        <sz val="12"/>
        <rFont val="Times New Roman"/>
        <family val="1"/>
      </rPr>
      <t>4</t>
    </r>
    <r>
      <rPr>
        <sz val="12"/>
        <rFont val="標楷體"/>
        <family val="4"/>
        <charset val="136"/>
      </rPr>
      <t>年轉雜項收入後再提出申請編列</t>
    </r>
    <r>
      <rPr>
        <sz val="12"/>
        <rFont val="Times New Roman"/>
        <family val="1"/>
      </rPr>
      <t>14</t>
    </r>
    <r>
      <rPr>
        <sz val="12"/>
        <rFont val="標楷體"/>
        <family val="4"/>
        <charset val="136"/>
      </rPr>
      <t>千元及依據勞動部改制前之行政院勞工委員會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12</t>
    </r>
    <r>
      <rPr>
        <sz val="12"/>
        <rFont val="標楷體"/>
        <family val="4"/>
        <charset val="136"/>
      </rPr>
      <t>千元。</t>
    </r>
    <phoneticPr fontId="4" type="noConversion"/>
  </si>
  <si>
    <r>
      <rPr>
        <sz val="12"/>
        <rFont val="標楷體"/>
        <family val="4"/>
        <charset val="136"/>
      </rPr>
      <t>截至本年度累計貸出餘額未包含長期貸款轉列催收款項計</t>
    </r>
    <r>
      <rPr>
        <sz val="12"/>
        <rFont val="Times New Roman"/>
        <family val="1"/>
      </rPr>
      <t>20,735,591</t>
    </r>
    <r>
      <rPr>
        <sz val="12"/>
        <rFont val="標楷體"/>
        <family val="4"/>
        <charset val="136"/>
      </rPr>
      <t>千元，又本年度貸出金額含催收款項減少數</t>
    </r>
    <r>
      <rPr>
        <sz val="12"/>
        <rFont val="Times New Roman"/>
        <family val="1"/>
      </rPr>
      <t>898,306</t>
    </r>
    <r>
      <rPr>
        <sz val="12"/>
        <rFont val="標楷體"/>
        <family val="4"/>
        <charset val="136"/>
      </rPr>
      <t>千元。</t>
    </r>
    <phoneticPr fontId="4" type="noConversion"/>
  </si>
  <si>
    <t>勞動部及所屬機關</t>
    <phoneticPr fontId="4"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</si>
  <si>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，普通事故按平均逾期</t>
    </r>
    <r>
      <rPr>
        <sz val="12"/>
        <rFont val="Times New Roman"/>
        <family val="1"/>
      </rPr>
      <t>27</t>
    </r>
    <r>
      <rPr>
        <sz val="12"/>
        <rFont val="標楷體"/>
        <family val="4"/>
        <charset val="136"/>
      </rPr>
      <t>天計列</t>
    </r>
    <r>
      <rPr>
        <sz val="12"/>
        <rFont val="Times New Roman"/>
        <family val="1"/>
      </rPr>
      <t>450,520</t>
    </r>
    <r>
      <rPr>
        <sz val="12"/>
        <rFont val="標楷體"/>
        <family val="4"/>
        <charset val="136"/>
      </rPr>
      <t>千元，職業災害按平均逾期</t>
    </r>
    <r>
      <rPr>
        <sz val="12"/>
        <rFont val="Times New Roman"/>
        <family val="1"/>
      </rPr>
      <t>38</t>
    </r>
    <r>
      <rPr>
        <sz val="12"/>
        <rFont val="標楷體"/>
        <family val="4"/>
        <charset val="136"/>
      </rPr>
      <t>天計列</t>
    </r>
    <r>
      <rPr>
        <sz val="12"/>
        <rFont val="Times New Roman"/>
        <family val="1"/>
      </rPr>
      <t>13,917</t>
    </r>
    <r>
      <rPr>
        <sz val="12"/>
        <rFont val="標楷體"/>
        <family val="4"/>
        <charset val="136"/>
      </rPr>
      <t>千元。</t>
    </r>
    <phoneticPr fontId="21"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</si>
  <si>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24</t>
    </r>
    <r>
      <rPr>
        <sz val="12"/>
        <rFont val="標楷體"/>
        <family val="4"/>
        <charset val="136"/>
      </rPr>
      <t>天計列。</t>
    </r>
    <phoneticPr fontId="21" type="noConversion"/>
  </si>
  <si>
    <t>110年度預算</t>
    <phoneticPr fontId="72" type="noConversion"/>
  </si>
  <si>
    <r>
      <rPr>
        <sz val="12"/>
        <rFont val="標楷體"/>
        <family val="4"/>
        <charset val="136"/>
      </rPr>
      <t>係依投保人數</t>
    </r>
    <r>
      <rPr>
        <sz val="12"/>
        <rFont val="Times New Roman"/>
        <family val="1"/>
      </rPr>
      <t>1,053</t>
    </r>
    <r>
      <rPr>
        <sz val="12"/>
        <rFont val="標楷體"/>
        <family val="4"/>
        <charset val="136"/>
      </rPr>
      <t>萬人、平均月投保薪資</t>
    </r>
    <r>
      <rPr>
        <sz val="12"/>
        <rFont val="Times New Roman"/>
        <family val="1"/>
      </rPr>
      <t>33,135</t>
    </r>
    <r>
      <rPr>
        <sz val="12"/>
        <rFont val="標楷體"/>
        <family val="4"/>
        <charset val="136"/>
      </rPr>
      <t>元及保險費率</t>
    </r>
    <r>
      <rPr>
        <sz val="12"/>
        <rFont val="Times New Roman"/>
        <family val="1"/>
      </rPr>
      <t>10.70%</t>
    </r>
    <r>
      <rPr>
        <sz val="12"/>
        <rFont val="標楷體"/>
        <family val="4"/>
        <charset val="136"/>
      </rPr>
      <t>（普通事故保險費率</t>
    </r>
    <r>
      <rPr>
        <sz val="12"/>
        <rFont val="Times New Roman"/>
        <family val="1"/>
      </rPr>
      <t>10.5%</t>
    </r>
    <r>
      <rPr>
        <sz val="12"/>
        <rFont val="標楷體"/>
        <family val="4"/>
        <charset val="136"/>
      </rPr>
      <t>；職業災害平均費率</t>
    </r>
    <r>
      <rPr>
        <sz val="12"/>
        <rFont val="Times New Roman"/>
        <family val="1"/>
      </rPr>
      <t>0.20%</t>
    </r>
    <r>
      <rPr>
        <sz val="12"/>
        <rFont val="標楷體"/>
        <family val="4"/>
        <charset val="136"/>
      </rPr>
      <t>）估算。</t>
    </r>
    <phoneticPr fontId="4" type="noConversion"/>
  </si>
  <si>
    <r>
      <rPr>
        <sz val="12"/>
        <rFont val="標楷體"/>
        <family val="4"/>
        <charset val="136"/>
      </rPr>
      <t>係依投保人數</t>
    </r>
    <r>
      <rPr>
        <sz val="12"/>
        <rFont val="Times New Roman"/>
        <family val="1"/>
      </rPr>
      <t>713</t>
    </r>
    <r>
      <rPr>
        <sz val="12"/>
        <rFont val="標楷體"/>
        <family val="4"/>
        <charset val="136"/>
      </rPr>
      <t>萬人、平均月投保薪資</t>
    </r>
    <r>
      <rPr>
        <sz val="12"/>
        <rFont val="Times New Roman"/>
        <family val="1"/>
      </rPr>
      <t>34,810</t>
    </r>
    <r>
      <rPr>
        <sz val="12"/>
        <rFont val="標楷體"/>
        <family val="4"/>
        <charset val="136"/>
      </rPr>
      <t>元及保險費率</t>
    </r>
    <r>
      <rPr>
        <sz val="12"/>
        <rFont val="Times New Roman"/>
        <family val="1"/>
      </rPr>
      <t>1%</t>
    </r>
    <r>
      <rPr>
        <sz val="12"/>
        <rFont val="標楷體"/>
        <family val="4"/>
        <charset val="136"/>
      </rPr>
      <t>估算。</t>
    </r>
    <phoneticPr fontId="4" type="noConversion"/>
  </si>
  <si>
    <r>
      <rPr>
        <sz val="12"/>
        <rFont val="標楷體"/>
        <family val="4"/>
        <charset val="136"/>
      </rPr>
      <t>係依投保人數</t>
    </r>
    <r>
      <rPr>
        <sz val="12"/>
        <rFont val="Times New Roman"/>
        <family val="1"/>
      </rPr>
      <t>103</t>
    </r>
    <r>
      <rPr>
        <sz val="12"/>
        <rFont val="標楷體"/>
        <family val="4"/>
        <charset val="136"/>
      </rPr>
      <t>萬</t>
    </r>
    <r>
      <rPr>
        <sz val="12"/>
        <rFont val="Times New Roman"/>
        <family val="1"/>
      </rPr>
      <t>8</t>
    </r>
    <r>
      <rPr>
        <sz val="12"/>
        <rFont val="標楷體"/>
        <family val="4"/>
        <charset val="136"/>
      </rPr>
      <t>千人、投保薪資</t>
    </r>
    <r>
      <rPr>
        <sz val="12"/>
        <rFont val="Times New Roman"/>
        <family val="1"/>
      </rPr>
      <t>10,200</t>
    </r>
    <r>
      <rPr>
        <sz val="12"/>
        <rFont val="標楷體"/>
        <family val="4"/>
        <charset val="136"/>
      </rPr>
      <t>元及保險費率</t>
    </r>
    <r>
      <rPr>
        <sz val="12"/>
        <rFont val="Times New Roman"/>
        <family val="1"/>
      </rPr>
      <t>2.55%</t>
    </r>
    <r>
      <rPr>
        <sz val="12"/>
        <rFont val="標楷體"/>
        <family val="4"/>
        <charset val="136"/>
      </rPr>
      <t>估算。</t>
    </r>
    <phoneticPr fontId="4" type="noConversion"/>
  </si>
  <si>
    <r>
      <rPr>
        <sz val="12"/>
        <rFont val="標楷體"/>
        <family val="4"/>
        <charset val="136"/>
      </rPr>
      <t>係依投保人數</t>
    </r>
    <r>
      <rPr>
        <sz val="12"/>
        <rFont val="Times New Roman"/>
        <family val="1"/>
      </rPr>
      <t>36</t>
    </r>
    <r>
      <rPr>
        <sz val="12"/>
        <rFont val="標楷體"/>
        <family val="4"/>
        <charset val="136"/>
      </rPr>
      <t>萬人、投保薪資</t>
    </r>
    <r>
      <rPr>
        <sz val="12"/>
        <rFont val="Times New Roman"/>
        <family val="1"/>
      </rPr>
      <t>10,200</t>
    </r>
    <r>
      <rPr>
        <sz val="12"/>
        <rFont val="標楷體"/>
        <family val="4"/>
        <charset val="136"/>
      </rPr>
      <t>元及保險費率</t>
    </r>
    <r>
      <rPr>
        <sz val="12"/>
        <rFont val="Times New Roman"/>
        <family val="1"/>
      </rPr>
      <t>0.24%</t>
    </r>
    <r>
      <rPr>
        <sz val="12"/>
        <rFont val="標楷體"/>
        <family val="4"/>
        <charset val="136"/>
      </rPr>
      <t>估算。</t>
    </r>
    <phoneticPr fontId="4" type="noConversion"/>
  </si>
  <si>
    <t>　其他業務成本</t>
    <phoneticPr fontId="4" type="noConversion"/>
  </si>
  <si>
    <t xml:space="preserve">
註：本年度信託代理與保證資產（負債）預計為164,301千元，係包括（應付）保證品51,500千元及應收（受託）代收款112,801千元。                 
</t>
    <phoneticPr fontId="4" type="noConversion"/>
  </si>
  <si>
    <r>
      <rPr>
        <sz val="7.5"/>
        <rFont val="標楷體"/>
        <family val="4"/>
        <charset val="136"/>
      </rPr>
      <t>註：本年度信託代理與保證資產（負債）預計為</t>
    </r>
    <r>
      <rPr>
        <sz val="7.5"/>
        <rFont val="Times New Roman"/>
        <family val="1"/>
      </rPr>
      <t>8,046</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4" type="noConversion"/>
  </si>
  <si>
    <r>
      <rPr>
        <sz val="12"/>
        <rFont val="標楷體"/>
        <family val="4"/>
        <charset val="136"/>
      </rPr>
      <t>收取利息</t>
    </r>
    <r>
      <rPr>
        <sz val="12"/>
        <rFont val="Times New Roman"/>
        <family val="1"/>
      </rPr>
      <t>341</t>
    </r>
    <r>
      <rPr>
        <sz val="12"/>
        <rFont val="標楷體"/>
        <family val="4"/>
        <charset val="136"/>
      </rPr>
      <t>千元。</t>
    </r>
    <phoneticPr fontId="4" type="noConversion"/>
  </si>
  <si>
    <r>
      <rPr>
        <sz val="12"/>
        <rFont val="標楷體"/>
        <family val="4"/>
        <charset val="136"/>
      </rPr>
      <t>係增加短期貸款</t>
    </r>
    <r>
      <rPr>
        <sz val="12"/>
        <rFont val="標楷體"/>
        <family val="4"/>
        <charset val="136"/>
      </rPr>
      <t>千元。</t>
    </r>
    <phoneticPr fontId="4" type="noConversion"/>
  </si>
  <si>
    <r>
      <rPr>
        <sz val="12"/>
        <rFont val="標楷體"/>
        <family val="4"/>
        <charset val="136"/>
      </rPr>
      <t>係增加長期貸款</t>
    </r>
    <r>
      <rPr>
        <sz val="12"/>
        <rFont val="Times New Roman"/>
        <family val="1"/>
      </rPr>
      <t>10,201,694</t>
    </r>
    <r>
      <rPr>
        <sz val="12"/>
        <rFont val="標楷體"/>
        <family val="4"/>
        <charset val="136"/>
      </rPr>
      <t>千元。</t>
    </r>
    <phoneticPr fontId="4" type="noConversion"/>
  </si>
  <si>
    <r>
      <rPr>
        <sz val="12"/>
        <rFont val="標楷體"/>
        <family val="4"/>
        <charset val="136"/>
      </rPr>
      <t>係減少其他負債</t>
    </r>
    <r>
      <rPr>
        <sz val="12"/>
        <rFont val="Times New Roman"/>
        <family val="1"/>
      </rPr>
      <t>602,903</t>
    </r>
    <r>
      <rPr>
        <sz val="12"/>
        <rFont val="標楷體"/>
        <family val="4"/>
        <charset val="136"/>
      </rPr>
      <t>千元。</t>
    </r>
    <phoneticPr fontId="4" type="noConversion"/>
  </si>
  <si>
    <t>收取利息42千元。</t>
    <phoneticPr fontId="4" type="noConversion"/>
  </si>
  <si>
    <r>
      <rPr>
        <sz val="12"/>
        <rFont val="標楷體"/>
        <family val="4"/>
        <charset val="136"/>
      </rPr>
      <t>收取利息</t>
    </r>
    <r>
      <rPr>
        <sz val="12"/>
        <rFont val="Times New Roman"/>
        <family val="1"/>
      </rPr>
      <t>2,002,682</t>
    </r>
    <r>
      <rPr>
        <sz val="12"/>
        <rFont val="標楷體"/>
        <family val="4"/>
        <charset val="136"/>
      </rPr>
      <t>千元。</t>
    </r>
    <phoneticPr fontId="4" type="noConversion"/>
  </si>
  <si>
    <r>
      <rPr>
        <sz val="12"/>
        <rFont val="標楷體"/>
        <family val="4"/>
        <charset val="136"/>
      </rPr>
      <t>係增加流動金融資產</t>
    </r>
    <r>
      <rPr>
        <sz val="12"/>
        <rFont val="Times New Roman"/>
        <family val="1"/>
      </rPr>
      <t>883,226</t>
    </r>
    <r>
      <rPr>
        <sz val="12"/>
        <rFont val="標楷體"/>
        <family val="4"/>
        <charset val="136"/>
      </rPr>
      <t>千元。</t>
    </r>
    <phoneticPr fontId="4"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</si>
  <si>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5,228,248</t>
    </r>
    <r>
      <rPr>
        <sz val="12"/>
        <rFont val="標楷體"/>
        <family val="4"/>
        <charset val="136"/>
      </rPr>
      <t>千元。</t>
    </r>
    <phoneticPr fontId="4" type="noConversion"/>
  </si>
  <si>
    <r>
      <rPr>
        <sz val="12"/>
        <rFont val="標楷體"/>
        <family val="4"/>
        <charset val="136"/>
      </rPr>
      <t>係減少其他負債</t>
    </r>
    <r>
      <rPr>
        <sz val="12"/>
        <rFont val="標楷體"/>
        <family val="4"/>
        <charset val="136"/>
      </rPr>
      <t>千元。</t>
    </r>
    <phoneticPr fontId="4" type="noConversion"/>
  </si>
  <si>
    <r>
      <t>2.</t>
    </r>
    <r>
      <rPr>
        <sz val="12"/>
        <rFont val="標楷體"/>
        <family val="4"/>
        <charset val="136"/>
      </rPr>
      <t>流動資產淨減</t>
    </r>
    <phoneticPr fontId="4" type="noConversion"/>
  </si>
  <si>
    <r>
      <rPr>
        <sz val="12"/>
        <rFont val="標楷體"/>
        <family val="4"/>
        <charset val="136"/>
      </rPr>
      <t>係增加短期債務</t>
    </r>
    <r>
      <rPr>
        <sz val="12"/>
        <rFont val="標楷體"/>
        <family val="4"/>
        <charset val="136"/>
      </rPr>
      <t>千元。</t>
    </r>
    <phoneticPr fontId="4" type="noConversion"/>
  </si>
  <si>
    <r>
      <rPr>
        <sz val="12"/>
        <rFont val="標楷體"/>
        <family val="4"/>
        <charset val="136"/>
      </rPr>
      <t>收取利息</t>
    </r>
    <r>
      <rPr>
        <sz val="12"/>
        <rFont val="Times New Roman"/>
        <family val="1"/>
      </rPr>
      <t>72,624</t>
    </r>
    <r>
      <rPr>
        <sz val="12"/>
        <rFont val="標楷體"/>
        <family val="4"/>
        <charset val="136"/>
      </rPr>
      <t>千元。</t>
    </r>
    <phoneticPr fontId="4" type="noConversion"/>
  </si>
  <si>
    <r>
      <rPr>
        <sz val="12"/>
        <rFont val="標楷體"/>
        <family val="4"/>
        <charset val="136"/>
      </rPr>
      <t>係增加其他負債</t>
    </r>
    <r>
      <rPr>
        <sz val="12"/>
        <rFont val="Times New Roman"/>
        <family val="1"/>
      </rPr>
      <t>602,903</t>
    </r>
    <r>
      <rPr>
        <sz val="12"/>
        <rFont val="標楷體"/>
        <family val="4"/>
        <charset val="136"/>
      </rPr>
      <t>千元。</t>
    </r>
    <phoneticPr fontId="4" type="noConversion"/>
  </si>
  <si>
    <r>
      <rPr>
        <sz val="12"/>
        <rFont val="標楷體"/>
        <family val="4"/>
        <charset val="136"/>
      </rPr>
      <t>　調整項目</t>
    </r>
    <phoneticPr fontId="4" type="noConversion"/>
  </si>
  <si>
    <r>
      <rPr>
        <sz val="12"/>
        <rFont val="標楷體"/>
        <family val="4"/>
        <charset val="136"/>
      </rPr>
      <t>　　</t>
    </r>
    <phoneticPr fontId="4" type="noConversion"/>
  </si>
  <si>
    <r>
      <rPr>
        <b/>
        <sz val="12"/>
        <rFont val="標楷體"/>
        <family val="4"/>
        <charset val="136"/>
      </rPr>
      <t>投資活動之現金流量</t>
    </r>
    <phoneticPr fontId="4" type="noConversion"/>
  </si>
  <si>
    <r>
      <rPr>
        <sz val="12"/>
        <rFont val="標楷體"/>
        <family val="4"/>
        <charset val="136"/>
      </rPr>
      <t>　減少流動金融資產及短期貸墊款</t>
    </r>
    <phoneticPr fontId="4" type="noConversion"/>
  </si>
  <si>
    <r>
      <rPr>
        <sz val="12"/>
        <rFont val="標楷體"/>
        <family val="4"/>
        <charset val="136"/>
      </rPr>
      <t>係減少流動金融資產千元。</t>
    </r>
    <phoneticPr fontId="4" type="noConversion"/>
  </si>
  <si>
    <r>
      <rPr>
        <sz val="12"/>
        <rFont val="標楷體"/>
        <family val="4"/>
        <charset val="136"/>
      </rPr>
      <t>　增加投資、長期應收款、貸墊款及準備金</t>
    </r>
    <phoneticPr fontId="4" type="noConversion"/>
  </si>
  <si>
    <r>
      <rPr>
        <sz val="12"/>
        <rFont val="標楷體"/>
        <family val="4"/>
        <charset val="136"/>
      </rPr>
      <t>　增加無形資產、遞延借項及其他資產</t>
    </r>
    <phoneticPr fontId="4" type="noConversion"/>
  </si>
  <si>
    <r>
      <rPr>
        <sz val="12"/>
        <rFont val="標楷體"/>
        <family val="4"/>
        <charset val="136"/>
      </rPr>
      <t>係增加無形資產。</t>
    </r>
    <phoneticPr fontId="4" type="noConversion"/>
  </si>
  <si>
    <r>
      <t xml:space="preserve">   </t>
    </r>
    <r>
      <rPr>
        <sz val="12"/>
        <rFont val="標楷體"/>
        <family val="4"/>
        <charset val="136"/>
      </rPr>
      <t>支付利息</t>
    </r>
    <phoneticPr fontId="4" type="noConversion"/>
  </si>
  <si>
    <r>
      <rPr>
        <sz val="12"/>
        <rFont val="標楷體"/>
        <family val="4"/>
        <charset val="136"/>
      </rPr>
      <t>支付利息千元。</t>
    </r>
    <phoneticPr fontId="4" type="noConversion"/>
  </si>
  <si>
    <r>
      <rPr>
        <sz val="12"/>
        <rFont val="標楷體"/>
        <family val="4"/>
        <charset val="136"/>
      </rPr>
      <t>　增加流動金融資產及短期貸墊款</t>
    </r>
    <phoneticPr fontId="4" type="noConversion"/>
  </si>
  <si>
    <r>
      <rPr>
        <sz val="12"/>
        <rFont val="標楷體"/>
        <family val="4"/>
        <charset val="136"/>
      </rPr>
      <t>　本期賸餘（短絀）</t>
    </r>
    <phoneticPr fontId="4" type="noConversion"/>
  </si>
  <si>
    <r>
      <rPr>
        <sz val="12"/>
        <rFont val="標楷體"/>
        <family val="4"/>
        <charset val="136"/>
      </rPr>
      <t>減少投資</t>
    </r>
    <r>
      <rPr>
        <sz val="12"/>
        <rFont val="Times New Roman"/>
        <family val="1"/>
      </rPr>
      <t>-</t>
    </r>
    <r>
      <rPr>
        <sz val="12"/>
        <rFont val="標楷體"/>
        <family val="4"/>
        <charset val="136"/>
      </rPr>
      <t>非流動金融資產千元。</t>
    </r>
    <phoneticPr fontId="4" type="noConversion"/>
  </si>
  <si>
    <r>
      <rPr>
        <sz val="12"/>
        <rFont val="標楷體"/>
        <family val="4"/>
        <charset val="136"/>
      </rPr>
      <t>係增加流動金融資產</t>
    </r>
    <r>
      <rPr>
        <sz val="12"/>
        <rFont val="Times New Roman"/>
        <family val="1"/>
      </rPr>
      <t>13,500</t>
    </r>
    <r>
      <rPr>
        <sz val="12"/>
        <rFont val="標楷體"/>
        <family val="4"/>
        <charset val="136"/>
      </rPr>
      <t>千元。</t>
    </r>
    <phoneticPr fontId="4" type="noConversion"/>
  </si>
  <si>
    <r>
      <rPr>
        <sz val="12"/>
        <rFont val="標楷體"/>
        <family val="4"/>
        <charset val="136"/>
      </rPr>
      <t>係增加非流動金融資產</t>
    </r>
    <r>
      <rPr>
        <sz val="12"/>
        <rFont val="Times New Roman"/>
        <family val="1"/>
      </rPr>
      <t>19,450</t>
    </r>
    <r>
      <rPr>
        <sz val="12"/>
        <rFont val="標楷體"/>
        <family val="4"/>
        <charset val="136"/>
      </rPr>
      <t>千元。</t>
    </r>
    <phoneticPr fontId="4" type="noConversion"/>
  </si>
  <si>
    <r>
      <t>　　</t>
    </r>
    <r>
      <rPr>
        <sz val="9"/>
        <rFont val="標楷體"/>
        <family val="4"/>
        <charset val="136"/>
      </rPr>
      <t>投資性不動產成本</t>
    </r>
    <phoneticPr fontId="4" type="noConversion"/>
  </si>
  <si>
    <r>
      <t>　　</t>
    </r>
    <r>
      <rPr>
        <sz val="9"/>
        <rFont val="標楷體"/>
        <family val="4"/>
        <charset val="136"/>
      </rPr>
      <t>投資性不動產收入</t>
    </r>
    <phoneticPr fontId="4" type="noConversion"/>
  </si>
  <si>
    <r>
      <rPr>
        <sz val="12"/>
        <rFont val="標楷體"/>
        <family val="4"/>
        <charset val="136"/>
      </rPr>
      <t>收取利息</t>
    </r>
    <r>
      <rPr>
        <sz val="12"/>
        <rFont val="Times New Roman"/>
        <family val="1"/>
      </rPr>
      <t>387</t>
    </r>
    <r>
      <rPr>
        <sz val="12"/>
        <rFont val="標楷體"/>
        <family val="4"/>
        <charset val="136"/>
      </rPr>
      <t>千元。</t>
    </r>
    <phoneticPr fontId="4" type="noConversion"/>
  </si>
  <si>
    <r>
      <rPr>
        <sz val="12"/>
        <rFont val="標楷體"/>
        <family val="4"/>
        <charset val="136"/>
      </rPr>
      <t>係就業保險業務增加流動金融資產</t>
    </r>
    <r>
      <rPr>
        <sz val="12"/>
        <rFont val="Times New Roman"/>
        <family val="1"/>
      </rPr>
      <t>883,226</t>
    </r>
    <r>
      <rPr>
        <sz val="12"/>
        <rFont val="標楷體"/>
        <family val="4"/>
        <charset val="136"/>
      </rPr>
      <t>千元及職業災害勞工保護業務增加流動金融資產</t>
    </r>
    <r>
      <rPr>
        <sz val="12"/>
        <rFont val="Times New Roman"/>
        <family val="1"/>
      </rPr>
      <t>13,500</t>
    </r>
    <r>
      <rPr>
        <sz val="12"/>
        <rFont val="標楷體"/>
        <family val="4"/>
        <charset val="136"/>
      </rPr>
      <t>千元。</t>
    </r>
    <phoneticPr fontId="4" type="noConversion"/>
  </si>
  <si>
    <r>
      <t>6.</t>
    </r>
    <r>
      <rPr>
        <sz val="12"/>
        <rFont val="標楷體"/>
        <family val="4"/>
        <charset val="136"/>
      </rPr>
      <t>流動負債淨減</t>
    </r>
    <phoneticPr fontId="4" type="noConversion"/>
  </si>
  <si>
    <r>
      <t>1.</t>
    </r>
    <r>
      <rPr>
        <sz val="12"/>
        <rFont val="標楷體"/>
        <family val="4"/>
        <charset val="136"/>
      </rPr>
      <t xml:space="preserve">提存呆帳
</t>
    </r>
    <r>
      <rPr>
        <sz val="12"/>
        <rFont val="Times New Roman"/>
        <family val="1"/>
      </rPr>
      <t xml:space="preserve">   
   </t>
    </r>
    <phoneticPr fontId="4" type="noConversion"/>
  </si>
  <si>
    <r>
      <t>7.</t>
    </r>
    <r>
      <rPr>
        <sz val="12"/>
        <rFont val="標楷體"/>
        <family val="4"/>
        <charset val="136"/>
      </rPr>
      <t>其他</t>
    </r>
    <r>
      <rPr>
        <sz val="12"/>
        <rFont val="Times New Roman"/>
        <family val="1"/>
      </rPr>
      <t xml:space="preserve"> </t>
    </r>
    <phoneticPr fontId="4" type="noConversion"/>
  </si>
  <si>
    <r>
      <rPr>
        <sz val="12"/>
        <rFont val="標楷體"/>
        <family val="4"/>
        <charset val="136"/>
      </rPr>
      <t>係勞工保險業務增加長期貸款</t>
    </r>
    <r>
      <rPr>
        <sz val="12"/>
        <rFont val="Times New Roman"/>
        <family val="1"/>
      </rPr>
      <t>10,201,694</t>
    </r>
    <r>
      <rPr>
        <sz val="12"/>
        <rFont val="標楷體"/>
        <family val="4"/>
        <charset val="136"/>
      </rPr>
      <t>千元及就業保險業務增加投資</t>
    </r>
    <r>
      <rPr>
        <sz val="12"/>
        <rFont val="Times New Roman"/>
        <family val="1"/>
      </rPr>
      <t>-</t>
    </r>
    <r>
      <rPr>
        <sz val="12"/>
        <rFont val="標楷體"/>
        <family val="4"/>
        <charset val="136"/>
      </rPr>
      <t>非流動金融資產</t>
    </r>
    <r>
      <rPr>
        <sz val="12"/>
        <rFont val="Times New Roman"/>
        <family val="1"/>
      </rPr>
      <t>5,228,248</t>
    </r>
    <r>
      <rPr>
        <sz val="12"/>
        <rFont val="標楷體"/>
        <family val="4"/>
        <charset val="136"/>
      </rPr>
      <t>千元、職業災害勞工保護業務增加投資</t>
    </r>
    <r>
      <rPr>
        <sz val="12"/>
        <rFont val="Times New Roman"/>
        <family val="1"/>
      </rPr>
      <t>-</t>
    </r>
    <r>
      <rPr>
        <sz val="12"/>
        <rFont val="標楷體"/>
        <family val="4"/>
        <charset val="136"/>
      </rPr>
      <t>非流動金融資產</t>
    </r>
    <r>
      <rPr>
        <sz val="12"/>
        <rFont val="Times New Roman"/>
        <family val="1"/>
      </rPr>
      <t>19,450</t>
    </r>
    <r>
      <rPr>
        <sz val="12"/>
        <rFont val="標楷體"/>
        <family val="4"/>
        <charset val="136"/>
      </rPr>
      <t>千元。</t>
    </r>
    <phoneticPr fontId="4" type="noConversion"/>
  </si>
  <si>
    <r>
      <rPr>
        <sz val="12"/>
        <rFont val="標楷體"/>
        <family val="4"/>
        <charset val="136"/>
      </rPr>
      <t>係農保及農職保業務增加短期債務</t>
    </r>
    <r>
      <rPr>
        <sz val="12"/>
        <rFont val="Times New Roman"/>
        <family val="1"/>
      </rPr>
      <t>0</t>
    </r>
    <r>
      <rPr>
        <sz val="12"/>
        <rFont val="標楷體"/>
        <family val="4"/>
        <charset val="136"/>
      </rPr>
      <t>千元。</t>
    </r>
    <phoneticPr fontId="4" type="noConversion"/>
  </si>
  <si>
    <r>
      <rPr>
        <sz val="12"/>
        <rFont val="標楷體"/>
        <family val="4"/>
        <charset val="136"/>
      </rPr>
      <t>係農保及農職保業務減少短期債務</t>
    </r>
    <r>
      <rPr>
        <sz val="12"/>
        <rFont val="Times New Roman"/>
        <family val="1"/>
      </rPr>
      <t>97,000</t>
    </r>
    <r>
      <rPr>
        <sz val="12"/>
        <rFont val="標楷體"/>
        <family val="4"/>
        <charset val="136"/>
      </rPr>
      <t>千元。</t>
    </r>
    <phoneticPr fontId="4"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</si>
  <si>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</si>
  <si>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</si>
  <si>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收支餘絀預計表</t>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</si>
  <si>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110</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</si>
  <si>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t>前年度決算數</t>
    <phoneticPr fontId="4" type="noConversion"/>
  </si>
  <si>
    <t>本年度預算數</t>
    <phoneticPr fontId="4" type="noConversion"/>
  </si>
  <si>
    <t>上年度預算數</t>
    <phoneticPr fontId="4" type="noConversion"/>
  </si>
  <si>
    <t>比較增減</t>
    <phoneticPr fontId="4" type="noConversion"/>
  </si>
  <si>
    <t>金 額</t>
    <phoneticPr fontId="4" type="noConversion"/>
  </si>
  <si>
    <t>　租金及權利金收入</t>
    <phoneticPr fontId="4" type="noConversion"/>
  </si>
  <si>
    <t>　　投資性不動產收入</t>
    <phoneticPr fontId="4" type="noConversion"/>
  </si>
  <si>
    <t>　　  勞工保險－普通</t>
    <phoneticPr fontId="4" type="noConversion"/>
  </si>
  <si>
    <t>　投融資業務收入</t>
    <phoneticPr fontId="4" type="noConversion"/>
  </si>
  <si>
    <r>
      <t>　　投資業務收入</t>
    </r>
    <r>
      <rPr>
        <sz val="9"/>
        <rFont val="Times New Roman"/>
        <family val="1"/>
      </rPr>
      <t/>
    </r>
    <phoneticPr fontId="4" type="noConversion"/>
  </si>
  <si>
    <t>　　  勞工保險－職災</t>
    <phoneticPr fontId="4" type="noConversion"/>
  </si>
  <si>
    <t>　　  就業保險</t>
    <phoneticPr fontId="4" type="noConversion"/>
  </si>
  <si>
    <t>　　融資業務收入</t>
    <phoneticPr fontId="4" type="noConversion"/>
  </si>
  <si>
    <t>　　兌換賸餘</t>
    <phoneticPr fontId="4" type="noConversion"/>
  </si>
  <si>
    <t>　　  勞工保險－普通</t>
    <phoneticPr fontId="4" type="noConversion"/>
  </si>
  <si>
    <t>　　  就業保險</t>
    <phoneticPr fontId="4" type="noConversion"/>
  </si>
  <si>
    <t>　　手續費收入</t>
    <phoneticPr fontId="4" type="noConversion"/>
  </si>
  <si>
    <t>　　存款利息收入</t>
    <phoneticPr fontId="4" type="noConversion"/>
  </si>
  <si>
    <t>　　  勞工保險－職災</t>
    <phoneticPr fontId="4" type="noConversion"/>
  </si>
  <si>
    <t>　　  農保</t>
    <phoneticPr fontId="4" type="noConversion"/>
  </si>
  <si>
    <t>　　  農職保</t>
    <phoneticPr fontId="4" type="noConversion"/>
  </si>
  <si>
    <t>　　   職災保護－已加保勞工</t>
    <phoneticPr fontId="4" type="noConversion"/>
  </si>
  <si>
    <t>　　   職災保護－未加保勞工</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</si>
  <si>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</si>
  <si>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</si>
  <si>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</si>
  <si>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</si>
  <si>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其他補助收入</t>
    <phoneticPr fontId="4" type="noConversion"/>
  </si>
  <si>
    <t>　　  勞保-普通事故</t>
    <phoneticPr fontId="4" type="noConversion"/>
  </si>
  <si>
    <t>　　雜項業務收入</t>
    <phoneticPr fontId="4" type="noConversion"/>
  </si>
  <si>
    <t>-</t>
    <phoneticPr fontId="4" type="noConversion"/>
  </si>
  <si>
    <t>業務成本與費用</t>
    <phoneticPr fontId="4" type="noConversion"/>
  </si>
  <si>
    <t xml:space="preserve">  出租資產成本</t>
    <phoneticPr fontId="4" type="noConversion"/>
  </si>
  <si>
    <t>　　投資性不動產成本</t>
    <phoneticPr fontId="4" type="noConversion"/>
  </si>
  <si>
    <t xml:space="preserve">  投融資業務成本</t>
    <phoneticPr fontId="4" type="noConversion"/>
  </si>
  <si>
    <t>　　投資業務成本</t>
    <phoneticPr fontId="4" type="noConversion"/>
  </si>
  <si>
    <t>　　融資業務成本</t>
    <phoneticPr fontId="4" type="noConversion"/>
  </si>
  <si>
    <t>　　兌換短絀</t>
    <phoneticPr fontId="4" type="noConversion"/>
  </si>
  <si>
    <t>　　  勞工保險－普通</t>
    <phoneticPr fontId="4" type="noConversion"/>
  </si>
  <si>
    <t>　　  就業保險</t>
    <phoneticPr fontId="4" type="noConversion"/>
  </si>
  <si>
    <t>　保險成本</t>
    <phoneticPr fontId="4" type="noConversion"/>
  </si>
  <si>
    <t>　　保險給付</t>
    <phoneticPr fontId="4" type="noConversion"/>
  </si>
  <si>
    <t>　　  勞工保險－職災</t>
    <phoneticPr fontId="4" type="noConversion"/>
  </si>
  <si>
    <t>　 　  職災保護－已加保勞工</t>
    <phoneticPr fontId="4" type="noConversion"/>
  </si>
  <si>
    <t>　　提存責任準備</t>
    <phoneticPr fontId="4" type="noConversion"/>
  </si>
  <si>
    <t>　　  職災保護－未加保勞工</t>
    <phoneticPr fontId="4" type="noConversion"/>
  </si>
  <si>
    <t>　　呆帳</t>
    <phoneticPr fontId="4" type="noConversion"/>
  </si>
  <si>
    <t>　　  勞工保險－普通</t>
    <phoneticPr fontId="4" type="noConversion"/>
  </si>
  <si>
    <t>　　  勞工保險－職災</t>
    <phoneticPr fontId="4" type="noConversion"/>
  </si>
  <si>
    <t>　　  就業保險</t>
    <phoneticPr fontId="4" type="noConversion"/>
  </si>
  <si>
    <t>　　  職災保護－已加保勞工</t>
    <phoneticPr fontId="4" type="noConversion"/>
  </si>
  <si>
    <t>　　   職災保護－未加保勞工</t>
    <phoneticPr fontId="4" type="noConversion"/>
  </si>
  <si>
    <t>　其他業務成本</t>
    <phoneticPr fontId="4" type="noConversion"/>
  </si>
  <si>
    <t>　　雜項業務成本</t>
    <phoneticPr fontId="4" type="noConversion"/>
  </si>
  <si>
    <t>　　  勞工保險-普通</t>
    <phoneticPr fontId="4" type="noConversion"/>
  </si>
  <si>
    <t>　　  農保</t>
    <phoneticPr fontId="4" type="noConversion"/>
  </si>
  <si>
    <t>業務賸餘（短絀）</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</si>
  <si>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</si>
  <si>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</si>
  <si>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</si>
  <si>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</si>
  <si>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違規罰款收入</t>
    <phoneticPr fontId="4" type="noConversion"/>
  </si>
  <si>
    <t xml:space="preserve">　　   職災保護－已加保勞工 </t>
    <phoneticPr fontId="4" type="noConversion"/>
  </si>
  <si>
    <t>　　收回呆帳</t>
    <phoneticPr fontId="4" type="noConversion"/>
  </si>
  <si>
    <t>　 　  職災保護－未加保勞工</t>
    <phoneticPr fontId="4" type="noConversion"/>
  </si>
  <si>
    <t>　　雜項收入</t>
    <phoneticPr fontId="4" type="noConversion"/>
  </si>
  <si>
    <t>　　  農民保險</t>
    <phoneticPr fontId="4" type="noConversion"/>
  </si>
  <si>
    <t>　 　  職災保護－已加保勞工</t>
    <phoneticPr fontId="4" type="noConversion"/>
  </si>
  <si>
    <t>業務外費用</t>
    <phoneticPr fontId="4" type="noConversion"/>
  </si>
  <si>
    <t>　其他業務外費用</t>
    <phoneticPr fontId="4" type="noConversion"/>
  </si>
  <si>
    <t>　　雜項費用</t>
    <phoneticPr fontId="4" type="noConversion"/>
  </si>
  <si>
    <t>　 　 職災保護－未加保勞工</t>
    <phoneticPr fontId="4" type="noConversion"/>
  </si>
  <si>
    <t>業務外賸餘（短絀）</t>
    <phoneticPr fontId="4" type="noConversion"/>
  </si>
  <si>
    <t>本期賸餘（短絀）</t>
    <phoneticPr fontId="4" type="noConversion"/>
  </si>
  <si>
    <r>
      <t>註：</t>
    </r>
    <r>
      <rPr>
        <sz val="7.5"/>
        <rFont val="標楷體"/>
        <family val="4"/>
        <charset val="136"/>
      </rPr>
      <t>百分比及前年度決算數細數之和與總數或略有出入，係四捨五入關係。以下各表同。</t>
    </r>
    <phoneticPr fontId="4" type="noConversion"/>
  </si>
  <si>
    <t>項    目</t>
    <phoneticPr fontId="4" type="noConversion"/>
  </si>
  <si>
    <t>收入合計</t>
    <phoneticPr fontId="4" type="noConversion"/>
  </si>
  <si>
    <t>成本合計</t>
    <phoneticPr fontId="4" type="noConversion"/>
  </si>
  <si>
    <t>差異數</t>
    <phoneticPr fontId="4" type="noConversion"/>
  </si>
  <si>
    <t>前年度決算數</t>
    <phoneticPr fontId="4" type="noConversion"/>
  </si>
  <si>
    <t>勞工保險－普通</t>
    <phoneticPr fontId="4" type="noConversion"/>
  </si>
  <si>
    <t>勞工保險－職災</t>
    <phoneticPr fontId="4" type="noConversion"/>
  </si>
  <si>
    <t>就業保險</t>
    <phoneticPr fontId="4" type="noConversion"/>
  </si>
  <si>
    <t>農民保險</t>
    <phoneticPr fontId="4" type="noConversion"/>
  </si>
  <si>
    <t>職災保護－已加保勞工</t>
    <phoneticPr fontId="4" type="noConversion"/>
  </si>
  <si>
    <t>職災保護－未加保勞工</t>
    <phoneticPr fontId="4" type="noConversion"/>
  </si>
  <si>
    <t>合計</t>
    <phoneticPr fontId="4" type="noConversion"/>
  </si>
  <si>
    <t>本年度預算數</t>
    <phoneticPr fontId="4" type="noConversion"/>
  </si>
  <si>
    <t>上年度預算數</t>
    <phoneticPr fontId="4" type="noConversion"/>
  </si>
  <si>
    <t>　  農保及農職保</t>
    <phoneticPr fontId="4" type="noConversion"/>
  </si>
  <si>
    <r>
      <t>6.</t>
    </r>
    <r>
      <rPr>
        <sz val="12"/>
        <rFont val="標楷體"/>
        <family val="4"/>
        <charset val="136"/>
      </rPr>
      <t>流動負債淨減</t>
    </r>
    <phoneticPr fontId="4" type="noConversion"/>
  </si>
  <si>
    <r>
      <rPr>
        <sz val="12"/>
        <rFont val="標楷體"/>
        <family val="4"/>
        <charset val="136"/>
      </rPr>
      <t>貸款予被保險人之利息收入編列</t>
    </r>
    <r>
      <rPr>
        <sz val="12"/>
        <rFont val="Times New Roman"/>
        <family val="1"/>
      </rPr>
      <t>517,700</t>
    </r>
    <r>
      <rPr>
        <sz val="12"/>
        <rFont val="標楷體"/>
        <family val="4"/>
        <charset val="136"/>
      </rPr>
      <t>千元，由勞動部勞工保險局辦理；貸款予農民健康保險辦理短期週轉之利息收入編列</t>
    </r>
    <r>
      <rPr>
        <sz val="12"/>
        <rFont val="Times New Roman"/>
        <family val="1"/>
      </rPr>
      <t>32,750</t>
    </r>
    <r>
      <rPr>
        <sz val="12"/>
        <rFont val="標楷體"/>
        <family val="4"/>
        <charset val="136"/>
      </rPr>
      <t>千元，由勞動部勞動基金運用局辦理。</t>
    </r>
    <phoneticPr fontId="4" type="noConversion"/>
  </si>
  <si>
    <r>
      <rPr>
        <sz val="12"/>
        <rFont val="標楷體"/>
        <family val="4"/>
        <charset val="136"/>
      </rPr>
      <t>本科目勞動部勞工保險局辦理</t>
    </r>
    <r>
      <rPr>
        <sz val="12"/>
        <rFont val="Times New Roman"/>
        <family val="1"/>
      </rPr>
      <t>517,904</t>
    </r>
    <r>
      <rPr>
        <sz val="12"/>
        <rFont val="標楷體"/>
        <family val="4"/>
        <charset val="136"/>
      </rPr>
      <t>千元；勞動部勞動基金運用局辦理</t>
    </r>
    <r>
      <rPr>
        <sz val="12"/>
        <rFont val="Times New Roman"/>
        <family val="1"/>
      </rPr>
      <t>29,686,020</t>
    </r>
    <r>
      <rPr>
        <sz val="12"/>
        <rFont val="標楷體"/>
        <family val="4"/>
        <charset val="136"/>
      </rPr>
      <t>千元。</t>
    </r>
    <phoneticPr fontId="4" type="noConversion"/>
  </si>
  <si>
    <r>
      <rPr>
        <sz val="13"/>
        <rFont val="標楷體"/>
        <family val="4"/>
        <charset val="136"/>
      </rPr>
      <t>（一）租金及權利金收入</t>
    </r>
    <r>
      <rPr>
        <sz val="13"/>
        <rFont val="Times New Roman"/>
        <family val="1"/>
      </rPr>
      <t>281,663</t>
    </r>
    <r>
      <rPr>
        <sz val="13"/>
        <rFont val="標楷體"/>
        <family val="4"/>
        <charset val="136"/>
      </rPr>
      <t>千元，係基金出租投資性不動產所獲得之收入等。</t>
    </r>
    <phoneticPr fontId="4" type="noConversion"/>
  </si>
  <si>
    <r>
      <rPr>
        <sz val="13"/>
        <rFont val="標楷體"/>
        <family val="4"/>
        <charset val="136"/>
      </rPr>
      <t>（二）投融資業務收入</t>
    </r>
    <r>
      <rPr>
        <sz val="13"/>
        <rFont val="Times New Roman"/>
        <family val="1"/>
      </rPr>
      <t>30,203,924</t>
    </r>
    <r>
      <rPr>
        <sz val="13"/>
        <rFont val="標楷體"/>
        <family val="4"/>
        <charset val="136"/>
      </rPr>
      <t xml:space="preserve">千元，係本基金投資運用收益、存款利息收入及融資業
</t>
    </r>
    <r>
      <rPr>
        <sz val="13"/>
        <rFont val="Times New Roman"/>
        <family val="1"/>
      </rPr>
      <t xml:space="preserve">            </t>
    </r>
    <r>
      <rPr>
        <sz val="13"/>
        <rFont val="標楷體"/>
        <family val="4"/>
        <charset val="136"/>
      </rPr>
      <t>務收入。</t>
    </r>
    <phoneticPr fontId="4" type="noConversion"/>
  </si>
  <si>
    <r>
      <rPr>
        <sz val="13"/>
        <rFont val="標楷體"/>
        <family val="4"/>
        <charset val="136"/>
      </rPr>
      <t>（一）出租資產成本</t>
    </r>
    <r>
      <rPr>
        <sz val="13"/>
        <rFont val="Times New Roman"/>
        <family val="1"/>
      </rPr>
      <t>21,280</t>
    </r>
    <r>
      <rPr>
        <sz val="13"/>
        <rFont val="標楷體"/>
        <family val="4"/>
        <charset val="136"/>
      </rPr>
      <t xml:space="preserve">千元，係提列投資取得不動產之折舊及基金不動產鑑價費用、
</t>
    </r>
    <r>
      <rPr>
        <sz val="13"/>
        <rFont val="Times New Roman"/>
        <family val="1"/>
      </rPr>
      <t xml:space="preserve">            </t>
    </r>
    <r>
      <rPr>
        <sz val="13"/>
        <rFont val="標楷體"/>
        <family val="4"/>
        <charset val="136"/>
      </rPr>
      <t>基金投資不動產之房屋修護費用等</t>
    </r>
    <r>
      <rPr>
        <sz val="13"/>
        <rFont val="新細明體"/>
        <family val="1"/>
        <charset val="136"/>
      </rPr>
      <t>。</t>
    </r>
    <phoneticPr fontId="4" type="noConversion"/>
  </si>
  <si>
    <r>
      <rPr>
        <sz val="13"/>
        <rFont val="標楷體"/>
        <family val="4"/>
        <charset val="136"/>
      </rPr>
      <t>（二）投融資業務成本</t>
    </r>
    <r>
      <rPr>
        <sz val="13"/>
        <rFont val="Times New Roman"/>
        <family val="1"/>
      </rPr>
      <t>973,763</t>
    </r>
    <r>
      <rPr>
        <sz val="13"/>
        <rFont val="標楷體"/>
        <family val="4"/>
        <charset val="136"/>
      </rPr>
      <t>千元，係本基金投資運用之委託經營經理費</t>
    </r>
    <r>
      <rPr>
        <sz val="13"/>
        <rFont val="新細明體"/>
        <family val="1"/>
        <charset val="136"/>
      </rPr>
      <t>、</t>
    </r>
    <r>
      <rPr>
        <sz val="13"/>
        <rFont val="標楷體"/>
        <family val="4"/>
        <charset val="136"/>
      </rPr>
      <t xml:space="preserve">國外投資
</t>
    </r>
    <r>
      <rPr>
        <sz val="13"/>
        <rFont val="Times New Roman"/>
        <family val="1"/>
      </rPr>
      <t xml:space="preserve">            </t>
    </r>
    <r>
      <rPr>
        <sz val="13"/>
        <rFont val="標楷體"/>
        <family val="4"/>
        <charset val="136"/>
      </rPr>
      <t>保管費及被保險人貸款手續費等</t>
    </r>
    <r>
      <rPr>
        <sz val="13"/>
        <rFont val="新細明體"/>
        <family val="1"/>
        <charset val="136"/>
      </rPr>
      <t>。</t>
    </r>
    <phoneticPr fontId="4" type="noConversion"/>
  </si>
  <si>
    <r>
      <rPr>
        <sz val="13"/>
        <rFont val="標楷體"/>
        <family val="4"/>
        <charset val="136"/>
      </rPr>
      <t>（四）其他業務成本</t>
    </r>
    <r>
      <rPr>
        <sz val="13"/>
        <rFont val="Times New Roman"/>
        <family val="1"/>
      </rPr>
      <t>3,512,763</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 xml:space="preserve">項規定辦理促進就業等業
</t>
    </r>
    <r>
      <rPr>
        <sz val="13"/>
        <rFont val="Times New Roman"/>
        <family val="1"/>
      </rPr>
      <t xml:space="preserve">            </t>
    </r>
    <r>
      <rPr>
        <sz val="13"/>
        <rFont val="標楷體"/>
        <family val="4"/>
        <charset val="136"/>
      </rPr>
      <t xml:space="preserve">務、農保虧損借款之利息支出及政府對未加保勞工而遭遇職業災害者之各項補助
</t>
    </r>
    <r>
      <rPr>
        <sz val="13"/>
        <rFont val="Times New Roman"/>
        <family val="1"/>
      </rPr>
      <t xml:space="preserve">            </t>
    </r>
    <r>
      <rPr>
        <sz val="13"/>
        <rFont val="標楷體"/>
        <family val="4"/>
        <charset val="136"/>
      </rPr>
      <t>等。</t>
    </r>
    <phoneticPr fontId="4" type="noConversion"/>
  </si>
  <si>
    <r>
      <rPr>
        <sz val="13"/>
        <rFont val="標楷體"/>
        <family val="4"/>
        <charset val="136"/>
      </rPr>
      <t>（一）財務收入</t>
    </r>
    <r>
      <rPr>
        <sz val="13"/>
        <rFont val="Times New Roman"/>
        <family val="1"/>
      </rPr>
      <t>387</t>
    </r>
    <r>
      <rPr>
        <sz val="13"/>
        <rFont val="標楷體"/>
        <family val="4"/>
        <charset val="136"/>
      </rPr>
      <t>千元，係利息收入。</t>
    </r>
    <phoneticPr fontId="4" type="noConversion"/>
  </si>
  <si>
    <r>
      <rPr>
        <sz val="13"/>
        <rFont val="標楷體"/>
        <family val="4"/>
        <charset val="136"/>
      </rPr>
      <t>四、本年度業務外費用</t>
    </r>
    <r>
      <rPr>
        <sz val="13"/>
        <rFont val="Times New Roman"/>
        <family val="1"/>
      </rPr>
      <t>37</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4" type="noConversion"/>
  </si>
  <si>
    <r>
      <rPr>
        <sz val="13"/>
        <rFont val="標楷體"/>
        <family val="4"/>
        <charset val="136"/>
      </rPr>
      <t>本年度業務外收入</t>
    </r>
    <r>
      <rPr>
        <sz val="13"/>
        <rFont val="Times New Roman"/>
        <family val="1"/>
      </rPr>
      <t>233,631</t>
    </r>
    <r>
      <rPr>
        <sz val="13"/>
        <rFont val="標楷體"/>
        <family val="4"/>
        <charset val="136"/>
      </rPr>
      <t>千元：</t>
    </r>
    <phoneticPr fontId="4" type="noConversion"/>
  </si>
  <si>
    <r>
      <rPr>
        <sz val="13"/>
        <rFont val="標楷體"/>
        <family val="4"/>
        <charset val="136"/>
      </rPr>
      <t>（二）其他業務外收入</t>
    </r>
    <r>
      <rPr>
        <sz val="13"/>
        <rFont val="Times New Roman"/>
        <family val="1"/>
      </rPr>
      <t>233,244</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4" type="noConversion"/>
  </si>
  <si>
    <r>
      <rPr>
        <sz val="12"/>
        <rFont val="標楷體"/>
        <family val="4"/>
        <charset val="136"/>
      </rPr>
      <t>係農保收入減支出後之虧損數</t>
    </r>
    <r>
      <rPr>
        <sz val="12"/>
        <rFont val="Times New Roman"/>
        <family val="1"/>
      </rPr>
      <t>3,579,664</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4"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</si>
  <si>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905,763</t>
    </r>
    <r>
      <rPr>
        <sz val="12"/>
        <rFont val="標楷體"/>
        <family val="4"/>
        <charset val="136"/>
      </rPr>
      <t>千元。</t>
    </r>
    <phoneticPr fontId="4" type="noConversion"/>
  </si>
  <si>
    <r>
      <rPr>
        <sz val="12"/>
        <rFont val="標楷體"/>
        <family val="4"/>
        <charset val="136"/>
      </rPr>
      <t>編列</t>
    </r>
    <r>
      <rPr>
        <sz val="12"/>
        <rFont val="Times New Roman"/>
        <family val="1"/>
      </rPr>
      <t>868,854</t>
    </r>
    <r>
      <rPr>
        <sz val="12"/>
        <rFont val="標楷體"/>
        <family val="4"/>
        <charset val="136"/>
      </rPr>
      <t>千元，係基金委託經營之經理費等。</t>
    </r>
    <phoneticPr fontId="4" type="noConversion"/>
  </si>
  <si>
    <r>
      <rPr>
        <sz val="12"/>
        <rFont val="標楷體"/>
        <family val="4"/>
        <charset val="136"/>
      </rPr>
      <t>編列</t>
    </r>
    <r>
      <rPr>
        <sz val="12"/>
        <rFont val="Times New Roman"/>
        <family val="1"/>
      </rPr>
      <t>5,527,767</t>
    </r>
    <r>
      <rPr>
        <sz val="12"/>
        <rFont val="標楷體"/>
        <family val="4"/>
        <charset val="136"/>
      </rPr>
      <t>千元，係就業保險收入減支出後之餘額，悉數轉列提存責任準備。</t>
    </r>
    <phoneticPr fontId="4" type="noConversion"/>
  </si>
  <si>
    <r>
      <t>1.</t>
    </r>
    <r>
      <rPr>
        <sz val="12"/>
        <rFont val="標楷體"/>
        <family val="4"/>
        <charset val="136"/>
      </rPr>
      <t>已加保勞工部分之各項補助係參考以前年度執行情形，編列</t>
    </r>
    <r>
      <rPr>
        <sz val="12"/>
        <rFont val="Times New Roman"/>
        <family val="1"/>
      </rPr>
      <t>227,080</t>
    </r>
    <r>
      <rPr>
        <sz val="12"/>
        <rFont val="標楷體"/>
        <family val="4"/>
        <charset val="136"/>
      </rPr>
      <t>千元。</t>
    </r>
    <phoneticPr fontId="4" type="noConversion"/>
  </si>
  <si>
    <r>
      <rPr>
        <sz val="12"/>
        <rFont val="標楷體"/>
        <family val="4"/>
        <charset val="136"/>
      </rPr>
      <t>編列</t>
    </r>
    <r>
      <rPr>
        <sz val="12"/>
        <rFont val="Times New Roman"/>
        <family val="1"/>
      </rPr>
      <t>32,750</t>
    </r>
    <r>
      <rPr>
        <sz val="12"/>
        <rFont val="標楷體"/>
        <family val="4"/>
        <charset val="136"/>
      </rPr>
      <t>千元，由勞動部勞工保險局辦理，係農保虧損向勞工保險基金借款之利息支出，預估</t>
    </r>
    <r>
      <rPr>
        <sz val="12"/>
        <rFont val="Times New Roman"/>
        <family val="1"/>
      </rPr>
      <t>110</t>
    </r>
    <r>
      <rPr>
        <sz val="12"/>
        <rFont val="標楷體"/>
        <family val="4"/>
        <charset val="136"/>
      </rPr>
      <t>年度平均借款金額為</t>
    </r>
    <r>
      <rPr>
        <sz val="12"/>
        <rFont val="Times New Roman"/>
        <family val="1"/>
      </rPr>
      <t>3,275,031</t>
    </r>
    <r>
      <rPr>
        <sz val="12"/>
        <rFont val="標楷體"/>
        <family val="4"/>
        <charset val="136"/>
      </rPr>
      <t>千元，平均借款利率</t>
    </r>
    <r>
      <rPr>
        <sz val="12"/>
        <rFont val="Times New Roman"/>
        <family val="1"/>
      </rPr>
      <t>1%</t>
    </r>
    <r>
      <rPr>
        <sz val="12"/>
        <rFont val="標楷體"/>
        <family val="4"/>
        <charset val="136"/>
      </rPr>
      <t>。貸款機關為勞動部勞動基金運用局，貸款用途為補足農保當年度收支不足數。</t>
    </r>
    <phoneticPr fontId="4" type="noConversion"/>
  </si>
  <si>
    <t>職業傷病診治網絡及鑑定協助</t>
  </si>
  <si>
    <t>職災勞工重建與個案服務</t>
  </si>
  <si>
    <t>職業病鑑定評估及預防介入改善計畫-勞工矽肺症與奈米危害全國調查分析</t>
  </si>
  <si>
    <t>原臺灣美國無線電股份有限公司罹病死亡勞工慰問金</t>
  </si>
  <si>
    <t>發展化學品危害資訊與評估管理技術</t>
  </si>
  <si>
    <t>強化職業衛生危害調查、評估、控制技術與管理效能及系統</t>
  </si>
  <si>
    <t>提升勞工健康檢查品質與資訊管理</t>
  </si>
  <si>
    <t>建構職業健康專業能量發展網絡，強化職場新興危害及高危害物質健康防護</t>
  </si>
  <si>
    <t>前RCA勞工健康檢查追蹤</t>
  </si>
  <si>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職業及機械設備安全輔導</t>
    </r>
  </si>
  <si>
    <t>石化及化學工廠製程安全管理輔導</t>
  </si>
  <si>
    <t>營造業臨時性作業勞工安全監督輔導改善</t>
  </si>
  <si>
    <t>老舊危險性機械設備檢測</t>
  </si>
  <si>
    <t>推動機械設備器具安全驗證，新購安全機械及改善既有機械安全</t>
  </si>
  <si>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提升勞工職災預防及工安
</t>
    </r>
    <r>
      <rPr>
        <sz val="12"/>
        <rFont val="Times New Roman"/>
        <family val="1"/>
      </rPr>
      <t xml:space="preserve">                 </t>
    </r>
    <r>
      <rPr>
        <sz val="12"/>
        <rFont val="標楷體"/>
        <family val="4"/>
        <charset val="136"/>
      </rPr>
      <t>意識</t>
    </r>
  </si>
  <si>
    <t>提升職業安全衛生知能及教育訓練品質</t>
  </si>
  <si>
    <t>勞工安全衛生多元化展示</t>
  </si>
  <si>
    <t>職業安全衛生危害預防全國巡迴展示活動</t>
  </si>
  <si>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高風險產業職災預防輔導</t>
    </r>
  </si>
  <si>
    <t>機械災害預防及工業區職業安全衛生促進</t>
  </si>
  <si>
    <t>營造業宣導輔導檢查及本質安全促進</t>
  </si>
  <si>
    <t>高風險事業單位輔導</t>
  </si>
  <si>
    <t>表面處理業危害全國調查分析</t>
  </si>
  <si>
    <r>
      <rPr>
        <sz val="12"/>
        <rFont val="標楷體"/>
        <family val="4"/>
        <charset val="136"/>
      </rPr>
      <t>支付利息</t>
    </r>
    <r>
      <rPr>
        <sz val="12"/>
        <rFont val="Times New Roman"/>
        <family val="1"/>
      </rPr>
      <t>32,750</t>
    </r>
    <r>
      <rPr>
        <sz val="12"/>
        <rFont val="標楷體"/>
        <family val="4"/>
        <charset val="136"/>
      </rPr>
      <t>千元。</t>
    </r>
    <phoneticPr fontId="4" type="noConversion"/>
  </si>
  <si>
    <r>
      <t>5.</t>
    </r>
    <r>
      <rPr>
        <sz val="12"/>
        <rFont val="標楷體"/>
        <family val="4"/>
        <charset val="136"/>
      </rPr>
      <t>流動資產淨增</t>
    </r>
    <phoneticPr fontId="4" type="noConversion"/>
  </si>
  <si>
    <r>
      <rPr>
        <sz val="12"/>
        <rFont val="標楷體"/>
        <family val="4"/>
        <charset val="136"/>
      </rPr>
      <t>係勞工保險業務減少投資</t>
    </r>
    <r>
      <rPr>
        <sz val="12"/>
        <rFont val="Times New Roman"/>
        <family val="1"/>
      </rPr>
      <t>-</t>
    </r>
    <r>
      <rPr>
        <sz val="12"/>
        <rFont val="標楷體"/>
        <family val="4"/>
        <charset val="136"/>
      </rPr>
      <t>非流動金融資產</t>
    </r>
    <r>
      <rPr>
        <sz val="12"/>
        <rFont val="Times New Roman"/>
        <family val="1"/>
      </rPr>
      <t>4,216,759</t>
    </r>
    <r>
      <rPr>
        <sz val="12"/>
        <rFont val="標楷體"/>
        <family val="4"/>
        <charset val="136"/>
      </rPr>
      <t>千元及長期貸款</t>
    </r>
    <r>
      <rPr>
        <sz val="12"/>
        <rFont val="Times New Roman"/>
        <family val="1"/>
      </rPr>
      <t>11,200,000</t>
    </r>
    <r>
      <rPr>
        <sz val="12"/>
        <rFont val="標楷體"/>
        <family val="4"/>
        <charset val="136"/>
      </rPr>
      <t>千元。</t>
    </r>
    <phoneticPr fontId="4" type="noConversion"/>
  </si>
  <si>
    <t>公式</t>
    <phoneticPr fontId="4" type="noConversion"/>
  </si>
  <si>
    <r>
      <rPr>
        <sz val="12"/>
        <rFont val="標楷體"/>
        <family val="4"/>
        <charset val="136"/>
      </rPr>
      <t>係勞工保險業務減少流動金融資產</t>
    </r>
    <r>
      <rPr>
        <sz val="12"/>
        <rFont val="Times New Roman"/>
        <family val="1"/>
      </rPr>
      <t>4,726,724</t>
    </r>
    <r>
      <rPr>
        <sz val="12"/>
        <rFont val="標楷體"/>
        <family val="4"/>
        <charset val="136"/>
      </rPr>
      <t>千元、短期貸款</t>
    </r>
    <r>
      <rPr>
        <sz val="12"/>
        <rFont val="Times New Roman"/>
        <family val="1"/>
      </rPr>
      <t>97,000</t>
    </r>
    <r>
      <rPr>
        <sz val="12"/>
        <rFont val="標楷體"/>
        <family val="4"/>
        <charset val="136"/>
      </rPr>
      <t>千元。</t>
    </r>
    <phoneticPr fontId="4" type="noConversion"/>
  </si>
  <si>
    <r>
      <rPr>
        <sz val="12"/>
        <rFont val="標楷體"/>
        <family val="4"/>
        <charset val="136"/>
      </rPr>
      <t>收取利息</t>
    </r>
    <r>
      <rPr>
        <sz val="12"/>
        <rFont val="Times New Roman"/>
        <family val="1"/>
      </rPr>
      <t>6,687,935</t>
    </r>
    <r>
      <rPr>
        <sz val="12"/>
        <rFont val="標楷體"/>
        <family val="4"/>
        <charset val="136"/>
      </rPr>
      <t>千元。</t>
    </r>
    <phoneticPr fontId="4" type="noConversion"/>
  </si>
  <si>
    <r>
      <rPr>
        <sz val="13"/>
        <rFont val="標楷體"/>
        <family val="4"/>
        <charset val="136"/>
      </rPr>
      <t>（四）其他業務收入</t>
    </r>
    <r>
      <rPr>
        <sz val="13"/>
        <rFont val="Times New Roman"/>
        <family val="1"/>
      </rPr>
      <t>25,633,493</t>
    </r>
    <r>
      <rPr>
        <sz val="13"/>
        <rFont val="標楷體"/>
        <family val="4"/>
        <charset val="136"/>
      </rPr>
      <t>千元，係政府撥補勞工保險基金</t>
    </r>
    <r>
      <rPr>
        <sz val="13"/>
        <rFont val="新細明體"/>
        <family val="1"/>
        <charset val="136"/>
      </rPr>
      <t>、</t>
    </r>
    <r>
      <rPr>
        <sz val="13"/>
        <rFont val="標楷體"/>
        <family val="4"/>
        <charset val="136"/>
      </rPr>
      <t xml:space="preserve">農保及農職保虧損由政
</t>
    </r>
    <r>
      <rPr>
        <sz val="13"/>
        <rFont val="Times New Roman"/>
        <family val="1"/>
      </rPr>
      <t xml:space="preserve">            </t>
    </r>
    <r>
      <rPr>
        <sz val="13"/>
        <rFont val="標楷體"/>
        <family val="4"/>
        <charset val="136"/>
      </rPr>
      <t>府補助</t>
    </r>
    <r>
      <rPr>
        <sz val="13"/>
        <rFont val="新細明體"/>
        <family val="1"/>
        <charset val="136"/>
      </rPr>
      <t>、</t>
    </r>
    <r>
      <rPr>
        <sz val="13"/>
        <rFont val="標楷體"/>
        <family val="4"/>
        <charset val="136"/>
      </rPr>
      <t>未加入勞工保險而遭遇職業災害勞工之各項補助收入等。</t>
    </r>
    <phoneticPr fontId="4" type="noConversion"/>
  </si>
  <si>
    <r>
      <rPr>
        <sz val="12"/>
        <rFont val="標楷體"/>
        <family val="4"/>
        <charset val="136"/>
      </rPr>
      <t>本科目勞動部勞工保險局辦理</t>
    </r>
    <r>
      <rPr>
        <sz val="12"/>
        <rFont val="Times New Roman"/>
        <family val="1"/>
      </rPr>
      <t>25,593,493</t>
    </r>
    <r>
      <rPr>
        <sz val="12"/>
        <rFont val="標楷體"/>
        <family val="4"/>
        <charset val="136"/>
      </rPr>
      <t>千元；勞動部職業安全衛生署辦理</t>
    </r>
    <r>
      <rPr>
        <sz val="12"/>
        <rFont val="Times New Roman"/>
        <family val="1"/>
      </rPr>
      <t>40,000</t>
    </r>
    <r>
      <rPr>
        <sz val="12"/>
        <rFont val="標楷體"/>
        <family val="4"/>
        <charset val="136"/>
      </rPr>
      <t>千元。</t>
    </r>
    <phoneticPr fontId="4" type="noConversion"/>
  </si>
  <si>
    <r>
      <rPr>
        <sz val="12"/>
        <rFont val="標楷體"/>
        <family val="4"/>
        <charset val="136"/>
      </rPr>
      <t>係本年度勞工保險普通事故，收支短絀為</t>
    </r>
    <r>
      <rPr>
        <sz val="12"/>
        <rFont val="Times New Roman"/>
        <family val="1"/>
      </rPr>
      <t>10,816,936</t>
    </r>
    <r>
      <rPr>
        <sz val="12"/>
        <rFont val="標楷體"/>
        <family val="4"/>
        <charset val="136"/>
      </rPr>
      <t>千元，悉數由以前年度累積之提存責任準備彌平。</t>
    </r>
    <phoneticPr fontId="4" type="noConversion"/>
  </si>
  <si>
    <r>
      <rPr>
        <sz val="12"/>
        <rFont val="標楷體"/>
        <family val="4"/>
        <charset val="136"/>
      </rPr>
      <t>編列千元，係基金投資之不動產，辦理相關業務所需旅運費等。</t>
    </r>
    <phoneticPr fontId="4" type="noConversion"/>
  </si>
  <si>
    <r>
      <rPr>
        <sz val="12"/>
        <rFont val="標楷體"/>
        <family val="4"/>
        <charset val="136"/>
      </rPr>
      <t>編列</t>
    </r>
    <r>
      <rPr>
        <sz val="12"/>
        <rFont val="Times New Roman"/>
        <family val="1"/>
      </rPr>
      <t>5</t>
    </r>
    <r>
      <rPr>
        <sz val="12"/>
        <rFont val="標楷體"/>
        <family val="4"/>
        <charset val="136"/>
      </rPr>
      <t>千元，係基金投資之不動產，刊登房屋出租廣告等。</t>
    </r>
    <phoneticPr fontId="4" type="noConversion"/>
  </si>
  <si>
    <r>
      <rPr>
        <sz val="12"/>
        <rFont val="標楷體"/>
        <family val="4"/>
        <charset val="136"/>
      </rPr>
      <t>編列</t>
    </r>
    <r>
      <rPr>
        <sz val="12"/>
        <rFont val="Times New Roman"/>
        <family val="1"/>
      </rPr>
      <t>13</t>
    </r>
    <r>
      <rPr>
        <sz val="12"/>
        <rFont val="標楷體"/>
        <family val="4"/>
        <charset val="136"/>
      </rPr>
      <t>千元，係基金投資不動產之房屋稅。</t>
    </r>
    <phoneticPr fontId="4" type="noConversion"/>
  </si>
  <si>
    <r>
      <rPr>
        <sz val="12"/>
        <rFont val="標楷體"/>
        <family val="4"/>
        <charset val="136"/>
      </rPr>
      <t>編列</t>
    </r>
    <r>
      <rPr>
        <sz val="12"/>
        <rFont val="Times New Roman"/>
        <family val="1"/>
      </rPr>
      <t>162</t>
    </r>
    <r>
      <rPr>
        <sz val="12"/>
        <rFont val="標楷體"/>
        <family val="4"/>
        <charset val="136"/>
      </rPr>
      <t>千元，係基金投資不動產之其他費用。</t>
    </r>
    <phoneticPr fontId="4" type="noConversion"/>
  </si>
  <si>
    <r>
      <rPr>
        <sz val="12"/>
        <rFont val="標楷體"/>
        <family val="4"/>
        <charset val="136"/>
      </rPr>
      <t>本科目勞動部及所屬機關辦理</t>
    </r>
    <r>
      <rPr>
        <sz val="12"/>
        <rFont val="Times New Roman"/>
        <family val="1"/>
      </rPr>
      <t>3,428,053</t>
    </r>
    <r>
      <rPr>
        <sz val="12"/>
        <rFont val="標楷體"/>
        <family val="4"/>
        <charset val="136"/>
      </rPr>
      <t>千元；勞動部勞工保險局辦理</t>
    </r>
    <r>
      <rPr>
        <sz val="12"/>
        <rFont val="Times New Roman"/>
        <family val="1"/>
      </rPr>
      <t>32,750</t>
    </r>
    <r>
      <rPr>
        <sz val="12"/>
        <rFont val="標楷體"/>
        <family val="4"/>
        <charset val="136"/>
      </rPr>
      <t>千元；勞動部職業安全衛生署辦理</t>
    </r>
    <r>
      <rPr>
        <sz val="12"/>
        <rFont val="Times New Roman"/>
        <family val="1"/>
      </rPr>
      <t>51,960</t>
    </r>
    <r>
      <rPr>
        <sz val="12"/>
        <rFont val="標楷體"/>
        <family val="4"/>
        <charset val="136"/>
      </rPr>
      <t>千元。</t>
    </r>
    <phoneticPr fontId="4" type="noConversion"/>
  </si>
  <si>
    <t>普通組14千元
保費組23千元</t>
    <phoneticPr fontId="4" type="noConversion"/>
  </si>
  <si>
    <r>
      <rPr>
        <sz val="11"/>
        <rFont val="標楷體"/>
        <family val="4"/>
        <charset val="136"/>
      </rPr>
      <t>全年發生率</t>
    </r>
    <r>
      <rPr>
        <sz val="11"/>
        <rFont val="Times New Roman"/>
        <family val="1"/>
      </rPr>
      <t>13.08%</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</si>
  <si>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12.75%</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</si>
  <si>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4.73%</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</si>
  <si>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7.62%</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</si>
  <si>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1.62%</t>
    </r>
    <r>
      <rPr>
        <b/>
        <sz val="6"/>
        <rFont val="Times New Roman"/>
        <family val="1"/>
      </rPr>
      <t>0</t>
    </r>
    <r>
      <rPr>
        <sz val="11"/>
        <rFont val="標楷體"/>
        <family val="4"/>
        <charset val="136"/>
      </rPr>
      <t>。</t>
    </r>
    <phoneticPr fontId="21" type="noConversion"/>
  </si>
  <si>
    <r>
      <rPr>
        <sz val="11"/>
        <rFont val="標楷體"/>
        <family val="4"/>
        <charset val="136"/>
      </rPr>
      <t>全年預估</t>
    </r>
    <r>
      <rPr>
        <sz val="11"/>
        <rFont val="Times New Roman"/>
        <family val="1"/>
      </rPr>
      <t>348</t>
    </r>
    <r>
      <rPr>
        <sz val="11"/>
        <rFont val="標楷體"/>
        <family val="4"/>
        <charset val="136"/>
      </rPr>
      <t>件。</t>
    </r>
    <phoneticPr fontId="21" type="noConversion"/>
  </si>
  <si>
    <r>
      <rPr>
        <sz val="11"/>
        <rFont val="標楷體"/>
        <family val="4"/>
        <charset val="136"/>
      </rPr>
      <t>全年預估</t>
    </r>
    <r>
      <rPr>
        <sz val="11"/>
        <rFont val="Times New Roman"/>
        <family val="1"/>
      </rPr>
      <t>70</t>
    </r>
    <r>
      <rPr>
        <sz val="11"/>
        <rFont val="標楷體"/>
        <family val="4"/>
        <charset val="136"/>
      </rPr>
      <t>件。</t>
    </r>
    <phoneticPr fontId="21" type="noConversion"/>
  </si>
  <si>
    <r>
      <rPr>
        <sz val="11"/>
        <rFont val="標楷體"/>
        <family val="4"/>
        <charset val="136"/>
      </rPr>
      <t>全年預估</t>
    </r>
    <r>
      <rPr>
        <sz val="11"/>
        <rFont val="Times New Roman"/>
        <family val="1"/>
      </rPr>
      <t>3</t>
    </r>
    <r>
      <rPr>
        <sz val="11"/>
        <rFont val="標楷體"/>
        <family val="4"/>
        <charset val="136"/>
      </rPr>
      <t>件。</t>
    </r>
    <phoneticPr fontId="21" type="noConversion"/>
  </si>
  <si>
    <r>
      <rPr>
        <sz val="11"/>
        <rFont val="標楷體"/>
        <family val="4"/>
        <charset val="136"/>
      </rPr>
      <t>全年發生率</t>
    </r>
    <r>
      <rPr>
        <sz val="11"/>
        <rFont val="Times New Roman"/>
        <family val="1"/>
      </rPr>
      <t>8.31%</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</si>
  <si>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2.35%</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</si>
  <si>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13.07%</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</si>
  <si>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1.21%</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</si>
  <si>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0.05%</t>
    </r>
    <r>
      <rPr>
        <b/>
        <sz val="6"/>
        <rFont val="Times New Roman"/>
        <family val="1"/>
      </rPr>
      <t>0</t>
    </r>
    <r>
      <rPr>
        <sz val="11"/>
        <rFont val="標楷體"/>
        <family val="4"/>
        <charset val="136"/>
      </rPr>
      <t>。</t>
    </r>
    <phoneticPr fontId="21" type="noConversion"/>
  </si>
  <si>
    <r>
      <rPr>
        <sz val="12"/>
        <rFont val="標楷體"/>
        <family val="4"/>
        <charset val="136"/>
      </rPr>
      <t>全年預估</t>
    </r>
    <r>
      <rPr>
        <sz val="12"/>
        <rFont val="Times New Roman"/>
        <family val="1"/>
      </rPr>
      <t>28</t>
    </r>
    <r>
      <rPr>
        <sz val="12"/>
        <rFont val="標楷體"/>
        <family val="4"/>
        <charset val="136"/>
      </rPr>
      <t>件。</t>
    </r>
    <phoneticPr fontId="21" type="noConversion"/>
  </si>
  <si>
    <r>
      <rPr>
        <sz val="12"/>
        <rFont val="標楷體"/>
        <family val="4"/>
        <charset val="136"/>
      </rPr>
      <t>全年預估</t>
    </r>
    <r>
      <rPr>
        <sz val="12"/>
        <rFont val="Times New Roman"/>
        <family val="1"/>
      </rPr>
      <t>15</t>
    </r>
    <r>
      <rPr>
        <sz val="12"/>
        <rFont val="標楷體"/>
        <family val="4"/>
        <charset val="136"/>
      </rPr>
      <t>件。</t>
    </r>
    <phoneticPr fontId="21" type="noConversion"/>
  </si>
  <si>
    <r>
      <rPr>
        <sz val="12"/>
        <rFont val="標楷體"/>
        <family val="4"/>
        <charset val="136"/>
      </rPr>
      <t>全年預估</t>
    </r>
    <r>
      <rPr>
        <sz val="12"/>
        <rFont val="Times New Roman"/>
        <family val="1"/>
      </rPr>
      <t>120</t>
    </r>
    <r>
      <rPr>
        <sz val="12"/>
        <rFont val="標楷體"/>
        <family val="4"/>
        <charset val="136"/>
      </rPr>
      <t>件。</t>
    </r>
    <phoneticPr fontId="21" type="noConversion"/>
  </si>
  <si>
    <r>
      <t>5.</t>
    </r>
    <r>
      <rPr>
        <sz val="12"/>
        <rFont val="標楷體"/>
        <family val="4"/>
        <charset val="136"/>
      </rPr>
      <t>流動資產淨增</t>
    </r>
    <phoneticPr fontId="4" type="noConversion"/>
  </si>
  <si>
    <r>
      <rPr>
        <sz val="12"/>
        <rFont val="標楷體"/>
        <family val="4"/>
        <charset val="136"/>
      </rPr>
      <t>係減少流動金融資產</t>
    </r>
    <r>
      <rPr>
        <sz val="12"/>
        <rFont val="Times New Roman"/>
        <family val="1"/>
      </rPr>
      <t>4,726,724</t>
    </r>
    <r>
      <rPr>
        <sz val="12"/>
        <rFont val="標楷體"/>
        <family val="4"/>
        <charset val="136"/>
      </rPr>
      <t>千元及短期貸款</t>
    </r>
    <r>
      <rPr>
        <sz val="12"/>
        <rFont val="Times New Roman"/>
        <family val="1"/>
      </rPr>
      <t>97,000</t>
    </r>
    <r>
      <rPr>
        <sz val="12"/>
        <rFont val="標楷體"/>
        <family val="4"/>
        <charset val="136"/>
      </rPr>
      <t>千元。</t>
    </r>
    <phoneticPr fontId="4" type="noConversion"/>
  </si>
  <si>
    <r>
      <rPr>
        <sz val="12"/>
        <rFont val="標楷體"/>
        <family val="4"/>
        <charset val="136"/>
      </rPr>
      <t>係減少投資</t>
    </r>
    <r>
      <rPr>
        <sz val="12"/>
        <rFont val="Times New Roman"/>
        <family val="1"/>
      </rPr>
      <t>-</t>
    </r>
    <r>
      <rPr>
        <sz val="12"/>
        <rFont val="標楷體"/>
        <family val="4"/>
        <charset val="136"/>
      </rPr>
      <t>非流動金融資產</t>
    </r>
    <r>
      <rPr>
        <sz val="12"/>
        <rFont val="Times New Roman"/>
        <family val="1"/>
      </rPr>
      <t>4,216,759</t>
    </r>
    <r>
      <rPr>
        <sz val="12"/>
        <rFont val="標楷體"/>
        <family val="4"/>
        <charset val="136"/>
      </rPr>
      <t>千元及長期貸款</t>
    </r>
    <r>
      <rPr>
        <sz val="12"/>
        <rFont val="Times New Roman"/>
        <family val="1"/>
      </rPr>
      <t>11,200,000</t>
    </r>
    <r>
      <rPr>
        <sz val="12"/>
        <rFont val="標楷體"/>
        <family val="4"/>
        <charset val="136"/>
      </rPr>
      <t>千元。</t>
    </r>
    <phoneticPr fontId="4" type="noConversion"/>
  </si>
  <si>
    <r>
      <rPr>
        <sz val="12"/>
        <rFont val="標楷體"/>
        <family val="4"/>
        <charset val="136"/>
      </rPr>
      <t>收取利息</t>
    </r>
    <r>
      <rPr>
        <sz val="12"/>
        <rFont val="Times New Roman"/>
        <family val="1"/>
      </rPr>
      <t>4,612,425</t>
    </r>
    <r>
      <rPr>
        <sz val="12"/>
        <rFont val="標楷體"/>
        <family val="4"/>
        <charset val="136"/>
      </rPr>
      <t>千元。</t>
    </r>
    <phoneticPr fontId="4" type="noConversion"/>
  </si>
  <si>
    <r>
      <rPr>
        <sz val="12"/>
        <rFont val="標楷體"/>
        <family val="4"/>
        <charset val="136"/>
      </rPr>
      <t>支付利息</t>
    </r>
    <r>
      <rPr>
        <sz val="12"/>
        <rFont val="Times New Roman"/>
        <family val="1"/>
      </rPr>
      <t>32,750</t>
    </r>
    <r>
      <rPr>
        <sz val="12"/>
        <rFont val="標楷體"/>
        <family val="4"/>
        <charset val="136"/>
      </rPr>
      <t>千元。</t>
    </r>
    <phoneticPr fontId="4" type="noConversion"/>
  </si>
  <si>
    <r>
      <t>補充說明</t>
    </r>
    <r>
      <rPr>
        <sz val="10"/>
        <rFont val="Times New Roman"/>
        <family val="1"/>
      </rPr>
      <t>:</t>
    </r>
    <r>
      <rPr>
        <sz val="10"/>
        <rFont val="標楷體"/>
        <family val="4"/>
        <charset val="136"/>
      </rPr>
      <t>不影響現金流量之籌資活動，係</t>
    </r>
    <r>
      <rPr>
        <sz val="10"/>
        <rFont val="Times New Roman"/>
        <family val="1"/>
      </rPr>
      <t>109</t>
    </r>
    <r>
      <rPr>
        <sz val="10"/>
        <rFont val="標楷體"/>
        <family val="4"/>
        <charset val="136"/>
      </rPr>
      <t>年度勞工保險職業災害保險收支結餘提撥</t>
    </r>
    <r>
      <rPr>
        <sz val="10"/>
        <rFont val="Times New Roman"/>
        <family val="1"/>
      </rPr>
      <t>40%</t>
    </r>
    <r>
      <rPr>
        <sz val="10"/>
        <rFont val="標楷體"/>
        <family val="4"/>
        <charset val="136"/>
      </rPr>
      <t>計</t>
    </r>
    <r>
      <rPr>
        <sz val="10"/>
        <rFont val="Times New Roman"/>
        <family val="1"/>
      </rPr>
      <t>6</t>
    </r>
    <r>
      <rPr>
        <sz val="10"/>
        <rFont val="標楷體"/>
        <family val="4"/>
        <charset val="136"/>
      </rPr>
      <t>億</t>
    </r>
    <r>
      <rPr>
        <sz val="10"/>
        <rFont val="Times New Roman"/>
        <family val="1"/>
      </rPr>
      <t>290</t>
    </r>
    <r>
      <rPr>
        <sz val="10"/>
        <rFont val="標楷體"/>
        <family val="4"/>
        <charset val="136"/>
      </rPr>
      <t>萬</t>
    </r>
    <r>
      <rPr>
        <sz val="10"/>
        <rFont val="Times New Roman"/>
        <family val="1"/>
      </rPr>
      <t>3</t>
    </r>
    <r>
      <rPr>
        <sz val="10"/>
        <rFont val="標楷體"/>
        <family val="4"/>
        <charset val="136"/>
      </rPr>
      <t xml:space="preserve">千元
</t>
    </r>
    <r>
      <rPr>
        <sz val="10"/>
        <rFont val="Times New Roman"/>
        <family val="1"/>
      </rPr>
      <t xml:space="preserve">                 </t>
    </r>
    <r>
      <rPr>
        <sz val="10"/>
        <rFont val="標楷體"/>
        <family val="4"/>
        <charset val="136"/>
      </rPr>
      <t>作為</t>
    </r>
    <r>
      <rPr>
        <sz val="10"/>
        <rFont val="Times New Roman"/>
        <family val="1"/>
      </rPr>
      <t>110</t>
    </r>
    <r>
      <rPr>
        <sz val="10"/>
        <rFont val="標楷體"/>
        <family val="4"/>
        <charset val="136"/>
      </rPr>
      <t>年度職災保護專款。</t>
    </r>
    <phoneticPr fontId="4" type="noConversion"/>
  </si>
  <si>
    <r>
      <rPr>
        <sz val="11.5"/>
        <rFont val="標楷體"/>
        <family val="4"/>
        <charset val="136"/>
      </rPr>
      <t>註：</t>
    </r>
    <r>
      <rPr>
        <sz val="11.5"/>
        <rFont val="Times New Roman"/>
        <family val="1"/>
      </rPr>
      <t>106</t>
    </r>
    <r>
      <rPr>
        <sz val="11.5"/>
        <rFont val="標楷體"/>
        <family val="4"/>
        <charset val="136"/>
      </rPr>
      <t>至</t>
    </r>
    <r>
      <rPr>
        <sz val="11.5"/>
        <rFont val="Times New Roman"/>
        <family val="1"/>
      </rPr>
      <t>108</t>
    </r>
    <r>
      <rPr>
        <sz val="11.5"/>
        <rFont val="標楷體"/>
        <family val="4"/>
        <charset val="136"/>
      </rPr>
      <t>年度決算數為審定決算數；</t>
    </r>
    <r>
      <rPr>
        <sz val="11.5"/>
        <rFont val="Times New Roman"/>
        <family val="1"/>
      </rPr>
      <t>109</t>
    </r>
    <r>
      <rPr>
        <sz val="11.5"/>
        <rFont val="標楷體"/>
        <family val="4"/>
        <charset val="136"/>
      </rPr>
      <t xml:space="preserve">年度為法定預算數。以下各表同。決算數細數之和
</t>
    </r>
    <r>
      <rPr>
        <sz val="11.5"/>
        <rFont val="Times New Roman"/>
        <family val="1"/>
      </rPr>
      <t xml:space="preserve">        </t>
    </r>
    <r>
      <rPr>
        <sz val="11.5"/>
        <rFont val="標楷體"/>
        <family val="4"/>
        <charset val="136"/>
      </rPr>
      <t xml:space="preserve">與總數或略有出入，係四捨五入關係。
</t>
    </r>
    <r>
      <rPr>
        <sz val="11.5"/>
        <rFont val="Times New Roman"/>
        <family val="1"/>
      </rPr>
      <t xml:space="preserve"> </t>
    </r>
    <phoneticPr fontId="72" type="noConversion"/>
  </si>
  <si>
    <t>五、本年度收支相抵後，賸餘為零。</t>
    <phoneticPr fontId="4" type="noConversion"/>
  </si>
  <si>
    <t xml:space="preserve">    雜項業務成本(普通事故)</t>
    <phoneticPr fontId="4" type="noConversion"/>
  </si>
  <si>
    <r>
      <rPr>
        <sz val="12"/>
        <rFont val="標楷體"/>
        <family val="4"/>
        <charset val="136"/>
      </rPr>
      <t>普通事故</t>
    </r>
    <r>
      <rPr>
        <sz val="12"/>
        <rFont val="Times New Roman"/>
        <family val="1"/>
      </rPr>
      <t>424,229,693</t>
    </r>
    <r>
      <rPr>
        <sz val="12"/>
        <rFont val="標楷體"/>
        <family val="4"/>
        <charset val="136"/>
      </rPr>
      <t>千元，職業災害</t>
    </r>
    <r>
      <rPr>
        <sz val="12"/>
        <rFont val="Times New Roman"/>
        <family val="1"/>
      </rPr>
      <t>8,371,121</t>
    </r>
    <r>
      <rPr>
        <sz val="12"/>
        <rFont val="標楷體"/>
        <family val="4"/>
        <charset val="136"/>
      </rPr>
      <t>千元。</t>
    </r>
    <phoneticPr fontId="21" type="noConversion"/>
  </si>
  <si>
    <r>
      <rPr>
        <sz val="12"/>
        <rFont val="標楷體"/>
        <family val="4"/>
        <charset val="136"/>
      </rPr>
      <t>係參酌歷年統計資料及國發會勞動人口由</t>
    </r>
    <r>
      <rPr>
        <sz val="12"/>
        <rFont val="Times New Roman"/>
        <family val="1"/>
      </rPr>
      <t>105</t>
    </r>
    <r>
      <rPr>
        <sz val="12"/>
        <rFont val="標楷體"/>
        <family val="4"/>
        <charset val="136"/>
      </rPr>
      <t>年開始縮減，另考量積極辦理輔導加保作業及近年來因景氣仍成微幅成長編列。
平均月投保薪資係參酌歷年統計資料編列。</t>
    </r>
    <phoneticPr fontId="4" type="noConversion"/>
  </si>
  <si>
    <r>
      <rPr>
        <sz val="12"/>
        <color indexed="8"/>
        <rFont val="標楷體"/>
        <family val="4"/>
        <charset val="136"/>
      </rPr>
      <t>保險費率</t>
    </r>
    <r>
      <rPr>
        <sz val="12"/>
        <color indexed="8"/>
        <rFont val="Times New Roman"/>
        <family val="1"/>
      </rPr>
      <t>10.70%</t>
    </r>
    <r>
      <rPr>
        <sz val="12"/>
        <color indexed="8"/>
        <rFont val="標楷體"/>
        <family val="4"/>
        <charset val="136"/>
      </rPr>
      <t>，包括：</t>
    </r>
    <phoneticPr fontId="4" type="noConversion"/>
  </si>
  <si>
    <r>
      <rPr>
        <sz val="12"/>
        <rFont val="標楷體"/>
        <family val="4"/>
        <charset val="136"/>
      </rPr>
      <t>普通事故保險費率</t>
    </r>
    <r>
      <rPr>
        <sz val="12"/>
        <rFont val="Times New Roman"/>
        <family val="1"/>
      </rPr>
      <t>10.5%</t>
    </r>
    <r>
      <rPr>
        <sz val="12"/>
        <rFont val="標楷體"/>
        <family val="4"/>
        <charset val="136"/>
      </rPr>
      <t>，係依照</t>
    </r>
    <r>
      <rPr>
        <sz val="12"/>
        <rFont val="Times New Roman"/>
        <family val="1"/>
      </rPr>
      <t>98</t>
    </r>
    <r>
      <rPr>
        <sz val="12"/>
        <rFont val="標楷體"/>
        <family val="4"/>
        <charset val="136"/>
      </rPr>
      <t>年修正施行之勞工保險條例第</t>
    </r>
    <r>
      <rPr>
        <sz val="12"/>
        <rFont val="Times New Roman"/>
        <family val="1"/>
      </rPr>
      <t>13</t>
    </r>
    <r>
      <rPr>
        <sz val="12"/>
        <rFont val="標楷體"/>
        <family val="4"/>
        <charset val="136"/>
      </rPr>
      <t>條規定，普通事故保險費率於施行後第</t>
    </r>
    <r>
      <rPr>
        <sz val="12"/>
        <rFont val="Times New Roman"/>
        <family val="1"/>
      </rPr>
      <t>3</t>
    </r>
    <r>
      <rPr>
        <sz val="12"/>
        <rFont val="標楷體"/>
        <family val="4"/>
        <charset val="136"/>
      </rPr>
      <t>年調高</t>
    </r>
    <r>
      <rPr>
        <sz val="12"/>
        <rFont val="Times New Roman"/>
        <family val="1"/>
      </rPr>
      <t>0.5%</t>
    </r>
    <r>
      <rPr>
        <sz val="12"/>
        <rFont val="標楷體"/>
        <family val="4"/>
        <charset val="136"/>
      </rPr>
      <t>，其後每年調高</t>
    </r>
    <r>
      <rPr>
        <sz val="12"/>
        <rFont val="Times New Roman"/>
        <family val="1"/>
      </rPr>
      <t>0.5%</t>
    </r>
    <r>
      <rPr>
        <sz val="12"/>
        <rFont val="標楷體"/>
        <family val="4"/>
        <charset val="136"/>
      </rPr>
      <t>至費率為</t>
    </r>
    <r>
      <rPr>
        <sz val="12"/>
        <rFont val="Times New Roman"/>
        <family val="1"/>
      </rPr>
      <t>10%</t>
    </r>
    <r>
      <rPr>
        <sz val="12"/>
        <rFont val="標楷體"/>
        <family val="4"/>
        <charset val="136"/>
      </rPr>
      <t>，並自</t>
    </r>
    <r>
      <rPr>
        <sz val="12"/>
        <rFont val="Times New Roman"/>
        <family val="1"/>
      </rPr>
      <t>10%</t>
    </r>
    <r>
      <rPr>
        <sz val="12"/>
        <rFont val="標楷體"/>
        <family val="4"/>
        <charset val="136"/>
      </rPr>
      <t>當年起，每兩年調高</t>
    </r>
    <r>
      <rPr>
        <sz val="12"/>
        <rFont val="Times New Roman"/>
        <family val="1"/>
      </rPr>
      <t>0.5%</t>
    </r>
    <r>
      <rPr>
        <sz val="12"/>
        <rFont val="標楷體"/>
        <family val="4"/>
        <charset val="136"/>
      </rPr>
      <t>至上限</t>
    </r>
    <r>
      <rPr>
        <sz val="12"/>
        <rFont val="Times New Roman"/>
        <family val="1"/>
      </rPr>
      <t>13%(</t>
    </r>
    <r>
      <rPr>
        <sz val="12"/>
        <rFont val="標楷體"/>
        <family val="4"/>
        <charset val="136"/>
      </rPr>
      <t>依就業保險法第</t>
    </r>
    <r>
      <rPr>
        <sz val="12"/>
        <rFont val="Times New Roman"/>
        <family val="1"/>
      </rPr>
      <t>41</t>
    </r>
    <r>
      <rPr>
        <sz val="12"/>
        <rFont val="標楷體"/>
        <family val="4"/>
        <charset val="136"/>
      </rPr>
      <t>條規定，勞工保險普通事故保險費率</t>
    </r>
    <r>
      <rPr>
        <sz val="12"/>
        <rFont val="Times New Roman"/>
        <family val="1"/>
      </rPr>
      <t>1%</t>
    </r>
    <r>
      <rPr>
        <sz val="12"/>
        <rFont val="標楷體"/>
        <family val="4"/>
        <charset val="136"/>
      </rPr>
      <t>移作就業保險之費率</t>
    </r>
    <r>
      <rPr>
        <sz val="12"/>
        <rFont val="Times New Roman"/>
        <family val="1"/>
      </rPr>
      <t>)</t>
    </r>
    <r>
      <rPr>
        <sz val="12"/>
        <rFont val="標楷體"/>
        <family val="4"/>
        <charset val="136"/>
      </rPr>
      <t>編列。</t>
    </r>
    <phoneticPr fontId="4" type="noConversion"/>
  </si>
  <si>
    <r>
      <rPr>
        <sz val="12"/>
        <rFont val="標楷體"/>
        <family val="4"/>
        <charset val="136"/>
      </rPr>
      <t>職業災害平均費率</t>
    </r>
    <r>
      <rPr>
        <sz val="12"/>
        <rFont val="Times New Roman"/>
        <family val="1"/>
      </rPr>
      <t>0.20%</t>
    </r>
    <r>
      <rPr>
        <sz val="12"/>
        <rFont val="標楷體"/>
        <family val="4"/>
        <charset val="136"/>
      </rPr>
      <t>。</t>
    </r>
    <phoneticPr fontId="4" type="noConversion"/>
  </si>
  <si>
    <r>
      <rPr>
        <sz val="12"/>
        <rFont val="標楷體"/>
        <family val="4"/>
        <charset val="136"/>
      </rPr>
      <t>編列</t>
    </r>
    <r>
      <rPr>
        <sz val="12"/>
        <rFont val="Times New Roman"/>
        <family val="1"/>
      </rPr>
      <t>3,428,053</t>
    </r>
    <r>
      <rPr>
        <sz val="12"/>
        <rFont val="標楷體"/>
        <family val="4"/>
        <charset val="136"/>
      </rPr>
      <t>千元，由勞動部及所屬機關辦理，係依就業保險法第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4" type="noConversion"/>
  </si>
  <si>
    <r>
      <rPr>
        <sz val="13"/>
        <rFont val="標楷體"/>
        <family val="4"/>
        <charset val="136"/>
      </rPr>
      <t>一、本年度業務收入</t>
    </r>
    <r>
      <rPr>
        <sz val="13"/>
        <rFont val="Times New Roman"/>
        <family val="1"/>
      </rPr>
      <t>533,730,949</t>
    </r>
    <r>
      <rPr>
        <sz val="13"/>
        <rFont val="標楷體"/>
        <family val="4"/>
        <charset val="136"/>
      </rPr>
      <t>千元：</t>
    </r>
    <phoneticPr fontId="4" type="noConversion"/>
  </si>
  <si>
    <r>
      <rPr>
        <sz val="13"/>
        <rFont val="標楷體"/>
        <family val="4"/>
        <charset val="136"/>
      </rPr>
      <t>（三）保險收入</t>
    </r>
    <r>
      <rPr>
        <sz val="13"/>
        <rFont val="Times New Roman"/>
        <family val="1"/>
      </rPr>
      <t>477,611,869</t>
    </r>
    <r>
      <rPr>
        <sz val="13"/>
        <rFont val="標楷體"/>
        <family val="4"/>
        <charset val="136"/>
      </rPr>
      <t>千元，包含保費收入</t>
    </r>
    <r>
      <rPr>
        <sz val="13"/>
        <rFont val="Times New Roman"/>
        <family val="1"/>
      </rPr>
      <t>466,231,821</t>
    </r>
    <r>
      <rPr>
        <sz val="13"/>
        <rFont val="標楷體"/>
        <family val="4"/>
        <charset val="136"/>
      </rPr>
      <t xml:space="preserve">千元及收回責任準備
</t>
    </r>
    <r>
      <rPr>
        <sz val="13"/>
        <rFont val="Times New Roman"/>
        <family val="1"/>
      </rPr>
      <t xml:space="preserve">            11,380,048</t>
    </r>
    <r>
      <rPr>
        <sz val="13"/>
        <rFont val="標楷體"/>
        <family val="4"/>
        <charset val="136"/>
      </rPr>
      <t>千元。</t>
    </r>
    <phoneticPr fontId="4" type="noConversion"/>
  </si>
  <si>
    <r>
      <rPr>
        <sz val="13"/>
        <rFont val="標楷體"/>
        <family val="4"/>
        <charset val="136"/>
      </rPr>
      <t>二、本年度業務成本與費用</t>
    </r>
    <r>
      <rPr>
        <sz val="13"/>
        <rFont val="Times New Roman"/>
        <family val="1"/>
      </rPr>
      <t>533,964,543</t>
    </r>
    <r>
      <rPr>
        <sz val="13"/>
        <rFont val="標楷體"/>
        <family val="4"/>
        <charset val="136"/>
      </rPr>
      <t>千元：</t>
    </r>
    <phoneticPr fontId="4" type="noConversion"/>
  </si>
  <si>
    <r>
      <rPr>
        <sz val="13"/>
        <rFont val="標楷體"/>
        <family val="4"/>
        <charset val="136"/>
      </rPr>
      <t>（三）保險成本</t>
    </r>
    <r>
      <rPr>
        <sz val="13"/>
        <rFont val="Times New Roman"/>
        <family val="1"/>
      </rPr>
      <t>529,456,737</t>
    </r>
    <r>
      <rPr>
        <sz val="13"/>
        <rFont val="標楷體"/>
        <family val="4"/>
        <charset val="136"/>
      </rPr>
      <t>千元，包含保險給付</t>
    </r>
    <r>
      <rPr>
        <sz val="13"/>
        <rFont val="Times New Roman"/>
        <family val="1"/>
      </rPr>
      <t>522,018,918</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6,687,325</t>
    </r>
    <r>
      <rPr>
        <sz val="13"/>
        <rFont val="標楷體"/>
        <family val="4"/>
        <charset val="136"/>
      </rPr>
      <t>千元及呆帳</t>
    </r>
    <r>
      <rPr>
        <sz val="13"/>
        <rFont val="Times New Roman"/>
        <family val="1"/>
      </rPr>
      <t>750,494</t>
    </r>
    <r>
      <rPr>
        <sz val="13"/>
        <rFont val="標楷體"/>
        <family val="4"/>
        <charset val="136"/>
      </rPr>
      <t>千元。</t>
    </r>
    <phoneticPr fontId="4" type="noConversion"/>
  </si>
  <si>
    <r>
      <rPr>
        <sz val="12"/>
        <rFont val="標楷體"/>
        <family val="4"/>
        <charset val="136"/>
      </rPr>
      <t>勞動部職業安全衛生署辦理，係本年度職業災害勞工保護已加保勞工、未加保勞工部分，收支短絀各為</t>
    </r>
    <r>
      <rPr>
        <sz val="12"/>
        <rFont val="Times New Roman"/>
        <family val="1"/>
      </rPr>
      <t>555,233</t>
    </r>
    <r>
      <rPr>
        <sz val="12"/>
        <rFont val="標楷體"/>
        <family val="4"/>
        <charset val="136"/>
      </rPr>
      <t>千元、</t>
    </r>
    <r>
      <rPr>
        <sz val="12"/>
        <rFont val="Times New Roman"/>
        <family val="1"/>
      </rPr>
      <t>7,879</t>
    </r>
    <r>
      <rPr>
        <sz val="12"/>
        <rFont val="標楷體"/>
        <family val="4"/>
        <charset val="136"/>
      </rPr>
      <t>千元，悉數由以前年度累積之提存責任準備彌平。</t>
    </r>
    <phoneticPr fontId="4" type="noConversion"/>
  </si>
  <si>
    <r>
      <rPr>
        <sz val="12"/>
        <rFont val="標楷體"/>
        <family val="4"/>
        <charset val="136"/>
      </rPr>
      <t>本科目勞動部勞工保險局辦理</t>
    </r>
    <r>
      <rPr>
        <sz val="12"/>
        <rFont val="Times New Roman"/>
        <family val="1"/>
      </rPr>
      <t>477,048,757</t>
    </r>
    <r>
      <rPr>
        <sz val="12"/>
        <rFont val="標楷體"/>
        <family val="4"/>
        <charset val="136"/>
      </rPr>
      <t>千元；勞動部職業安全衛生署辦理</t>
    </r>
    <r>
      <rPr>
        <sz val="12"/>
        <rFont val="Times New Roman"/>
        <family val="1"/>
      </rPr>
      <t>563,112</t>
    </r>
    <r>
      <rPr>
        <sz val="12"/>
        <rFont val="標楷體"/>
        <family val="4"/>
        <charset val="136"/>
      </rPr>
      <t>千元。</t>
    </r>
    <phoneticPr fontId="4" type="noConversion"/>
  </si>
  <si>
    <r>
      <rPr>
        <sz val="12"/>
        <rFont val="標楷體"/>
        <family val="4"/>
        <charset val="136"/>
      </rPr>
      <t>本科目勞動部勞工保險局辦理</t>
    </r>
    <r>
      <rPr>
        <sz val="12"/>
        <rFont val="Times New Roman"/>
        <family val="1"/>
      </rPr>
      <t>528,829,340</t>
    </r>
    <r>
      <rPr>
        <sz val="12"/>
        <rFont val="標楷體"/>
        <family val="4"/>
        <charset val="136"/>
      </rPr>
      <t>千元；勞動部職業安全衛生署辦理</t>
    </r>
    <r>
      <rPr>
        <sz val="12"/>
        <rFont val="Times New Roman"/>
        <family val="1"/>
      </rPr>
      <t>627,397</t>
    </r>
    <r>
      <rPr>
        <sz val="12"/>
        <rFont val="標楷體"/>
        <family val="4"/>
        <charset val="136"/>
      </rPr>
      <t>千元。</t>
    </r>
    <phoneticPr fontId="4" type="noConversion"/>
  </si>
  <si>
    <r>
      <rPr>
        <sz val="12"/>
        <rFont val="標楷體"/>
        <family val="4"/>
        <charset val="136"/>
      </rPr>
      <t>編列</t>
    </r>
    <r>
      <rPr>
        <sz val="12"/>
        <rFont val="Times New Roman"/>
        <family val="1"/>
      </rPr>
      <t>627,397</t>
    </r>
    <r>
      <rPr>
        <sz val="12"/>
        <rFont val="標楷體"/>
        <family val="4"/>
        <charset val="136"/>
      </rPr>
      <t>千元，詳第</t>
    </r>
    <r>
      <rPr>
        <sz val="12"/>
        <rFont val="Times New Roman"/>
        <family val="1"/>
      </rPr>
      <t>65~67</t>
    </r>
    <r>
      <rPr>
        <sz val="12"/>
        <rFont val="標楷體"/>
        <family val="4"/>
        <charset val="136"/>
      </rPr>
      <t>頁保險給付分析表，其中：</t>
    </r>
    <phoneticPr fontId="4" type="noConversion"/>
  </si>
  <si>
    <r>
      <t>2.</t>
    </r>
    <r>
      <rPr>
        <sz val="12"/>
        <rFont val="標楷體"/>
        <family val="4"/>
        <charset val="136"/>
      </rPr>
      <t>職業災害預防與補助、職業災害勞工職業重建及輔助設施補助部分，係參考歷年成長因素及</t>
    </r>
    <r>
      <rPr>
        <sz val="12"/>
        <rFont val="Times New Roman"/>
        <family val="1"/>
      </rPr>
      <t>110</t>
    </r>
    <r>
      <rPr>
        <sz val="12"/>
        <rFont val="標楷體"/>
        <family val="4"/>
        <charset val="136"/>
      </rPr>
      <t>年度預估推動之計畫，編列</t>
    </r>
    <r>
      <rPr>
        <sz val="12"/>
        <rFont val="Times New Roman"/>
        <family val="1"/>
      </rPr>
      <t>400,317</t>
    </r>
    <r>
      <rPr>
        <sz val="12"/>
        <rFont val="標楷體"/>
        <family val="4"/>
        <charset val="136"/>
      </rPr>
      <t>千元。</t>
    </r>
    <phoneticPr fontId="4" type="noConversion"/>
  </si>
  <si>
    <r>
      <rPr>
        <sz val="9"/>
        <rFont val="標楷體"/>
        <family val="4"/>
        <charset val="136"/>
      </rPr>
      <t>註：本年度信託代理與保證資產（負債）預計為</t>
    </r>
    <r>
      <rPr>
        <sz val="9"/>
        <rFont val="Times New Roman"/>
        <family val="1"/>
      </rPr>
      <t>172,347</t>
    </r>
    <r>
      <rPr>
        <sz val="9"/>
        <rFont val="標楷體"/>
        <family val="4"/>
        <charset val="136"/>
      </rPr>
      <t>千元，係包括（應付）保證品</t>
    </r>
    <r>
      <rPr>
        <sz val="9"/>
        <rFont val="Times New Roman"/>
        <family val="1"/>
      </rPr>
      <t>51,500</t>
    </r>
    <r>
      <rPr>
        <sz val="9"/>
        <rFont val="標楷體"/>
        <family val="4"/>
        <charset val="136"/>
      </rPr>
      <t>千元及應收（受託）代收款</t>
    </r>
    <r>
      <rPr>
        <sz val="9"/>
        <rFont val="Times New Roman"/>
        <family val="1"/>
      </rPr>
      <t xml:space="preserve">
         120,847</t>
    </r>
    <r>
      <rPr>
        <sz val="9"/>
        <rFont val="標楷體"/>
        <family val="4"/>
        <charset val="136"/>
      </rPr>
      <t>千元。</t>
    </r>
    <phoneticPr fontId="4" type="noConversion"/>
  </si>
  <si>
    <r>
      <rPr>
        <sz val="12"/>
        <rFont val="標楷體"/>
        <family val="4"/>
        <charset val="136"/>
      </rPr>
      <t>係減少短期債務</t>
    </r>
    <r>
      <rPr>
        <sz val="12"/>
        <rFont val="Times New Roman"/>
        <family val="1"/>
      </rPr>
      <t>97,000</t>
    </r>
    <r>
      <rPr>
        <sz val="12"/>
        <rFont val="標楷體"/>
        <family val="4"/>
        <charset val="136"/>
      </rPr>
      <t>千元。</t>
    </r>
    <phoneticPr fontId="4" type="noConversion"/>
  </si>
  <si>
    <r>
      <t>收取利息</t>
    </r>
    <r>
      <rPr>
        <sz val="12"/>
        <rFont val="Times New Roman"/>
        <family val="1"/>
      </rPr>
      <t>204</t>
    </r>
    <r>
      <rPr>
        <sz val="12"/>
        <rFont val="標楷體"/>
        <family val="4"/>
        <charset val="136"/>
      </rPr>
      <t>千元。</t>
    </r>
    <phoneticPr fontId="4" type="noConversion"/>
  </si>
  <si>
    <r>
      <t>收取利息</t>
    </r>
    <r>
      <rPr>
        <sz val="12"/>
        <rFont val="Times New Roman"/>
        <family val="1"/>
      </rPr>
      <t>4</t>
    </r>
    <r>
      <rPr>
        <sz val="12"/>
        <rFont val="標楷體"/>
        <family val="4"/>
        <charset val="136"/>
      </rPr>
      <t>千元。</t>
    </r>
    <phoneticPr fontId="4" type="noConversion"/>
  </si>
  <si>
    <r>
      <rPr>
        <sz val="20"/>
        <rFont val="Times New Roman"/>
        <family val="1"/>
      </rPr>
      <t xml:space="preserve"> </t>
    </r>
    <r>
      <rPr>
        <sz val="12"/>
        <rFont val="Times New Roman"/>
        <family val="1"/>
      </rPr>
      <t xml:space="preserve">
2.</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</si>
</sst>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s>
  <fonts count="109">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b/>
      <sz val="6"/>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8"/>
      <name val="標楷體"/>
      <family val="4"/>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
      <i/>
      <sz val="12"/>
      <name val="Times New Roman"/>
      <family val="1"/>
    </font>
    <font>
      <sz val="9"/>
      <name val="新細明體"/>
      <family val="2"/>
      <charset val="136"/>
      <scheme val="minor"/>
    </font>
    <font>
      <b/>
      <i/>
      <sz val="12"/>
      <name val="Times New Roman"/>
      <family val="1"/>
    </font>
    <font>
      <sz val="13"/>
      <name val="細明體"/>
      <family val="3"/>
      <charset val="136"/>
    </font>
    <font>
      <sz val="12"/>
      <name val="Times New Roman"/>
      <family val="4"/>
      <charset val="136"/>
    </font>
    <font>
      <sz val="2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15">
    <xf numFmtId="0" fontId="0" fillId="0" borderId="0">
      <alignment vertical="center"/>
    </xf>
    <xf numFmtId="0" fontId="37" fillId="2" borderId="0" applyNumberFormat="0" applyBorder="0" applyAlignment="0" applyProtection="0">
      <alignment vertical="center"/>
    </xf>
    <xf numFmtId="0" fontId="37" fillId="3" borderId="0" applyNumberFormat="0" applyBorder="0" applyAlignment="0" applyProtection="0">
      <alignment vertical="center"/>
    </xf>
    <xf numFmtId="0" fontId="37" fillId="4" borderId="0" applyNumberFormat="0" applyBorder="0" applyAlignment="0" applyProtection="0">
      <alignment vertical="center"/>
    </xf>
    <xf numFmtId="0" fontId="37" fillId="5" borderId="0" applyNumberFormat="0" applyBorder="0" applyAlignment="0" applyProtection="0">
      <alignment vertical="center"/>
    </xf>
    <xf numFmtId="0" fontId="37" fillId="6" borderId="0" applyNumberFormat="0" applyBorder="0" applyAlignment="0" applyProtection="0">
      <alignment vertical="center"/>
    </xf>
    <xf numFmtId="0" fontId="37" fillId="7" borderId="0" applyNumberFormat="0" applyBorder="0" applyAlignment="0" applyProtection="0">
      <alignment vertical="center"/>
    </xf>
    <xf numFmtId="0" fontId="37" fillId="8"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5" borderId="0" applyNumberFormat="0" applyBorder="0" applyAlignment="0" applyProtection="0">
      <alignment vertical="center"/>
    </xf>
    <xf numFmtId="0" fontId="37" fillId="8"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186" fontId="24" fillId="0" borderId="0" applyFont="0" applyFill="0" applyBorder="0" applyAlignment="0" applyProtection="0"/>
    <xf numFmtId="0" fontId="21" fillId="0" borderId="0" applyFont="0"/>
    <xf numFmtId="43" fontId="3" fillId="0" borderId="0" applyFont="0" applyFill="0" applyBorder="0" applyAlignment="0" applyProtection="0">
      <alignment vertical="center"/>
    </xf>
    <xf numFmtId="0" fontId="39" fillId="16" borderId="0" applyNumberFormat="0" applyBorder="0" applyAlignment="0" applyProtection="0">
      <alignment vertical="center"/>
    </xf>
    <xf numFmtId="0" fontId="40" fillId="0" borderId="0"/>
    <xf numFmtId="0" fontId="41" fillId="0" borderId="1" applyNumberFormat="0" applyFill="0" applyAlignment="0" applyProtection="0">
      <alignment vertical="center"/>
    </xf>
    <xf numFmtId="0" fontId="42" fillId="4" borderId="0" applyNumberFormat="0" applyBorder="0" applyAlignment="0" applyProtection="0">
      <alignment vertical="center"/>
    </xf>
    <xf numFmtId="9" fontId="3" fillId="0" borderId="0" applyFont="0" applyFill="0" applyBorder="0" applyAlignment="0" applyProtection="0">
      <alignment vertical="center"/>
    </xf>
    <xf numFmtId="0" fontId="43" fillId="17" borderId="2" applyNumberFormat="0" applyAlignment="0" applyProtection="0">
      <alignment vertical="center"/>
    </xf>
    <xf numFmtId="0" fontId="44" fillId="0" borderId="3" applyNumberFormat="0" applyFill="0" applyAlignment="0" applyProtection="0">
      <alignment vertical="center"/>
    </xf>
    <xf numFmtId="0" fontId="37" fillId="18" borderId="4" applyNumberFormat="0" applyFont="0" applyAlignment="0" applyProtection="0">
      <alignment vertical="center"/>
    </xf>
    <xf numFmtId="0" fontId="45" fillId="0" borderId="0" applyNumberFormat="0" applyFill="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22"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5" applyNumberFormat="0" applyFill="0" applyAlignment="0" applyProtection="0">
      <alignment vertical="center"/>
    </xf>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49" fillId="0" borderId="0" applyNumberFormat="0" applyFill="0" applyBorder="0" applyAlignment="0" applyProtection="0">
      <alignment vertical="center"/>
    </xf>
    <xf numFmtId="0" fontId="50" fillId="7" borderId="2" applyNumberFormat="0" applyAlignment="0" applyProtection="0">
      <alignment vertical="center"/>
    </xf>
    <xf numFmtId="0" fontId="51" fillId="17" borderId="8" applyNumberFormat="0" applyAlignment="0" applyProtection="0">
      <alignment vertical="center"/>
    </xf>
    <xf numFmtId="0" fontId="52" fillId="23" borderId="9" applyNumberFormat="0" applyAlignment="0" applyProtection="0">
      <alignment vertical="center"/>
    </xf>
    <xf numFmtId="0" fontId="53" fillId="3" borderId="0" applyNumberFormat="0" applyBorder="0" applyAlignment="0" applyProtection="0">
      <alignment vertical="center"/>
    </xf>
    <xf numFmtId="0" fontId="54" fillId="0" borderId="0" applyNumberFormat="0" applyFill="0" applyBorder="0" applyAlignment="0" applyProtection="0">
      <alignment vertical="center"/>
    </xf>
    <xf numFmtId="0" fontId="61" fillId="0" borderId="0">
      <alignment horizontal="left" vertical="center"/>
    </xf>
    <xf numFmtId="0" fontId="37" fillId="2" borderId="0" applyNumberFormat="0" applyBorder="0" applyAlignment="0" applyProtection="0">
      <alignment vertical="center"/>
    </xf>
    <xf numFmtId="0" fontId="37" fillId="3" borderId="0" applyNumberFormat="0" applyBorder="0" applyAlignment="0" applyProtection="0">
      <alignment vertical="center"/>
    </xf>
    <xf numFmtId="0" fontId="37" fillId="4" borderId="0" applyNumberFormat="0" applyBorder="0" applyAlignment="0" applyProtection="0">
      <alignment vertical="center"/>
    </xf>
    <xf numFmtId="0" fontId="37" fillId="5" borderId="0" applyNumberFormat="0" applyBorder="0" applyAlignment="0" applyProtection="0">
      <alignment vertical="center"/>
    </xf>
    <xf numFmtId="0" fontId="37" fillId="6" borderId="0" applyNumberFormat="0" applyBorder="0" applyAlignment="0" applyProtection="0">
      <alignment vertical="center"/>
    </xf>
    <xf numFmtId="0" fontId="37" fillId="7" borderId="0" applyNumberFormat="0" applyBorder="0" applyAlignment="0" applyProtection="0">
      <alignment vertical="center"/>
    </xf>
    <xf numFmtId="0" fontId="37" fillId="8"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5" borderId="0" applyNumberFormat="0" applyBorder="0" applyAlignment="0" applyProtection="0">
      <alignment vertical="center"/>
    </xf>
    <xf numFmtId="0" fontId="37" fillId="8"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62" fillId="0" borderId="0"/>
    <xf numFmtId="0" fontId="3" fillId="0" borderId="0">
      <alignment vertical="center"/>
    </xf>
    <xf numFmtId="0" fontId="62" fillId="0" borderId="0"/>
    <xf numFmtId="0" fontId="8" fillId="0" borderId="0">
      <alignment vertical="center"/>
    </xf>
    <xf numFmtId="0" fontId="37" fillId="0" borderId="0">
      <alignment vertical="center"/>
    </xf>
    <xf numFmtId="0" fontId="3" fillId="0" borderId="0"/>
    <xf numFmtId="0" fontId="8" fillId="0" borderId="0">
      <alignment vertical="center"/>
    </xf>
    <xf numFmtId="0" fontId="63" fillId="0" borderId="0"/>
    <xf numFmtId="0" fontId="8" fillId="0" borderId="0">
      <alignment vertical="center"/>
    </xf>
    <xf numFmtId="0" fontId="8" fillId="0" borderId="0">
      <alignment vertical="center"/>
    </xf>
    <xf numFmtId="43" fontId="24"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4" fillId="0" borderId="0" applyFont="0" applyFill="0" applyBorder="0" applyAlignment="0" applyProtection="0"/>
    <xf numFmtId="43" fontId="3" fillId="0" borderId="0" applyFont="0" applyFill="0" applyBorder="0" applyAlignment="0" applyProtection="0">
      <alignment vertical="center"/>
    </xf>
    <xf numFmtId="43" fontId="8" fillId="0" borderId="0" applyFont="0" applyFill="0" applyBorder="0" applyAlignment="0" applyProtection="0">
      <alignment vertical="center"/>
    </xf>
    <xf numFmtId="43" fontId="3" fillId="0" borderId="0" applyFont="0" applyFill="0" applyBorder="0" applyAlignment="0" applyProtection="0"/>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0" fontId="39" fillId="16" borderId="0" applyNumberFormat="0" applyBorder="0" applyAlignment="0" applyProtection="0">
      <alignment vertical="center"/>
    </xf>
    <xf numFmtId="0" fontId="41" fillId="0" borderId="1" applyNumberFormat="0" applyFill="0" applyAlignment="0" applyProtection="0">
      <alignment vertical="center"/>
    </xf>
    <xf numFmtId="0" fontId="42" fillId="4" borderId="0" applyNumberFormat="0" applyBorder="0" applyAlignment="0" applyProtection="0">
      <alignment vertical="center"/>
    </xf>
    <xf numFmtId="9" fontId="3" fillId="0" borderId="0" applyFont="0" applyFill="0" applyBorder="0" applyAlignment="0" applyProtection="0">
      <alignment vertical="center"/>
    </xf>
    <xf numFmtId="9" fontId="8" fillId="0" borderId="0" applyFont="0" applyFill="0" applyBorder="0" applyAlignment="0" applyProtection="0">
      <alignment vertical="center"/>
    </xf>
    <xf numFmtId="0" fontId="43" fillId="17" borderId="2" applyNumberFormat="0" applyAlignment="0" applyProtection="0">
      <alignment vertical="center"/>
    </xf>
    <xf numFmtId="0" fontId="44" fillId="0" borderId="3" applyNumberFormat="0" applyFill="0" applyAlignment="0" applyProtection="0">
      <alignment vertical="center"/>
    </xf>
    <xf numFmtId="0" fontId="3" fillId="18" borderId="4" applyNumberFormat="0" applyFont="0" applyAlignment="0" applyProtection="0">
      <alignment vertical="center"/>
    </xf>
    <xf numFmtId="0" fontId="45" fillId="0" borderId="0" applyNumberFormat="0" applyFill="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22" borderId="0" applyNumberFormat="0" applyBorder="0" applyAlignment="0" applyProtection="0">
      <alignment vertical="center"/>
    </xf>
    <xf numFmtId="0" fontId="47" fillId="0" borderId="5" applyNumberFormat="0" applyFill="0" applyAlignment="0" applyProtection="0">
      <alignment vertical="center"/>
    </xf>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49"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61" fillId="0" borderId="0">
      <alignment horizontal="left" vertical="center"/>
    </xf>
    <xf numFmtId="0" fontId="50" fillId="7" borderId="2" applyNumberFormat="0" applyAlignment="0" applyProtection="0">
      <alignment vertical="center"/>
    </xf>
    <xf numFmtId="0" fontId="51" fillId="17" borderId="8" applyNumberFormat="0" applyAlignment="0" applyProtection="0">
      <alignment vertical="center"/>
    </xf>
    <xf numFmtId="0" fontId="52" fillId="23" borderId="9" applyNumberFormat="0" applyAlignment="0" applyProtection="0">
      <alignment vertical="center"/>
    </xf>
    <xf numFmtId="0" fontId="53" fillId="3" borderId="0" applyNumberFormat="0" applyBorder="0" applyAlignment="0" applyProtection="0">
      <alignment vertical="center"/>
    </xf>
    <xf numFmtId="0" fontId="54" fillId="0" borderId="0" applyNumberFormat="0" applyFill="0" applyBorder="0" applyAlignment="0" applyProtection="0">
      <alignment vertical="center"/>
    </xf>
    <xf numFmtId="0" fontId="21" fillId="0" borderId="0" applyFont="0"/>
    <xf numFmtId="0" fontId="21" fillId="0" borderId="0" applyFont="0"/>
    <xf numFmtId="0" fontId="21" fillId="0" borderId="0" applyFont="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 fillId="0" borderId="0"/>
    <xf numFmtId="0" fontId="12" fillId="0" borderId="0"/>
    <xf numFmtId="0" fontId="8" fillId="0" borderId="0"/>
    <xf numFmtId="0" fontId="12" fillId="0" borderId="0"/>
    <xf numFmtId="0" fontId="8" fillId="0" borderId="0"/>
    <xf numFmtId="0" fontId="8" fillId="0" borderId="0"/>
    <xf numFmtId="0" fontId="8" fillId="0" borderId="0"/>
    <xf numFmtId="0" fontId="8" fillId="0" borderId="0"/>
    <xf numFmtId="0" fontId="12" fillId="0" borderId="0"/>
    <xf numFmtId="0" fontId="8" fillId="0" borderId="0"/>
    <xf numFmtId="0" fontId="8" fillId="0" borderId="0"/>
    <xf numFmtId="0" fontId="8" fillId="0" borderId="0"/>
    <xf numFmtId="3" fontId="90" fillId="0" borderId="0" applyFont="0" applyFill="0" applyBorder="0" applyAlignment="0" applyProtection="0"/>
    <xf numFmtId="190" fontId="90" fillId="0" borderId="0" applyFont="0" applyFill="0" applyBorder="0" applyAlignment="0" applyProtection="0"/>
    <xf numFmtId="0" fontId="90" fillId="0" borderId="0" applyFont="0" applyFill="0" applyBorder="0" applyAlignment="0" applyProtection="0"/>
    <xf numFmtId="38" fontId="22" fillId="0" borderId="0" applyBorder="0" applyAlignment="0"/>
    <xf numFmtId="2" fontId="90" fillId="0" borderId="0" applyFont="0" applyFill="0" applyBorder="0" applyAlignment="0" applyProtection="0"/>
    <xf numFmtId="38" fontId="91" fillId="26" borderId="0" applyNumberFormat="0" applyBorder="0" applyAlignment="0" applyProtection="0"/>
    <xf numFmtId="0" fontId="70" fillId="0" borderId="0"/>
    <xf numFmtId="0" fontId="92" fillId="0" borderId="69" applyNumberFormat="0" applyAlignment="0" applyProtection="0">
      <alignment horizontal="left" vertical="center"/>
    </xf>
    <xf numFmtId="0" fontId="92" fillId="0" borderId="70">
      <alignment horizontal="left" vertical="center"/>
    </xf>
    <xf numFmtId="0" fontId="93" fillId="0" borderId="0" applyNumberFormat="0" applyFill="0" applyBorder="0" applyAlignment="0" applyProtection="0"/>
    <xf numFmtId="0" fontId="94" fillId="0" borderId="0" applyNumberFormat="0" applyFill="0" applyBorder="0" applyAlignment="0" applyProtection="0"/>
    <xf numFmtId="10" fontId="91" fillId="27" borderId="28" applyNumberFormat="0" applyBorder="0" applyAlignment="0" applyProtection="0"/>
    <xf numFmtId="0" fontId="3" fillId="0" borderId="0" applyNumberFormat="0" applyFill="0" applyBorder="0">
      <alignment horizontal="center" vertical="center"/>
    </xf>
    <xf numFmtId="191" fontId="95" fillId="0" borderId="71" applyFill="0" applyBorder="0" applyProtection="0">
      <alignment horizontal="right" vertical="center"/>
    </xf>
    <xf numFmtId="192" fontId="95" fillId="0" borderId="0" applyFill="0" applyBorder="0" applyProtection="0">
      <alignment horizontal="right" vertical="center"/>
    </xf>
    <xf numFmtId="0" fontId="96" fillId="0" borderId="0"/>
    <xf numFmtId="0" fontId="27" fillId="0" borderId="0"/>
    <xf numFmtId="10" fontId="96" fillId="0" borderId="0" applyFont="0" applyFill="0" applyBorder="0" applyAlignment="0" applyProtection="0"/>
    <xf numFmtId="0" fontId="8" fillId="0" borderId="0">
      <alignment vertical="center"/>
    </xf>
    <xf numFmtId="0" fontId="90" fillId="0" borderId="72" applyNumberFormat="0" applyFont="0" applyFill="0" applyAlignment="0" applyProtection="0"/>
    <xf numFmtId="0" fontId="97" fillId="0" borderId="0"/>
    <xf numFmtId="0" fontId="2" fillId="0" borderId="0">
      <alignment vertical="center"/>
    </xf>
    <xf numFmtId="0" fontId="3" fillId="0" borderId="0">
      <alignment vertical="center"/>
    </xf>
    <xf numFmtId="0" fontId="98" fillId="0" borderId="0"/>
    <xf numFmtId="0" fontId="8"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86" fillId="0" borderId="0"/>
    <xf numFmtId="0" fontId="3" fillId="0" borderId="0"/>
    <xf numFmtId="0" fontId="3" fillId="0" borderId="0"/>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99"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4" fillId="0" borderId="0" applyFont="0" applyFill="0" applyBorder="0" applyAlignment="0" applyProtection="0"/>
    <xf numFmtId="43" fontId="24" fillId="0" borderId="0" applyFont="0" applyFill="0" applyBorder="0" applyAlignment="0" applyProtection="0"/>
    <xf numFmtId="43" fontId="3" fillId="0" borderId="0" applyFont="0" applyFill="0" applyBorder="0" applyAlignment="0" applyProtection="0">
      <alignment vertical="center"/>
    </xf>
    <xf numFmtId="43" fontId="8"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alignment vertical="center"/>
    </xf>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0" fontId="8" fillId="0" borderId="0" applyNumberFormat="0">
      <alignment horizontal="centerContinuous" vertical="center"/>
    </xf>
    <xf numFmtId="193" fontId="96" fillId="0" borderId="0" applyFont="0" applyFill="0" applyBorder="0" applyAlignment="0" applyProtection="0"/>
    <xf numFmtId="194" fontId="96" fillId="0" borderId="0" applyFont="0" applyFill="0" applyBorder="0" applyAlignment="0" applyProtection="0"/>
    <xf numFmtId="44" fontId="3" fillId="0" borderId="0" applyFont="0" applyFill="0" applyBorder="0" applyAlignment="0" applyProtection="0">
      <alignment vertical="center"/>
    </xf>
    <xf numFmtId="195"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4" fontId="96" fillId="0" borderId="0" applyFont="0" applyFill="0" applyBorder="0" applyAlignment="0" applyProtection="0"/>
    <xf numFmtId="42" fontId="96" fillId="0" borderId="0" applyFont="0" applyFill="0" applyBorder="0" applyAlignment="0" applyProtection="0"/>
    <xf numFmtId="0" fontId="96" fillId="0" borderId="0"/>
    <xf numFmtId="0" fontId="100" fillId="0" borderId="0" applyNumberFormat="0" applyFill="0" applyBorder="0" applyAlignment="0" applyProtection="0">
      <alignment vertical="top"/>
      <protection locked="0"/>
    </xf>
    <xf numFmtId="196" fontId="101" fillId="0" borderId="0" applyFont="0" applyFill="0" applyBorder="0" applyAlignment="0" applyProtection="0"/>
    <xf numFmtId="197" fontId="101" fillId="0" borderId="0" applyFont="0" applyFill="0" applyBorder="0" applyAlignment="0" applyProtection="0"/>
    <xf numFmtId="198" fontId="101" fillId="0" borderId="0" applyFont="0" applyFill="0" applyBorder="0" applyAlignment="0" applyProtection="0"/>
    <xf numFmtId="199" fontId="101" fillId="0" borderId="0" applyFont="0" applyFill="0" applyBorder="0" applyAlignment="0" applyProtection="0"/>
    <xf numFmtId="0" fontId="1" fillId="0" borderId="0">
      <alignment vertical="center"/>
    </xf>
    <xf numFmtId="43" fontId="1" fillId="0" borderId="0" applyFont="0" applyFill="0" applyBorder="0" applyAlignment="0" applyProtection="0">
      <alignment vertical="center"/>
    </xf>
  </cellStyleXfs>
  <cellXfs count="1314">
    <xf numFmtId="0" fontId="0" fillId="0" borderId="0" xfId="0">
      <alignment vertical="center"/>
    </xf>
    <xf numFmtId="0" fontId="7" fillId="0" borderId="0" xfId="0" applyFont="1" applyFill="1" applyAlignment="1">
      <alignment vertical="center"/>
    </xf>
    <xf numFmtId="0" fontId="8" fillId="0" borderId="0" xfId="0" applyFont="1" applyFill="1">
      <alignment vertical="center"/>
    </xf>
    <xf numFmtId="0" fontId="11" fillId="0" borderId="0" xfId="0" applyFont="1" applyFill="1" applyAlignment="1">
      <alignment vertical="center"/>
    </xf>
    <xf numFmtId="0" fontId="8" fillId="0" borderId="0" xfId="0" applyFont="1" applyFill="1" applyBorder="1" applyAlignment="1">
      <alignment vertical="center"/>
    </xf>
    <xf numFmtId="0" fontId="8" fillId="0" borderId="10" xfId="0" applyFont="1" applyFill="1" applyBorder="1" applyAlignment="1">
      <alignment vertical="center"/>
    </xf>
    <xf numFmtId="0" fontId="8" fillId="0" borderId="0" xfId="0" applyFont="1" applyFill="1" applyAlignment="1">
      <alignment vertical="center"/>
    </xf>
    <xf numFmtId="0" fontId="8" fillId="0" borderId="14" xfId="0" applyFont="1" applyFill="1" applyBorder="1" applyAlignment="1">
      <alignment horizontal="center" vertical="center" wrapText="1"/>
    </xf>
    <xf numFmtId="182" fontId="8" fillId="0" borderId="18" xfId="0" applyNumberFormat="1" applyFont="1" applyFill="1" applyBorder="1" applyAlignment="1">
      <alignment vertical="top" wrapText="1"/>
    </xf>
    <xf numFmtId="0" fontId="8" fillId="0" borderId="0" xfId="0" applyFont="1" applyFill="1" applyAlignment="1">
      <alignment vertical="top"/>
    </xf>
    <xf numFmtId="0" fontId="14" fillId="0" borderId="0" xfId="0" applyFont="1" applyFill="1" applyBorder="1" applyAlignment="1">
      <alignment vertical="top" wrapText="1"/>
    </xf>
    <xf numFmtId="0" fontId="5" fillId="0" borderId="0" xfId="0" applyFont="1" applyAlignment="1">
      <alignment vertical="center"/>
    </xf>
    <xf numFmtId="0" fontId="8" fillId="0" borderId="0" xfId="0" applyFont="1">
      <alignment vertical="center"/>
    </xf>
    <xf numFmtId="0" fontId="11" fillId="0" borderId="0" xfId="0" applyFont="1" applyAlignment="1">
      <alignment vertical="center"/>
    </xf>
    <xf numFmtId="0" fontId="8" fillId="0" borderId="0" xfId="0" applyFont="1" applyBorder="1" applyAlignment="1">
      <alignment vertical="center"/>
    </xf>
    <xf numFmtId="0" fontId="17" fillId="0" borderId="0" xfId="0" applyFont="1" applyBorder="1" applyAlignment="1">
      <alignment vertical="center"/>
    </xf>
    <xf numFmtId="0" fontId="17" fillId="0" borderId="0" xfId="0" applyFont="1">
      <alignment vertical="center"/>
    </xf>
    <xf numFmtId="0" fontId="17" fillId="0" borderId="0" xfId="0" applyFont="1" applyAlignment="1">
      <alignment vertical="top"/>
    </xf>
    <xf numFmtId="0" fontId="16" fillId="0" borderId="19" xfId="0" applyFont="1" applyBorder="1" applyAlignment="1">
      <alignment horizontal="distributed" vertical="center" indent="2"/>
    </xf>
    <xf numFmtId="177" fontId="8" fillId="0" borderId="0" xfId="0" applyNumberFormat="1" applyFont="1" applyFill="1" applyAlignment="1">
      <alignment vertical="center"/>
    </xf>
    <xf numFmtId="182" fontId="14" fillId="0" borderId="18" xfId="0" applyNumberFormat="1" applyFont="1" applyFill="1" applyBorder="1" applyAlignment="1">
      <alignment vertical="top" wrapText="1"/>
    </xf>
    <xf numFmtId="0" fontId="8" fillId="0" borderId="0" xfId="0" applyFont="1" applyAlignment="1">
      <alignment vertical="top"/>
    </xf>
    <xf numFmtId="0" fontId="8" fillId="0" borderId="11" xfId="0" applyFont="1" applyBorder="1" applyAlignment="1">
      <alignment horizontal="left" vertical="top" wrapText="1"/>
    </xf>
    <xf numFmtId="0" fontId="17" fillId="0" borderId="0" xfId="0" applyFont="1" applyAlignment="1">
      <alignment horizontal="left" vertical="top"/>
    </xf>
    <xf numFmtId="0" fontId="8" fillId="0" borderId="14" xfId="0" applyFont="1" applyFill="1" applyBorder="1" applyAlignment="1">
      <alignment horizontal="center" vertical="center"/>
    </xf>
    <xf numFmtId="0" fontId="8" fillId="0" borderId="16" xfId="0" applyFont="1" applyFill="1" applyBorder="1" applyAlignment="1">
      <alignment horizontal="distributed" vertical="center" wrapText="1" indent="2"/>
    </xf>
    <xf numFmtId="0" fontId="13" fillId="0" borderId="17" xfId="0" applyFont="1" applyFill="1" applyBorder="1" applyAlignment="1">
      <alignment horizontal="left" vertical="top"/>
    </xf>
    <xf numFmtId="3" fontId="14" fillId="0" borderId="18" xfId="0" applyNumberFormat="1" applyFont="1" applyFill="1" applyBorder="1" applyAlignment="1">
      <alignment horizontal="right" vertical="top" wrapText="1"/>
    </xf>
    <xf numFmtId="3" fontId="14" fillId="0" borderId="18" xfId="0" applyNumberFormat="1" applyFont="1" applyFill="1" applyBorder="1" applyAlignment="1">
      <alignment horizontal="center" vertical="top" wrapText="1"/>
    </xf>
    <xf numFmtId="0" fontId="14" fillId="0" borderId="11" xfId="0" applyFont="1" applyFill="1" applyBorder="1" applyAlignment="1">
      <alignment vertical="top" wrapText="1"/>
    </xf>
    <xf numFmtId="0" fontId="14" fillId="0" borderId="0" xfId="0" applyFont="1" applyFill="1" applyAlignment="1">
      <alignment vertical="top"/>
    </xf>
    <xf numFmtId="3" fontId="8" fillId="0" borderId="18" xfId="0" applyNumberFormat="1" applyFont="1" applyFill="1" applyBorder="1" applyAlignment="1">
      <alignment horizontal="right" vertical="top" wrapText="1"/>
    </xf>
    <xf numFmtId="0" fontId="14" fillId="0" borderId="0" xfId="0" applyFont="1" applyFill="1" applyBorder="1" applyAlignment="1">
      <alignment vertical="top"/>
    </xf>
    <xf numFmtId="0" fontId="8" fillId="0" borderId="18" xfId="0" applyFont="1" applyFill="1" applyBorder="1" applyAlignment="1">
      <alignment horizontal="center" vertical="top" wrapText="1"/>
    </xf>
    <xf numFmtId="0" fontId="8" fillId="0" borderId="11" xfId="0" applyFont="1" applyFill="1" applyBorder="1" applyAlignment="1">
      <alignment vertical="top" wrapText="1"/>
    </xf>
    <xf numFmtId="0" fontId="14" fillId="0" borderId="0" xfId="0" applyFont="1" applyFill="1" applyBorder="1" applyAlignment="1">
      <alignment horizontal="left" vertical="top" wrapText="1"/>
    </xf>
    <xf numFmtId="0" fontId="14" fillId="0" borderId="0" xfId="0" applyFont="1" applyFill="1" applyAlignment="1">
      <alignment vertical="top" wrapText="1"/>
    </xf>
    <xf numFmtId="182" fontId="8" fillId="0" borderId="12" xfId="0" applyNumberFormat="1" applyFont="1" applyFill="1" applyBorder="1" applyAlignment="1">
      <alignment vertical="top" wrapText="1"/>
    </xf>
    <xf numFmtId="0" fontId="8" fillId="0" borderId="13" xfId="0" applyFont="1" applyFill="1" applyBorder="1" applyAlignment="1">
      <alignment vertical="top" wrapText="1"/>
    </xf>
    <xf numFmtId="0" fontId="17" fillId="0" borderId="0" xfId="0" applyFont="1" applyAlignment="1">
      <alignment vertical="top" wrapText="1"/>
    </xf>
    <xf numFmtId="0" fontId="8" fillId="0" borderId="18" xfId="0" applyFont="1" applyFill="1" applyBorder="1" applyAlignment="1">
      <alignment vertical="top" wrapText="1"/>
    </xf>
    <xf numFmtId="0" fontId="8" fillId="0" borderId="12" xfId="0" applyFont="1" applyFill="1" applyBorder="1" applyAlignment="1">
      <alignment vertical="top" wrapText="1"/>
    </xf>
    <xf numFmtId="0" fontId="8" fillId="0" borderId="11" xfId="0" applyFont="1" applyBorder="1" applyAlignment="1">
      <alignment vertical="top" wrapText="1"/>
    </xf>
    <xf numFmtId="0" fontId="17" fillId="0" borderId="0" xfId="0" applyFont="1" applyBorder="1" applyAlignment="1">
      <alignment vertical="top"/>
    </xf>
    <xf numFmtId="0" fontId="8" fillId="0" borderId="11" xfId="0" applyFont="1" applyBorder="1" applyAlignment="1">
      <alignment horizontal="justify" vertical="top"/>
    </xf>
    <xf numFmtId="0" fontId="8" fillId="0" borderId="11" xfId="0" applyFont="1" applyBorder="1" applyAlignment="1">
      <alignment vertical="top"/>
    </xf>
    <xf numFmtId="0" fontId="8" fillId="0" borderId="17" xfId="0" applyFont="1" applyBorder="1" applyAlignment="1">
      <alignment horizontal="left" vertical="top" wrapText="1"/>
    </xf>
    <xf numFmtId="0" fontId="13" fillId="0" borderId="17" xfId="0" applyFont="1" applyBorder="1" applyAlignment="1">
      <alignment horizontal="left" vertical="top"/>
    </xf>
    <xf numFmtId="0" fontId="8" fillId="0" borderId="22" xfId="0" applyFont="1" applyBorder="1" applyAlignment="1">
      <alignment horizontal="center" vertical="top"/>
    </xf>
    <xf numFmtId="0" fontId="8" fillId="0" borderId="23" xfId="0" applyFont="1" applyBorder="1" applyAlignment="1">
      <alignment vertical="top"/>
    </xf>
    <xf numFmtId="0" fontId="15" fillId="0" borderId="17" xfId="0" applyFont="1" applyBorder="1" applyAlignment="1">
      <alignment horizontal="distributed" vertical="center" indent="2"/>
    </xf>
    <xf numFmtId="0" fontId="15" fillId="0" borderId="22" xfId="0" applyFont="1" applyBorder="1" applyAlignment="1">
      <alignment horizontal="distributed" vertical="center" indent="2"/>
    </xf>
    <xf numFmtId="0" fontId="12" fillId="0" borderId="24" xfId="0" applyFont="1" applyFill="1" applyBorder="1" applyAlignment="1">
      <alignment horizontal="center" vertical="center" wrapText="1"/>
    </xf>
    <xf numFmtId="0" fontId="15" fillId="0" borderId="25" xfId="0" applyFont="1" applyBorder="1" applyAlignment="1">
      <alignment horizontal="distributed" vertical="center" indent="2"/>
    </xf>
    <xf numFmtId="0" fontId="15" fillId="0" borderId="26" xfId="0" applyFont="1" applyBorder="1" applyAlignment="1">
      <alignment horizontal="distributed" vertical="center" indent="2"/>
    </xf>
    <xf numFmtId="0" fontId="8" fillId="0" borderId="27" xfId="0" applyFont="1" applyBorder="1" applyAlignment="1">
      <alignment horizontal="center" vertical="top"/>
    </xf>
    <xf numFmtId="0" fontId="8" fillId="0" borderId="0" xfId="0" applyFont="1" applyFill="1" applyAlignment="1">
      <alignment horizontal="center" vertical="center"/>
    </xf>
    <xf numFmtId="3" fontId="8" fillId="0" borderId="14" xfId="0" applyNumberFormat="1" applyFont="1" applyBorder="1" applyAlignment="1">
      <alignment vertical="top"/>
    </xf>
    <xf numFmtId="179" fontId="8" fillId="0" borderId="15" xfId="0" applyNumberFormat="1" applyFont="1" applyBorder="1" applyAlignment="1">
      <alignment vertical="top"/>
    </xf>
    <xf numFmtId="179" fontId="8" fillId="0" borderId="16" xfId="0" applyNumberFormat="1" applyFont="1" applyBorder="1" applyAlignment="1">
      <alignment vertical="top"/>
    </xf>
    <xf numFmtId="179" fontId="8" fillId="0" borderId="18" xfId="0" applyNumberFormat="1" applyFont="1" applyBorder="1" applyAlignment="1">
      <alignment vertical="top"/>
    </xf>
    <xf numFmtId="179" fontId="8" fillId="0" borderId="11" xfId="0" applyNumberFormat="1" applyFont="1" applyBorder="1" applyAlignment="1">
      <alignment vertical="top"/>
    </xf>
    <xf numFmtId="179" fontId="14" fillId="0" borderId="18" xfId="0" applyNumberFormat="1" applyFont="1" applyBorder="1" applyAlignment="1">
      <alignment vertical="top"/>
    </xf>
    <xf numFmtId="0" fontId="14" fillId="0" borderId="18" xfId="0" applyFont="1" applyFill="1" applyBorder="1" applyAlignment="1">
      <alignment horizontal="center" vertical="top" wrapText="1"/>
    </xf>
    <xf numFmtId="0" fontId="14" fillId="0" borderId="18" xfId="0" applyFont="1" applyFill="1" applyBorder="1" applyAlignment="1">
      <alignment horizontal="justify" vertical="top" wrapText="1"/>
    </xf>
    <xf numFmtId="0" fontId="8" fillId="0" borderId="11" xfId="0" applyFont="1" applyFill="1" applyBorder="1" applyAlignment="1">
      <alignment horizontal="justify" vertical="top" wrapText="1"/>
    </xf>
    <xf numFmtId="179" fontId="8" fillId="0" borderId="18" xfId="0" applyNumberFormat="1" applyFont="1" applyFill="1" applyBorder="1" applyAlignment="1">
      <alignment horizontal="right" vertical="top" wrapText="1"/>
    </xf>
    <xf numFmtId="0" fontId="8" fillId="0" borderId="18" xfId="0" applyFont="1" applyFill="1" applyBorder="1" applyAlignment="1">
      <alignment horizontal="right" vertical="top" wrapText="1"/>
    </xf>
    <xf numFmtId="0" fontId="8" fillId="0" borderId="17" xfId="0" applyFont="1" applyFill="1" applyBorder="1" applyAlignment="1">
      <alignment horizontal="left" vertical="top" wrapText="1"/>
    </xf>
    <xf numFmtId="0" fontId="8" fillId="0" borderId="18" xfId="0" applyFont="1" applyFill="1" applyBorder="1" applyAlignment="1">
      <alignment horizontal="justify" vertical="top" wrapText="1"/>
    </xf>
    <xf numFmtId="0" fontId="8" fillId="0" borderId="12" xfId="0" applyFont="1" applyFill="1" applyBorder="1" applyAlignment="1">
      <alignment horizontal="center" vertical="top" wrapText="1"/>
    </xf>
    <xf numFmtId="0" fontId="8" fillId="0" borderId="12" xfId="0" applyFont="1" applyFill="1" applyBorder="1" applyAlignment="1">
      <alignment horizontal="justify" vertical="top" wrapText="1"/>
    </xf>
    <xf numFmtId="0" fontId="8" fillId="0" borderId="13" xfId="0" applyFont="1" applyFill="1" applyBorder="1" applyAlignment="1">
      <alignment horizontal="justify" vertical="top"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4" fillId="0" borderId="11" xfId="0" applyFont="1" applyFill="1" applyBorder="1" applyAlignment="1">
      <alignment horizontal="justify" vertical="top" wrapText="1"/>
    </xf>
    <xf numFmtId="179" fontId="14" fillId="0" borderId="18" xfId="0" applyNumberFormat="1" applyFont="1" applyFill="1" applyBorder="1" applyAlignment="1">
      <alignment horizontal="right" vertical="top" wrapText="1"/>
    </xf>
    <xf numFmtId="3" fontId="8" fillId="0" borderId="18" xfId="0" applyNumberFormat="1" applyFont="1" applyFill="1" applyBorder="1" applyAlignment="1">
      <alignment vertical="top"/>
    </xf>
    <xf numFmtId="3" fontId="14" fillId="0" borderId="18" xfId="0" applyNumberFormat="1" applyFont="1" applyFill="1" applyBorder="1" applyAlignment="1">
      <alignment vertical="top"/>
    </xf>
    <xf numFmtId="0" fontId="8" fillId="0" borderId="29" xfId="0" applyFont="1" applyFill="1" applyBorder="1" applyAlignment="1">
      <alignment horizontal="center" vertical="center" wrapText="1"/>
    </xf>
    <xf numFmtId="0" fontId="8" fillId="0" borderId="29" xfId="0" applyFont="1" applyFill="1" applyBorder="1" applyAlignment="1">
      <alignment vertical="center" wrapText="1"/>
    </xf>
    <xf numFmtId="181" fontId="8" fillId="0" borderId="30" xfId="0" applyNumberFormat="1" applyFont="1" applyFill="1" applyBorder="1" applyAlignment="1">
      <alignment vertical="top"/>
    </xf>
    <xf numFmtId="182" fontId="8" fillId="0" borderId="30" xfId="0" applyNumberFormat="1" applyFont="1" applyFill="1" applyBorder="1" applyAlignment="1">
      <alignment vertical="top" wrapText="1"/>
    </xf>
    <xf numFmtId="0" fontId="8" fillId="0" borderId="25" xfId="0" applyFont="1" applyFill="1" applyBorder="1" applyAlignment="1">
      <alignment horizontal="distributed" vertical="center" wrapText="1" indent="1"/>
    </xf>
    <xf numFmtId="182" fontId="14" fillId="0" borderId="27" xfId="0" applyNumberFormat="1" applyFont="1" applyFill="1" applyBorder="1" applyAlignment="1">
      <alignment vertical="top" wrapText="1"/>
    </xf>
    <xf numFmtId="49" fontId="19" fillId="0" borderId="27" xfId="0" applyNumberFormat="1" applyFont="1" applyBorder="1" applyAlignment="1">
      <alignment vertical="top" wrapText="1"/>
    </xf>
    <xf numFmtId="0" fontId="8" fillId="0" borderId="26" xfId="0" applyFont="1" applyFill="1" applyBorder="1" applyAlignment="1">
      <alignment horizontal="distributed" vertical="center" wrapText="1" indent="1"/>
    </xf>
    <xf numFmtId="0" fontId="14" fillId="0" borderId="30" xfId="0" applyFont="1" applyFill="1" applyBorder="1" applyAlignment="1">
      <alignment vertical="top" wrapText="1"/>
    </xf>
    <xf numFmtId="0" fontId="8" fillId="0" borderId="30" xfId="0" applyFont="1" applyFill="1" applyBorder="1" applyAlignment="1">
      <alignment horizontal="justify" vertical="top"/>
    </xf>
    <xf numFmtId="0" fontId="8" fillId="0" borderId="30" xfId="0" applyFont="1" applyFill="1" applyBorder="1" applyAlignment="1">
      <alignment vertical="top"/>
    </xf>
    <xf numFmtId="177" fontId="14" fillId="0" borderId="18" xfId="0" applyNumberFormat="1" applyFont="1" applyFill="1" applyBorder="1" applyAlignment="1">
      <alignment horizontal="right" vertical="top" wrapText="1"/>
    </xf>
    <xf numFmtId="177" fontId="8" fillId="0" borderId="18" xfId="0" applyNumberFormat="1" applyFont="1" applyFill="1" applyBorder="1" applyAlignment="1">
      <alignment horizontal="right" vertical="top" wrapText="1"/>
    </xf>
    <xf numFmtId="3" fontId="8" fillId="0" borderId="0" xfId="0" applyNumberFormat="1" applyFont="1" applyFill="1" applyAlignment="1">
      <alignment vertical="center"/>
    </xf>
    <xf numFmtId="0" fontId="8" fillId="0" borderId="0" xfId="0" applyFont="1" applyAlignment="1">
      <alignment vertical="center"/>
    </xf>
    <xf numFmtId="0" fontId="8" fillId="0" borderId="0" xfId="0" applyFont="1" applyAlignment="1">
      <alignment horizontal="center" vertical="center"/>
    </xf>
    <xf numFmtId="41" fontId="14" fillId="0" borderId="18" xfId="0" applyNumberFormat="1" applyFont="1" applyBorder="1" applyAlignment="1">
      <alignment horizontal="right" vertical="center" wrapText="1"/>
    </xf>
    <xf numFmtId="0" fontId="8" fillId="0" borderId="12" xfId="0" applyFont="1" applyBorder="1" applyAlignment="1">
      <alignment horizontal="justify" vertical="center" wrapText="1"/>
    </xf>
    <xf numFmtId="0" fontId="12" fillId="0" borderId="20" xfId="0" applyFont="1" applyFill="1" applyBorder="1" applyAlignment="1">
      <alignment horizontal="center" vertical="center" wrapText="1"/>
    </xf>
    <xf numFmtId="0" fontId="8" fillId="0" borderId="10" xfId="0" applyFont="1" applyFill="1" applyBorder="1" applyAlignment="1">
      <alignment horizontal="center" vertical="center"/>
    </xf>
    <xf numFmtId="3" fontId="8" fillId="0" borderId="12" xfId="0" applyNumberFormat="1" applyFont="1" applyFill="1" applyBorder="1" applyAlignment="1">
      <alignment horizontal="right" vertical="top" wrapText="1"/>
    </xf>
    <xf numFmtId="0" fontId="12" fillId="0" borderId="17" xfId="0" applyFont="1" applyBorder="1" applyAlignment="1">
      <alignment vertical="top"/>
    </xf>
    <xf numFmtId="0" fontId="8" fillId="0" borderId="11" xfId="0" applyFont="1" applyBorder="1" applyAlignment="1">
      <alignment horizontal="justify" vertical="center" wrapText="1"/>
    </xf>
    <xf numFmtId="0" fontId="8" fillId="0" borderId="17" xfId="0" applyFont="1" applyBorder="1" applyAlignment="1">
      <alignment horizontal="justify" vertical="top" wrapText="1"/>
    </xf>
    <xf numFmtId="0" fontId="8" fillId="0" borderId="18" xfId="0" applyFont="1" applyBorder="1" applyAlignment="1">
      <alignment horizontal="justify" vertical="top" wrapText="1"/>
    </xf>
    <xf numFmtId="0" fontId="8" fillId="0" borderId="18" xfId="0" applyFont="1" applyBorder="1" applyAlignment="1">
      <alignment horizontal="justify" vertical="center" wrapText="1"/>
    </xf>
    <xf numFmtId="0" fontId="22" fillId="0" borderId="18" xfId="0" applyFont="1" applyBorder="1" applyAlignment="1">
      <alignment horizontal="justify" vertical="center" wrapText="1"/>
    </xf>
    <xf numFmtId="0" fontId="8" fillId="0" borderId="21" xfId="0" applyFont="1" applyBorder="1" applyAlignment="1">
      <alignment horizontal="justify" vertical="top" wrapText="1"/>
    </xf>
    <xf numFmtId="0" fontId="8" fillId="0" borderId="12" xfId="0" applyFont="1" applyBorder="1" applyAlignment="1">
      <alignment horizontal="justify" vertical="top" wrapText="1"/>
    </xf>
    <xf numFmtId="0" fontId="22" fillId="0" borderId="12" xfId="0" applyFont="1" applyBorder="1" applyAlignment="1">
      <alignment horizontal="justify" vertical="center" wrapText="1"/>
    </xf>
    <xf numFmtId="0" fontId="8" fillId="0" borderId="13" xfId="0" applyFont="1" applyBorder="1" applyAlignment="1">
      <alignment horizontal="justify" vertical="center" wrapText="1"/>
    </xf>
    <xf numFmtId="176" fontId="8" fillId="0" borderId="0" xfId="0" applyNumberFormat="1" applyFont="1">
      <alignment vertical="center"/>
    </xf>
    <xf numFmtId="0" fontId="28" fillId="0" borderId="0" xfId="0" applyFont="1" applyAlignment="1">
      <alignment vertical="top"/>
    </xf>
    <xf numFmtId="177" fontId="8" fillId="0" borderId="16" xfId="0" applyNumberFormat="1" applyFont="1" applyFill="1" applyBorder="1" applyAlignment="1">
      <alignment horizontal="center" vertical="center" wrapText="1"/>
    </xf>
    <xf numFmtId="179" fontId="14" fillId="0" borderId="17" xfId="0" applyNumberFormat="1" applyFont="1" applyFill="1" applyBorder="1" applyAlignment="1">
      <alignment vertical="top"/>
    </xf>
    <xf numFmtId="0" fontId="13" fillId="0" borderId="0" xfId="0" applyFont="1" applyFill="1" applyBorder="1" applyAlignment="1">
      <alignment horizontal="distributed" vertical="top" indent="6"/>
    </xf>
    <xf numFmtId="179" fontId="14" fillId="0" borderId="18" xfId="0" applyNumberFormat="1" applyFont="1" applyFill="1" applyBorder="1" applyAlignment="1">
      <alignment vertical="top"/>
    </xf>
    <xf numFmtId="179" fontId="14" fillId="0" borderId="11" xfId="0" applyNumberFormat="1" applyFont="1" applyFill="1" applyBorder="1" applyAlignment="1">
      <alignment vertical="top"/>
    </xf>
    <xf numFmtId="0" fontId="13" fillId="0" borderId="0" xfId="0" applyFont="1" applyFill="1" applyBorder="1" applyAlignment="1">
      <alignment horizontal="left" vertical="top"/>
    </xf>
    <xf numFmtId="179" fontId="8" fillId="0" borderId="17" xfId="0" applyNumberFormat="1" applyFont="1" applyFill="1" applyBorder="1" applyAlignment="1">
      <alignment vertical="top"/>
    </xf>
    <xf numFmtId="0" fontId="12" fillId="0" borderId="0" xfId="0" applyFont="1" applyFill="1" applyBorder="1" applyAlignment="1">
      <alignment horizontal="justify" vertical="top"/>
    </xf>
    <xf numFmtId="179" fontId="8" fillId="0" borderId="18" xfId="0" applyNumberFormat="1" applyFont="1" applyFill="1" applyBorder="1" applyAlignment="1">
      <alignment vertical="top"/>
    </xf>
    <xf numFmtId="179" fontId="8" fillId="0" borderId="11" xfId="0" applyNumberFormat="1" applyFont="1" applyFill="1" applyBorder="1" applyAlignment="1">
      <alignment vertical="top"/>
    </xf>
    <xf numFmtId="0" fontId="13" fillId="0" borderId="0" xfId="0" applyFont="1" applyFill="1" applyBorder="1" applyAlignment="1">
      <alignment horizontal="left" vertical="top" shrinkToFit="1"/>
    </xf>
    <xf numFmtId="41" fontId="8" fillId="0" borderId="11" xfId="0" applyNumberFormat="1" applyFont="1" applyFill="1" applyBorder="1" applyAlignment="1">
      <alignment vertical="top"/>
    </xf>
    <xf numFmtId="179" fontId="14" fillId="0" borderId="21" xfId="0" applyNumberFormat="1" applyFont="1" applyFill="1" applyBorder="1" applyAlignment="1">
      <alignment vertical="top"/>
    </xf>
    <xf numFmtId="0" fontId="13" fillId="0" borderId="36" xfId="0" applyFont="1" applyFill="1" applyBorder="1" applyAlignment="1">
      <alignment horizontal="distributed" vertical="top" indent="6"/>
    </xf>
    <xf numFmtId="179" fontId="14" fillId="0" borderId="12" xfId="0" applyNumberFormat="1" applyFont="1" applyFill="1" applyBorder="1" applyAlignment="1">
      <alignment vertical="top"/>
    </xf>
    <xf numFmtId="179" fontId="14" fillId="0" borderId="13" xfId="0" applyNumberFormat="1" applyFont="1" applyFill="1" applyBorder="1" applyAlignment="1">
      <alignment vertical="top"/>
    </xf>
    <xf numFmtId="41" fontId="8" fillId="0" borderId="18" xfId="0" applyNumberFormat="1" applyFont="1" applyFill="1" applyBorder="1" applyAlignment="1">
      <alignment vertical="top"/>
    </xf>
    <xf numFmtId="41" fontId="14" fillId="0" borderId="17" xfId="0" applyNumberFormat="1" applyFont="1" applyFill="1" applyBorder="1" applyAlignment="1">
      <alignment vertical="top"/>
    </xf>
    <xf numFmtId="41" fontId="14" fillId="0" borderId="18" xfId="0" applyNumberFormat="1" applyFont="1" applyFill="1" applyBorder="1" applyAlignment="1">
      <alignment vertical="top"/>
    </xf>
    <xf numFmtId="41" fontId="14" fillId="0" borderId="11" xfId="0" applyNumberFormat="1" applyFont="1" applyFill="1" applyBorder="1" applyAlignment="1">
      <alignment vertical="top"/>
    </xf>
    <xf numFmtId="41" fontId="8" fillId="0" borderId="17" xfId="0" applyNumberFormat="1" applyFont="1" applyFill="1" applyBorder="1" applyAlignment="1">
      <alignment vertical="top"/>
    </xf>
    <xf numFmtId="0" fontId="8" fillId="0" borderId="37" xfId="0" applyFont="1" applyFill="1" applyBorder="1" applyAlignment="1">
      <alignment horizontal="distributed" vertical="center" wrapText="1" indent="1"/>
    </xf>
    <xf numFmtId="0" fontId="13" fillId="0" borderId="17" xfId="0" applyFont="1" applyFill="1" applyBorder="1" applyAlignment="1">
      <alignment horizontal="left" vertical="top" wrapText="1"/>
    </xf>
    <xf numFmtId="3" fontId="14" fillId="0" borderId="18" xfId="0" applyNumberFormat="1" applyFont="1" applyFill="1" applyBorder="1" applyAlignment="1">
      <alignment vertical="top" wrapText="1"/>
    </xf>
    <xf numFmtId="3" fontId="14" fillId="0" borderId="27" xfId="0" applyNumberFormat="1" applyFont="1" applyFill="1" applyBorder="1" applyAlignment="1">
      <alignment vertical="top" wrapText="1"/>
    </xf>
    <xf numFmtId="3" fontId="14" fillId="0" borderId="0" xfId="0" applyNumberFormat="1" applyFont="1" applyFill="1" applyBorder="1" applyAlignment="1">
      <alignment vertical="top" wrapText="1"/>
    </xf>
    <xf numFmtId="0" fontId="22" fillId="0" borderId="22" xfId="0" applyFont="1" applyFill="1" applyBorder="1" applyAlignment="1">
      <alignment vertical="top" wrapText="1"/>
    </xf>
    <xf numFmtId="0" fontId="12" fillId="0" borderId="17" xfId="0" applyFont="1" applyFill="1" applyBorder="1" applyAlignment="1">
      <alignment horizontal="left" vertical="top" wrapText="1"/>
    </xf>
    <xf numFmtId="0" fontId="8" fillId="0" borderId="27" xfId="0" applyFont="1" applyFill="1" applyBorder="1" applyAlignment="1">
      <alignment horizontal="right" vertical="top" wrapText="1"/>
    </xf>
    <xf numFmtId="0" fontId="8" fillId="0" borderId="0" xfId="0" applyFont="1" applyFill="1" applyBorder="1" applyAlignment="1">
      <alignment horizontal="right" vertical="top" wrapText="1"/>
    </xf>
    <xf numFmtId="3" fontId="8" fillId="0" borderId="18" xfId="0" applyNumberFormat="1" applyFont="1" applyFill="1" applyBorder="1" applyAlignment="1">
      <alignment vertical="top" wrapText="1"/>
    </xf>
    <xf numFmtId="41" fontId="14" fillId="0" borderId="18" xfId="0" applyNumberFormat="1" applyFont="1" applyFill="1" applyBorder="1" applyAlignment="1">
      <alignment horizontal="right" vertical="top" wrapText="1"/>
    </xf>
    <xf numFmtId="179" fontId="14" fillId="0" borderId="12" xfId="0" applyNumberFormat="1" applyFont="1" applyFill="1" applyBorder="1" applyAlignment="1">
      <alignment horizontal="right" vertical="top" wrapText="1"/>
    </xf>
    <xf numFmtId="0" fontId="5" fillId="0" borderId="0" xfId="0" applyFont="1" applyFill="1" applyAlignment="1">
      <alignment vertical="center"/>
    </xf>
    <xf numFmtId="0" fontId="10" fillId="0" borderId="0" xfId="0" applyFont="1" applyFill="1" applyAlignment="1">
      <alignment vertical="center"/>
    </xf>
    <xf numFmtId="3" fontId="8" fillId="0" borderId="18" xfId="0" applyNumberFormat="1" applyFont="1" applyBorder="1" applyAlignment="1">
      <alignment horizontal="right" vertical="center" wrapText="1"/>
    </xf>
    <xf numFmtId="3" fontId="8" fillId="0" borderId="18" xfId="0" applyNumberFormat="1" applyFont="1" applyBorder="1" applyAlignment="1">
      <alignment horizontal="right" vertical="top" wrapText="1"/>
    </xf>
    <xf numFmtId="0" fontId="8" fillId="0" borderId="11" xfId="0" applyFont="1" applyBorder="1" applyAlignment="1">
      <alignment horizontal="justify" vertical="top" wrapText="1"/>
    </xf>
    <xf numFmtId="0" fontId="8" fillId="0" borderId="17" xfId="0" applyFont="1" applyBorder="1" applyAlignment="1">
      <alignment horizontal="justify" vertical="center" wrapText="1"/>
    </xf>
    <xf numFmtId="0" fontId="14" fillId="0" borderId="17" xfId="0" applyFont="1" applyBorder="1" applyAlignment="1">
      <alignment horizontal="justify" vertical="center" wrapText="1"/>
    </xf>
    <xf numFmtId="0" fontId="30" fillId="0" borderId="11" xfId="0" applyFont="1" applyBorder="1" applyAlignment="1">
      <alignment horizontal="center" vertical="top" wrapText="1"/>
    </xf>
    <xf numFmtId="0" fontId="14" fillId="0" borderId="21" xfId="0" applyFont="1" applyBorder="1" applyAlignment="1">
      <alignment horizontal="justify" vertical="center" wrapText="1"/>
    </xf>
    <xf numFmtId="179" fontId="14" fillId="0" borderId="12" xfId="0" applyNumberFormat="1" applyFont="1" applyBorder="1" applyAlignment="1">
      <alignment horizontal="right" vertical="center" wrapText="1"/>
    </xf>
    <xf numFmtId="0" fontId="20" fillId="0" borderId="35" xfId="0" applyFont="1" applyFill="1" applyBorder="1" applyAlignment="1">
      <alignment horizontal="center" vertical="center" wrapText="1"/>
    </xf>
    <xf numFmtId="180" fontId="8" fillId="0" borderId="0" xfId="0" applyNumberFormat="1" applyFont="1" applyFill="1">
      <alignment vertical="center"/>
    </xf>
    <xf numFmtId="0" fontId="27" fillId="0" borderId="0" xfId="0" applyFont="1" applyFill="1">
      <alignment vertical="center"/>
    </xf>
    <xf numFmtId="0" fontId="35" fillId="0" borderId="0" xfId="20" applyFont="1" applyAlignment="1">
      <alignment vertical="top"/>
    </xf>
    <xf numFmtId="0" fontId="22" fillId="0" borderId="15" xfId="20" applyFont="1" applyBorder="1" applyAlignment="1">
      <alignment vertical="top"/>
    </xf>
    <xf numFmtId="0" fontId="22" fillId="0" borderId="25" xfId="20" applyFont="1" applyBorder="1" applyAlignment="1">
      <alignment vertical="top"/>
    </xf>
    <xf numFmtId="179" fontId="22" fillId="0" borderId="16" xfId="20" applyNumberFormat="1" applyFont="1" applyBorder="1" applyAlignment="1">
      <alignment vertical="top"/>
    </xf>
    <xf numFmtId="0" fontId="8" fillId="0" borderId="15" xfId="0" applyFont="1" applyBorder="1" applyAlignment="1">
      <alignment horizontal="distributed" vertical="center" wrapText="1" indent="1"/>
    </xf>
    <xf numFmtId="0" fontId="8" fillId="0" borderId="16" xfId="0" applyFont="1" applyBorder="1" applyAlignment="1">
      <alignment horizontal="distributed" vertical="center" wrapText="1" indent="1"/>
    </xf>
    <xf numFmtId="0" fontId="20" fillId="0" borderId="14"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2" fillId="0" borderId="15" xfId="0" applyFont="1" applyFill="1" applyBorder="1" applyAlignment="1">
      <alignment horizontal="center" vertical="center" wrapText="1"/>
    </xf>
    <xf numFmtId="180" fontId="20" fillId="0" borderId="15" xfId="0" applyNumberFormat="1" applyFont="1" applyFill="1" applyBorder="1" applyAlignment="1">
      <alignment horizontal="center" vertical="center" wrapText="1"/>
    </xf>
    <xf numFmtId="0" fontId="8" fillId="0" borderId="17" xfId="0" applyFont="1" applyBorder="1" applyAlignment="1">
      <alignment horizontal="right" vertical="top" wrapText="1"/>
    </xf>
    <xf numFmtId="0" fontId="8" fillId="0" borderId="18" xfId="0" applyFont="1" applyBorder="1" applyAlignment="1">
      <alignment horizontal="right" vertical="top" wrapText="1"/>
    </xf>
    <xf numFmtId="41" fontId="14" fillId="0" borderId="17" xfId="0" applyNumberFormat="1" applyFont="1" applyBorder="1" applyAlignment="1">
      <alignment horizontal="right" vertical="top" wrapText="1"/>
    </xf>
    <xf numFmtId="41" fontId="14" fillId="0" borderId="18" xfId="0" applyNumberFormat="1" applyFont="1" applyBorder="1" applyAlignment="1">
      <alignment horizontal="right" vertical="top" wrapText="1"/>
    </xf>
    <xf numFmtId="178" fontId="14" fillId="0" borderId="11" xfId="21" applyNumberFormat="1" applyFont="1" applyBorder="1" applyAlignment="1">
      <alignment horizontal="right" vertical="top" wrapText="1"/>
    </xf>
    <xf numFmtId="41" fontId="8" fillId="0" borderId="17" xfId="0" applyNumberFormat="1" applyFont="1" applyBorder="1" applyAlignment="1">
      <alignment horizontal="right" vertical="top" wrapText="1"/>
    </xf>
    <xf numFmtId="41" fontId="8" fillId="0" borderId="18" xfId="0" applyNumberFormat="1" applyFont="1" applyBorder="1" applyAlignment="1">
      <alignment horizontal="right" vertical="top" wrapText="1"/>
    </xf>
    <xf numFmtId="178" fontId="8" fillId="0" borderId="11" xfId="21" applyNumberFormat="1" applyFont="1" applyBorder="1" applyAlignment="1">
      <alignment horizontal="right" vertical="top" wrapText="1"/>
    </xf>
    <xf numFmtId="41" fontId="14" fillId="0" borderId="11" xfId="0" applyNumberFormat="1" applyFont="1" applyBorder="1" applyAlignment="1">
      <alignment horizontal="right" vertical="top" wrapText="1"/>
    </xf>
    <xf numFmtId="41" fontId="8" fillId="0" borderId="21" xfId="0" applyNumberFormat="1" applyFont="1" applyBorder="1" applyAlignment="1">
      <alignment horizontal="right" vertical="top" wrapText="1"/>
    </xf>
    <xf numFmtId="178" fontId="8" fillId="0" borderId="13" xfId="21" applyNumberFormat="1" applyFont="1" applyBorder="1" applyAlignment="1">
      <alignment horizontal="right" vertical="top" wrapText="1"/>
    </xf>
    <xf numFmtId="179" fontId="14" fillId="0" borderId="17" xfId="0" applyNumberFormat="1" applyFont="1" applyFill="1" applyBorder="1" applyAlignment="1">
      <alignment horizontal="right" vertical="top" wrapText="1"/>
    </xf>
    <xf numFmtId="3" fontId="14" fillId="0" borderId="11" xfId="0" applyNumberFormat="1" applyFont="1" applyFill="1" applyBorder="1" applyAlignment="1">
      <alignment vertical="top"/>
    </xf>
    <xf numFmtId="3" fontId="14" fillId="0" borderId="11" xfId="0" applyNumberFormat="1" applyFont="1" applyFill="1" applyBorder="1" applyAlignment="1">
      <alignment horizontal="right" vertical="top" wrapText="1"/>
    </xf>
    <xf numFmtId="0" fontId="8" fillId="0" borderId="0" xfId="0" applyFont="1" applyFill="1" applyBorder="1" applyAlignment="1">
      <alignment horizontal="center" vertical="top"/>
    </xf>
    <xf numFmtId="0" fontId="8" fillId="0" borderId="0" xfId="0" applyFont="1" applyFill="1" applyAlignment="1">
      <alignment horizontal="center" vertical="top"/>
    </xf>
    <xf numFmtId="179" fontId="8" fillId="0" borderId="17" xfId="0" applyNumberFormat="1" applyFont="1" applyFill="1" applyBorder="1" applyAlignment="1">
      <alignment horizontal="right" vertical="top" wrapText="1"/>
    </xf>
    <xf numFmtId="3" fontId="8" fillId="0" borderId="11" xfId="0" applyNumberFormat="1" applyFont="1" applyFill="1" applyBorder="1" applyAlignment="1">
      <alignment horizontal="right" vertical="top" wrapText="1"/>
    </xf>
    <xf numFmtId="41" fontId="8" fillId="0" borderId="18" xfId="0" applyNumberFormat="1" applyFont="1" applyFill="1" applyBorder="1" applyAlignment="1">
      <alignment horizontal="right" vertical="top" wrapText="1"/>
    </xf>
    <xf numFmtId="41" fontId="8" fillId="0" borderId="17" xfId="0" applyNumberFormat="1" applyFont="1" applyFill="1" applyBorder="1" applyAlignment="1">
      <alignment horizontal="right" vertical="top" wrapText="1"/>
    </xf>
    <xf numFmtId="0" fontId="8" fillId="0" borderId="17" xfId="0" applyFont="1" applyFill="1" applyBorder="1" applyAlignment="1">
      <alignment horizontal="justify" vertical="top" wrapText="1"/>
    </xf>
    <xf numFmtId="41" fontId="8" fillId="0" borderId="21" xfId="0" applyNumberFormat="1" applyFont="1" applyFill="1" applyBorder="1" applyAlignment="1">
      <alignment horizontal="right" vertical="top" wrapText="1"/>
    </xf>
    <xf numFmtId="41" fontId="8" fillId="0" borderId="12" xfId="0" applyNumberFormat="1" applyFont="1" applyFill="1" applyBorder="1" applyAlignment="1">
      <alignment horizontal="right" vertical="top" wrapText="1"/>
    </xf>
    <xf numFmtId="0" fontId="8" fillId="0" borderId="32" xfId="0" applyFont="1" applyBorder="1" applyAlignment="1">
      <alignment horizontal="left" vertical="top" wrapText="1"/>
    </xf>
    <xf numFmtId="0" fontId="8" fillId="0" borderId="23" xfId="0" applyFont="1" applyBorder="1" applyAlignment="1">
      <alignment horizontal="left" vertical="top" wrapText="1"/>
    </xf>
    <xf numFmtId="41" fontId="34" fillId="0" borderId="18" xfId="0" applyNumberFormat="1" applyFont="1" applyFill="1" applyBorder="1" applyAlignment="1">
      <alignment horizontal="right" vertical="top" wrapText="1"/>
    </xf>
    <xf numFmtId="0" fontId="34" fillId="0" borderId="0" xfId="0" applyFont="1" applyFill="1" applyAlignment="1">
      <alignment vertical="top"/>
    </xf>
    <xf numFmtId="41" fontId="22" fillId="0" borderId="18" xfId="0" applyNumberFormat="1" applyFont="1" applyFill="1" applyBorder="1" applyAlignment="1">
      <alignment horizontal="right" vertical="top" wrapText="1"/>
    </xf>
    <xf numFmtId="0" fontId="22" fillId="0" borderId="0" xfId="0" applyFont="1" applyFill="1" applyAlignment="1">
      <alignment vertical="top"/>
    </xf>
    <xf numFmtId="0" fontId="8" fillId="0" borderId="21" xfId="0" applyFont="1" applyFill="1" applyBorder="1" applyAlignment="1">
      <alignment horizontal="justify" vertical="top" wrapText="1"/>
    </xf>
    <xf numFmtId="3" fontId="14" fillId="0" borderId="18" xfId="0" applyNumberFormat="1" applyFont="1" applyBorder="1" applyAlignment="1">
      <alignment vertical="top" wrapText="1"/>
    </xf>
    <xf numFmtId="3" fontId="14" fillId="0" borderId="18" xfId="0" applyNumberFormat="1" applyFont="1" applyBorder="1" applyAlignment="1">
      <alignment horizontal="right" vertical="top" wrapText="1"/>
    </xf>
    <xf numFmtId="0" fontId="17" fillId="0" borderId="0" xfId="0" applyFont="1" applyFill="1" applyAlignment="1">
      <alignment vertical="center"/>
    </xf>
    <xf numFmtId="10" fontId="8" fillId="0" borderId="18" xfId="0" applyNumberFormat="1" applyFont="1" applyFill="1" applyBorder="1" applyAlignment="1">
      <alignment horizontal="right" vertical="top" wrapText="1"/>
    </xf>
    <xf numFmtId="41" fontId="8" fillId="0" borderId="11" xfId="0" applyNumberFormat="1" applyFont="1" applyFill="1" applyBorder="1" applyAlignment="1">
      <alignment horizontal="right" vertical="top" wrapText="1"/>
    </xf>
    <xf numFmtId="179" fontId="14" fillId="0" borderId="27" xfId="0" applyNumberFormat="1" applyFont="1" applyBorder="1" applyAlignment="1">
      <alignment vertical="top"/>
    </xf>
    <xf numFmtId="179" fontId="14" fillId="0" borderId="18" xfId="0" applyNumberFormat="1" applyFont="1" applyBorder="1" applyAlignment="1">
      <alignment horizontal="right" vertical="top"/>
    </xf>
    <xf numFmtId="179" fontId="8" fillId="0" borderId="27" xfId="0" applyNumberFormat="1" applyFont="1" applyBorder="1" applyAlignment="1">
      <alignment vertical="top"/>
    </xf>
    <xf numFmtId="179" fontId="8" fillId="0" borderId="18" xfId="0" applyNumberFormat="1" applyFont="1" applyBorder="1" applyAlignment="1">
      <alignment horizontal="right" vertical="top"/>
    </xf>
    <xf numFmtId="179" fontId="14" fillId="0" borderId="18" xfId="20" applyNumberFormat="1" applyFont="1" applyFill="1" applyBorder="1" applyAlignment="1">
      <alignment vertical="top"/>
    </xf>
    <xf numFmtId="179" fontId="8" fillId="0" borderId="18" xfId="20" applyNumberFormat="1" applyFont="1" applyFill="1" applyBorder="1" applyAlignment="1">
      <alignment vertical="top"/>
    </xf>
    <xf numFmtId="179" fontId="8" fillId="0" borderId="12" xfId="20" applyNumberFormat="1" applyFont="1" applyFill="1" applyBorder="1" applyAlignment="1">
      <alignment vertical="top"/>
    </xf>
    <xf numFmtId="179" fontId="8" fillId="0" borderId="18" xfId="20" applyNumberFormat="1" applyFont="1" applyBorder="1" applyAlignment="1">
      <alignment vertical="top"/>
    </xf>
    <xf numFmtId="179" fontId="14" fillId="0" borderId="18" xfId="20" applyNumberFormat="1" applyFont="1" applyBorder="1" applyAlignment="1">
      <alignment vertical="top"/>
    </xf>
    <xf numFmtId="179" fontId="14" fillId="0" borderId="12" xfId="20" applyNumberFormat="1" applyFont="1" applyFill="1" applyBorder="1" applyAlignment="1">
      <alignment vertical="top"/>
    </xf>
    <xf numFmtId="179" fontId="14" fillId="0" borderId="27" xfId="0" applyNumberFormat="1" applyFont="1" applyFill="1" applyBorder="1" applyAlignment="1">
      <alignment vertical="top"/>
    </xf>
    <xf numFmtId="179" fontId="14" fillId="0" borderId="12" xfId="20" applyNumberFormat="1" applyFont="1" applyBorder="1" applyAlignment="1">
      <alignment vertical="top"/>
    </xf>
    <xf numFmtId="0" fontId="8" fillId="0" borderId="0" xfId="20" applyFont="1" applyAlignment="1">
      <alignment vertical="top"/>
    </xf>
    <xf numFmtId="183" fontId="14" fillId="0" borderId="0" xfId="0" applyNumberFormat="1" applyFont="1" applyFill="1" applyAlignment="1">
      <alignment vertical="top"/>
    </xf>
    <xf numFmtId="183" fontId="8" fillId="0" borderId="0" xfId="0" applyNumberFormat="1" applyFont="1" applyFill="1" applyAlignment="1">
      <alignment vertical="top"/>
    </xf>
    <xf numFmtId="41" fontId="8" fillId="0" borderId="13" xfId="0" applyNumberFormat="1" applyFont="1" applyFill="1" applyBorder="1" applyAlignment="1">
      <alignment horizontal="right" vertical="top" wrapText="1"/>
    </xf>
    <xf numFmtId="0" fontId="14" fillId="0" borderId="11" xfId="0" applyFont="1" applyFill="1" applyBorder="1" applyAlignment="1">
      <alignment horizontal="left" vertical="top" wrapText="1"/>
    </xf>
    <xf numFmtId="0" fontId="14" fillId="0" borderId="10" xfId="0" applyFont="1" applyFill="1" applyBorder="1" applyAlignment="1">
      <alignment horizontal="left" vertical="top" wrapText="1"/>
    </xf>
    <xf numFmtId="0" fontId="15" fillId="0" borderId="16" xfId="0" applyFont="1" applyBorder="1" applyAlignment="1">
      <alignment horizontal="distributed" vertical="top"/>
    </xf>
    <xf numFmtId="0" fontId="8" fillId="0" borderId="13" xfId="0" applyFont="1" applyBorder="1" applyAlignment="1">
      <alignment horizontal="left" vertical="top" wrapText="1"/>
    </xf>
    <xf numFmtId="0" fontId="8" fillId="0" borderId="21" xfId="0" applyFont="1" applyBorder="1" applyAlignment="1">
      <alignment horizontal="left" vertical="top" wrapText="1"/>
    </xf>
    <xf numFmtId="10" fontId="14" fillId="0" borderId="18" xfId="0" applyNumberFormat="1" applyFont="1" applyFill="1" applyBorder="1" applyAlignment="1">
      <alignment horizontal="right" vertical="top" wrapText="1"/>
    </xf>
    <xf numFmtId="178" fontId="14" fillId="0" borderId="18" xfId="0" applyNumberFormat="1" applyFont="1" applyFill="1" applyBorder="1" applyAlignment="1">
      <alignment horizontal="right" vertical="top" wrapText="1"/>
    </xf>
    <xf numFmtId="177" fontId="14" fillId="0" borderId="18" xfId="0" applyNumberFormat="1" applyFont="1" applyFill="1" applyBorder="1" applyAlignment="1">
      <alignment horizontal="right" vertical="top"/>
    </xf>
    <xf numFmtId="10" fontId="14" fillId="0" borderId="18" xfId="0" applyNumberFormat="1" applyFont="1" applyFill="1" applyBorder="1" applyAlignment="1">
      <alignment horizontal="right" vertical="top"/>
    </xf>
    <xf numFmtId="179" fontId="14" fillId="0" borderId="11" xfId="0" applyNumberFormat="1" applyFont="1" applyBorder="1" applyAlignment="1">
      <alignment vertical="top"/>
    </xf>
    <xf numFmtId="179" fontId="8" fillId="0" borderId="12" xfId="0" applyNumberFormat="1" applyFont="1" applyBorder="1" applyAlignment="1">
      <alignment horizontal="right" vertical="top"/>
    </xf>
    <xf numFmtId="181" fontId="14" fillId="0" borderId="30" xfId="0" applyNumberFormat="1" applyFont="1" applyFill="1" applyBorder="1" applyAlignment="1">
      <alignment vertical="top"/>
    </xf>
    <xf numFmtId="0" fontId="14" fillId="0" borderId="30" xfId="0" applyFont="1" applyFill="1" applyBorder="1" applyAlignment="1">
      <alignment horizontal="justify" vertical="top"/>
    </xf>
    <xf numFmtId="0" fontId="14" fillId="0" borderId="30" xfId="0" applyFont="1" applyFill="1" applyBorder="1" applyAlignment="1">
      <alignment vertical="top"/>
    </xf>
    <xf numFmtId="0" fontId="8" fillId="0" borderId="0" xfId="0" applyFont="1" applyFill="1" applyBorder="1" applyAlignment="1">
      <alignment vertical="top"/>
    </xf>
    <xf numFmtId="0" fontId="14" fillId="0" borderId="0" xfId="0" applyFont="1" applyFill="1" applyAlignment="1">
      <alignment vertical="center"/>
    </xf>
    <xf numFmtId="0" fontId="14" fillId="0" borderId="0" xfId="20" applyFont="1" applyAlignment="1">
      <alignment vertical="top"/>
    </xf>
    <xf numFmtId="0" fontId="14" fillId="0" borderId="17" xfId="20" applyFont="1" applyBorder="1" applyAlignment="1">
      <alignment vertical="top" wrapText="1"/>
    </xf>
    <xf numFmtId="0" fontId="14" fillId="0" borderId="0" xfId="20" applyFont="1" applyBorder="1" applyAlignment="1">
      <alignment vertical="top"/>
    </xf>
    <xf numFmtId="0" fontId="8" fillId="0" borderId="0" xfId="20" applyFont="1" applyBorder="1" applyAlignment="1">
      <alignment vertical="top"/>
    </xf>
    <xf numFmtId="0" fontId="8" fillId="0" borderId="11" xfId="0" applyNumberFormat="1" applyFont="1" applyBorder="1" applyAlignment="1">
      <alignment horizontal="justify" vertical="top" wrapText="1"/>
    </xf>
    <xf numFmtId="0" fontId="8" fillId="0" borderId="17" xfId="0" applyFont="1" applyBorder="1" applyAlignment="1">
      <alignment vertical="top" wrapText="1"/>
    </xf>
    <xf numFmtId="0" fontId="14" fillId="0" borderId="11" xfId="0" applyNumberFormat="1" applyFont="1" applyBorder="1" applyAlignment="1">
      <alignment horizontal="justify" vertical="top" wrapText="1"/>
    </xf>
    <xf numFmtId="0" fontId="14" fillId="0" borderId="0" xfId="0" applyFont="1" applyAlignment="1">
      <alignment vertical="top"/>
    </xf>
    <xf numFmtId="0" fontId="22" fillId="0" borderId="13" xfId="0" applyNumberFormat="1" applyFont="1" applyFill="1" applyBorder="1" applyAlignment="1">
      <alignment horizontal="justify" vertical="top" wrapText="1"/>
    </xf>
    <xf numFmtId="182" fontId="14" fillId="0" borderId="0" xfId="0" applyNumberFormat="1" applyFont="1" applyFill="1" applyBorder="1" applyAlignment="1">
      <alignment vertical="top" wrapText="1"/>
    </xf>
    <xf numFmtId="49" fontId="19" fillId="0" borderId="0" xfId="0" applyNumberFormat="1" applyFont="1" applyBorder="1" applyAlignment="1">
      <alignment vertical="top" wrapText="1"/>
    </xf>
    <xf numFmtId="49" fontId="19" fillId="0" borderId="36" xfId="0" applyNumberFormat="1" applyFont="1" applyBorder="1" applyAlignment="1">
      <alignment vertical="top" wrapText="1"/>
    </xf>
    <xf numFmtId="0" fontId="8" fillId="0" borderId="0" xfId="0" applyFont="1" applyBorder="1">
      <alignment vertical="center"/>
    </xf>
    <xf numFmtId="0" fontId="17" fillId="0" borderId="0" xfId="0" applyFont="1" applyBorder="1">
      <alignment vertical="center"/>
    </xf>
    <xf numFmtId="0" fontId="8" fillId="0" borderId="0" xfId="0" applyFont="1" applyBorder="1" applyAlignment="1">
      <alignment vertical="top"/>
    </xf>
    <xf numFmtId="0" fontId="15" fillId="0" borderId="0" xfId="0" applyFont="1" applyBorder="1" applyAlignment="1">
      <alignment horizontal="distributed" vertical="center" indent="2"/>
    </xf>
    <xf numFmtId="0" fontId="8" fillId="0" borderId="0" xfId="0" applyFont="1" applyBorder="1" applyAlignment="1">
      <alignment horizontal="center" vertical="top"/>
    </xf>
    <xf numFmtId="49" fontId="8" fillId="0" borderId="0" xfId="0" applyNumberFormat="1" applyFont="1" applyBorder="1" applyAlignment="1">
      <alignment horizontal="left" vertical="top"/>
    </xf>
    <xf numFmtId="0" fontId="8" fillId="0" borderId="0" xfId="0" applyFont="1" applyBorder="1" applyAlignment="1">
      <alignment horizontal="left" vertical="top" wrapText="1"/>
    </xf>
    <xf numFmtId="0" fontId="8" fillId="0" borderId="0" xfId="0" applyFont="1" applyBorder="1" applyAlignment="1">
      <alignment horizontal="left" vertical="top"/>
    </xf>
    <xf numFmtId="0" fontId="8" fillId="0" borderId="21" xfId="0" applyFont="1" applyFill="1" applyBorder="1" applyAlignment="1">
      <alignment vertical="center"/>
    </xf>
    <xf numFmtId="0" fontId="8" fillId="0" borderId="12" xfId="0" applyFont="1" applyFill="1" applyBorder="1" applyAlignment="1">
      <alignment vertical="center"/>
    </xf>
    <xf numFmtId="0" fontId="8" fillId="0" borderId="13" xfId="0" applyFont="1" applyFill="1" applyBorder="1" applyAlignment="1">
      <alignment vertical="center"/>
    </xf>
    <xf numFmtId="0" fontId="8" fillId="0" borderId="27" xfId="0" applyFont="1" applyFill="1" applyBorder="1" applyAlignment="1">
      <alignment vertical="top"/>
    </xf>
    <xf numFmtId="179" fontId="14" fillId="0" borderId="10" xfId="0" applyNumberFormat="1" applyFont="1" applyFill="1" applyBorder="1" applyAlignment="1">
      <alignment vertical="top"/>
    </xf>
    <xf numFmtId="0" fontId="13" fillId="0" borderId="30" xfId="0" applyFont="1" applyFill="1" applyBorder="1" applyAlignment="1">
      <alignment horizontal="left" vertical="top"/>
    </xf>
    <xf numFmtId="0" fontId="13" fillId="0" borderId="30" xfId="0" applyFont="1" applyFill="1" applyBorder="1" applyAlignment="1">
      <alignment horizontal="left" vertical="top" wrapText="1"/>
    </xf>
    <xf numFmtId="0" fontId="12" fillId="0" borderId="30" xfId="0" applyFont="1" applyFill="1" applyBorder="1" applyAlignment="1">
      <alignment horizontal="left" vertical="top" wrapText="1"/>
    </xf>
    <xf numFmtId="178" fontId="8" fillId="0" borderId="18" xfId="21" applyNumberFormat="1" applyFont="1" applyBorder="1" applyAlignment="1">
      <alignment horizontal="right" vertical="top" wrapText="1"/>
    </xf>
    <xf numFmtId="10" fontId="8" fillId="0" borderId="18" xfId="26" applyNumberFormat="1" applyFont="1" applyFill="1" applyBorder="1" applyAlignment="1">
      <alignment horizontal="right" vertical="top" wrapText="1"/>
    </xf>
    <xf numFmtId="0" fontId="31" fillId="0" borderId="27" xfId="0" applyFont="1" applyFill="1" applyBorder="1" applyAlignment="1">
      <alignment horizontal="justify" vertical="top" wrapText="1"/>
    </xf>
    <xf numFmtId="0" fontId="33" fillId="0" borderId="27" xfId="0" applyFont="1" applyFill="1" applyBorder="1" applyAlignment="1">
      <alignment horizontal="justify" vertical="top" wrapText="1"/>
    </xf>
    <xf numFmtId="0" fontId="33" fillId="0" borderId="27" xfId="0" applyFont="1" applyFill="1" applyBorder="1" applyAlignment="1">
      <alignment vertical="top" wrapText="1"/>
    </xf>
    <xf numFmtId="0" fontId="33" fillId="0" borderId="27" xfId="0" applyFont="1" applyFill="1" applyBorder="1" applyAlignment="1">
      <alignment horizontal="left" vertical="top" wrapText="1"/>
    </xf>
    <xf numFmtId="0" fontId="32" fillId="0" borderId="0" xfId="0" applyFont="1" applyFill="1">
      <alignment vertical="center"/>
    </xf>
    <xf numFmtId="43" fontId="8" fillId="0" borderId="0" xfId="0" applyNumberFormat="1" applyFont="1" applyFill="1">
      <alignment vertical="center"/>
    </xf>
    <xf numFmtId="0" fontId="33" fillId="0" borderId="32" xfId="0" applyFont="1" applyFill="1" applyBorder="1" applyAlignment="1">
      <alignment horizontal="justify" vertical="top" wrapText="1"/>
    </xf>
    <xf numFmtId="0" fontId="31" fillId="0" borderId="32" xfId="0" applyFont="1" applyFill="1" applyBorder="1" applyAlignment="1">
      <alignment horizontal="justify" vertical="top" wrapText="1"/>
    </xf>
    <xf numFmtId="0" fontId="8" fillId="0" borderId="15" xfId="20" applyFont="1" applyFill="1" applyBorder="1" applyAlignment="1">
      <alignment vertical="top"/>
    </xf>
    <xf numFmtId="0" fontId="8" fillId="0" borderId="25" xfId="20" applyFont="1" applyFill="1" applyBorder="1" applyAlignment="1">
      <alignment vertical="top"/>
    </xf>
    <xf numFmtId="179" fontId="22" fillId="0" borderId="16" xfId="20" applyNumberFormat="1" applyFont="1" applyFill="1" applyBorder="1" applyAlignment="1">
      <alignment vertical="top"/>
    </xf>
    <xf numFmtId="0" fontId="14" fillId="0" borderId="18" xfId="20" applyFont="1" applyFill="1" applyBorder="1" applyAlignment="1">
      <alignment vertical="top"/>
    </xf>
    <xf numFmtId="0" fontId="14" fillId="0" borderId="27" xfId="20" applyFont="1" applyFill="1" applyBorder="1" applyAlignment="1">
      <alignment vertical="top"/>
    </xf>
    <xf numFmtId="179" fontId="34" fillId="0" borderId="11" xfId="20" applyNumberFormat="1" applyFont="1" applyFill="1" applyBorder="1" applyAlignment="1">
      <alignment vertical="top"/>
    </xf>
    <xf numFmtId="0" fontId="14" fillId="0" borderId="0" xfId="20" applyFont="1" applyFill="1" applyAlignment="1">
      <alignment vertical="top"/>
    </xf>
    <xf numFmtId="0" fontId="8" fillId="0" borderId="36" xfId="0" applyFont="1" applyFill="1" applyBorder="1" applyAlignment="1">
      <alignment vertical="top"/>
    </xf>
    <xf numFmtId="0" fontId="8" fillId="0" borderId="0" xfId="20" applyFont="1" applyFill="1" applyAlignment="1">
      <alignment vertical="top"/>
    </xf>
    <xf numFmtId="182" fontId="14" fillId="0" borderId="12" xfId="0" applyNumberFormat="1" applyFont="1" applyFill="1" applyBorder="1" applyAlignment="1">
      <alignment vertical="top" wrapText="1"/>
    </xf>
    <xf numFmtId="180" fontId="20" fillId="0" borderId="28" xfId="0" applyNumberFormat="1" applyFont="1" applyFill="1" applyBorder="1" applyAlignment="1">
      <alignment horizontal="center" vertical="center" wrapText="1"/>
    </xf>
    <xf numFmtId="176" fontId="20" fillId="0" borderId="28" xfId="0" applyNumberFormat="1" applyFont="1" applyFill="1" applyBorder="1" applyAlignment="1">
      <alignment horizontal="center" vertical="center" wrapText="1"/>
    </xf>
    <xf numFmtId="0" fontId="20" fillId="0" borderId="44" xfId="0" applyFont="1" applyFill="1" applyBorder="1" applyAlignment="1">
      <alignment horizontal="center" vertical="center" wrapText="1"/>
    </xf>
    <xf numFmtId="176" fontId="20" fillId="0" borderId="15" xfId="0" applyNumberFormat="1" applyFont="1" applyFill="1" applyBorder="1" applyAlignment="1">
      <alignment horizontal="center" vertical="center" wrapText="1"/>
    </xf>
    <xf numFmtId="176" fontId="8" fillId="0" borderId="0" xfId="0" applyNumberFormat="1" applyFont="1" applyFill="1">
      <alignment vertical="center"/>
    </xf>
    <xf numFmtId="0" fontId="55" fillId="0" borderId="28" xfId="0" applyFont="1" applyFill="1" applyBorder="1" applyAlignment="1">
      <alignment horizontal="justify" vertical="top" wrapText="1"/>
    </xf>
    <xf numFmtId="180" fontId="27" fillId="0" borderId="28" xfId="0" applyNumberFormat="1" applyFont="1" applyFill="1" applyBorder="1">
      <alignment vertical="center"/>
    </xf>
    <xf numFmtId="184" fontId="27" fillId="0" borderId="28" xfId="0" applyNumberFormat="1" applyFont="1" applyFill="1" applyBorder="1">
      <alignment vertical="center"/>
    </xf>
    <xf numFmtId="176" fontId="27" fillId="0" borderId="28" xfId="0" applyNumberFormat="1" applyFont="1" applyFill="1" applyBorder="1">
      <alignment vertical="center"/>
    </xf>
    <xf numFmtId="178" fontId="27" fillId="0" borderId="28" xfId="0" applyNumberFormat="1" applyFont="1" applyFill="1" applyBorder="1">
      <alignment vertical="center"/>
    </xf>
    <xf numFmtId="43" fontId="27" fillId="0" borderId="28" xfId="0" applyNumberFormat="1" applyFont="1" applyFill="1" applyBorder="1">
      <alignment vertical="center"/>
    </xf>
    <xf numFmtId="0" fontId="55" fillId="0" borderId="28" xfId="0" applyFont="1" applyFill="1" applyBorder="1">
      <alignment vertical="center"/>
    </xf>
    <xf numFmtId="0" fontId="12" fillId="0" borderId="31" xfId="0" applyFont="1" applyFill="1" applyBorder="1" applyAlignment="1">
      <alignment horizontal="left" vertical="top" wrapText="1"/>
    </xf>
    <xf numFmtId="185" fontId="27" fillId="0" borderId="28" xfId="0" applyNumberFormat="1" applyFont="1" applyFill="1" applyBorder="1">
      <alignment vertical="center"/>
    </xf>
    <xf numFmtId="0" fontId="8" fillId="0" borderId="17" xfId="0" applyNumberFormat="1" applyFont="1" applyBorder="1" applyAlignment="1">
      <alignment vertical="top" wrapText="1"/>
    </xf>
    <xf numFmtId="3" fontId="8" fillId="0" borderId="12" xfId="0" applyNumberFormat="1" applyFont="1" applyFill="1" applyBorder="1" applyAlignment="1">
      <alignment vertical="top"/>
    </xf>
    <xf numFmtId="0" fontId="8" fillId="0" borderId="0" xfId="0" applyFont="1" applyFill="1" applyBorder="1" applyAlignment="1">
      <alignment horizontal="center" vertical="top" wrapText="1"/>
    </xf>
    <xf numFmtId="0" fontId="8" fillId="0" borderId="0" xfId="0" applyFont="1" applyFill="1" applyBorder="1" applyAlignment="1">
      <alignment horizontal="justify" vertical="top" wrapText="1"/>
    </xf>
    <xf numFmtId="3" fontId="8" fillId="0" borderId="0" xfId="0" applyNumberFormat="1" applyFont="1" applyFill="1" applyBorder="1" applyAlignment="1">
      <alignment vertical="top"/>
    </xf>
    <xf numFmtId="49" fontId="8" fillId="0" borderId="22" xfId="0" applyNumberFormat="1" applyFont="1" applyBorder="1" applyAlignment="1">
      <alignment horizontal="left" vertical="top"/>
    </xf>
    <xf numFmtId="178" fontId="56" fillId="0" borderId="17" xfId="0" applyNumberFormat="1" applyFont="1" applyFill="1" applyBorder="1" applyAlignment="1">
      <alignment horizontal="right" vertical="top" wrapText="1"/>
    </xf>
    <xf numFmtId="43" fontId="56" fillId="0" borderId="30" xfId="0" applyNumberFormat="1" applyFont="1" applyFill="1" applyBorder="1" applyAlignment="1">
      <alignment horizontal="right" vertical="top" wrapText="1"/>
    </xf>
    <xf numFmtId="178" fontId="27" fillId="0" borderId="17" xfId="0" applyNumberFormat="1" applyFont="1" applyFill="1" applyBorder="1" applyAlignment="1">
      <alignment horizontal="right" vertical="top" wrapText="1"/>
    </xf>
    <xf numFmtId="43" fontId="27" fillId="0" borderId="30" xfId="0" applyNumberFormat="1" applyFont="1" applyFill="1" applyBorder="1" applyAlignment="1">
      <alignment horizontal="right" vertical="top" wrapText="1"/>
    </xf>
    <xf numFmtId="178" fontId="27" fillId="0" borderId="21" xfId="0" applyNumberFormat="1" applyFont="1" applyFill="1" applyBorder="1" applyAlignment="1">
      <alignment horizontal="right" vertical="top" wrapText="1"/>
    </xf>
    <xf numFmtId="43" fontId="27" fillId="0" borderId="31" xfId="0" applyNumberFormat="1" applyFont="1" applyFill="1" applyBorder="1" applyAlignment="1">
      <alignment horizontal="right" vertical="top" wrapText="1"/>
    </xf>
    <xf numFmtId="43" fontId="56" fillId="0" borderId="31" xfId="0" applyNumberFormat="1" applyFont="1" applyFill="1" applyBorder="1" applyAlignment="1">
      <alignment horizontal="right" vertical="top" wrapText="1"/>
    </xf>
    <xf numFmtId="179" fontId="56" fillId="0" borderId="17" xfId="0" applyNumberFormat="1" applyFont="1" applyFill="1" applyBorder="1" applyAlignment="1">
      <alignment horizontal="right" vertical="top" wrapText="1"/>
    </xf>
    <xf numFmtId="181" fontId="56" fillId="0" borderId="30" xfId="0" applyNumberFormat="1" applyFont="1" applyFill="1" applyBorder="1" applyAlignment="1">
      <alignment horizontal="right" vertical="top" wrapText="1"/>
    </xf>
    <xf numFmtId="178" fontId="56" fillId="0" borderId="17" xfId="21" applyNumberFormat="1" applyFont="1" applyFill="1" applyBorder="1" applyAlignment="1">
      <alignment horizontal="right" vertical="top" wrapText="1"/>
    </xf>
    <xf numFmtId="178" fontId="56" fillId="0" borderId="21" xfId="21" applyNumberFormat="1" applyFont="1" applyFill="1" applyBorder="1" applyAlignment="1">
      <alignment horizontal="right" vertical="top" wrapText="1"/>
    </xf>
    <xf numFmtId="178" fontId="56" fillId="0" borderId="18" xfId="0" applyNumberFormat="1" applyFont="1" applyFill="1" applyBorder="1" applyAlignment="1">
      <alignment horizontal="right" vertical="top" wrapText="1"/>
    </xf>
    <xf numFmtId="43" fontId="56" fillId="0" borderId="0" xfId="0" applyNumberFormat="1" applyFont="1" applyFill="1" applyBorder="1" applyAlignment="1">
      <alignment horizontal="right" vertical="top" wrapText="1"/>
    </xf>
    <xf numFmtId="43" fontId="56" fillId="0" borderId="11" xfId="0" applyNumberFormat="1" applyFont="1" applyFill="1" applyBorder="1" applyAlignment="1">
      <alignment horizontal="right" vertical="top" wrapText="1"/>
    </xf>
    <xf numFmtId="178" fontId="27" fillId="0" borderId="18" xfId="0" applyNumberFormat="1" applyFont="1" applyFill="1" applyBorder="1" applyAlignment="1">
      <alignment horizontal="right" vertical="top" wrapText="1"/>
    </xf>
    <xf numFmtId="43" fontId="27" fillId="0" borderId="0" xfId="0" applyNumberFormat="1" applyFont="1" applyFill="1" applyBorder="1" applyAlignment="1">
      <alignment horizontal="right" vertical="top" wrapText="1"/>
    </xf>
    <xf numFmtId="43" fontId="27" fillId="0" borderId="11" xfId="0" applyNumberFormat="1" applyFont="1" applyFill="1" applyBorder="1" applyAlignment="1">
      <alignment horizontal="right" vertical="top" wrapText="1"/>
    </xf>
    <xf numFmtId="179" fontId="27" fillId="0" borderId="18" xfId="0" applyNumberFormat="1" applyFont="1" applyFill="1" applyBorder="1" applyAlignment="1">
      <alignment horizontal="right" vertical="top" wrapText="1"/>
    </xf>
    <xf numFmtId="181" fontId="27" fillId="0" borderId="11" xfId="0" applyNumberFormat="1" applyFont="1" applyFill="1" applyBorder="1" applyAlignment="1">
      <alignment horizontal="right" vertical="top" wrapText="1"/>
    </xf>
    <xf numFmtId="178" fontId="27" fillId="0" borderId="12" xfId="0" applyNumberFormat="1" applyFont="1" applyFill="1" applyBorder="1" applyAlignment="1">
      <alignment horizontal="right" vertical="top" wrapText="1"/>
    </xf>
    <xf numFmtId="43" fontId="27" fillId="0" borderId="36" xfId="0" applyNumberFormat="1" applyFont="1" applyFill="1" applyBorder="1" applyAlignment="1">
      <alignment horizontal="right" vertical="top" wrapText="1"/>
    </xf>
    <xf numFmtId="179" fontId="56" fillId="0" borderId="18" xfId="0" applyNumberFormat="1" applyFont="1" applyFill="1" applyBorder="1" applyAlignment="1">
      <alignment horizontal="right" vertical="top" wrapText="1"/>
    </xf>
    <xf numFmtId="181" fontId="56" fillId="0" borderId="11" xfId="0" applyNumberFormat="1" applyFont="1" applyFill="1" applyBorder="1" applyAlignment="1">
      <alignment horizontal="right" vertical="top" wrapText="1"/>
    </xf>
    <xf numFmtId="178" fontId="56" fillId="0" borderId="12" xfId="0" applyNumberFormat="1" applyFont="1" applyFill="1" applyBorder="1" applyAlignment="1">
      <alignment horizontal="right" vertical="top" wrapText="1"/>
    </xf>
    <xf numFmtId="43" fontId="56" fillId="0" borderId="36" xfId="0" applyNumberFormat="1" applyFont="1" applyFill="1" applyBorder="1" applyAlignment="1">
      <alignment horizontal="right" vertical="top" wrapText="1"/>
    </xf>
    <xf numFmtId="178" fontId="56" fillId="0" borderId="18" xfId="21" applyNumberFormat="1" applyFont="1" applyFill="1" applyBorder="1" applyAlignment="1">
      <alignment horizontal="right" vertical="top" wrapText="1"/>
    </xf>
    <xf numFmtId="178" fontId="56" fillId="0" borderId="12" xfId="21" applyNumberFormat="1" applyFont="1" applyFill="1" applyBorder="1" applyAlignment="1">
      <alignment horizontal="right" vertical="top" wrapText="1"/>
    </xf>
    <xf numFmtId="0" fontId="8" fillId="0" borderId="13" xfId="0" applyNumberFormat="1" applyFont="1" applyBorder="1" applyAlignment="1">
      <alignment horizontal="justify" vertical="top" wrapText="1"/>
    </xf>
    <xf numFmtId="10" fontId="8" fillId="0" borderId="12" xfId="0" applyNumberFormat="1" applyFont="1" applyFill="1" applyBorder="1" applyAlignment="1">
      <alignment horizontal="right" vertical="top" wrapText="1"/>
    </xf>
    <xf numFmtId="41" fontId="22" fillId="0" borderId="18" xfId="21" applyNumberFormat="1" applyFont="1" applyFill="1" applyBorder="1" applyAlignment="1">
      <alignment horizontal="right" vertical="top" wrapText="1"/>
    </xf>
    <xf numFmtId="178" fontId="8" fillId="0" borderId="12" xfId="21" applyNumberFormat="1" applyFont="1" applyBorder="1" applyAlignment="1">
      <alignment horizontal="right" vertical="top" wrapText="1"/>
    </xf>
    <xf numFmtId="41" fontId="34" fillId="0" borderId="27" xfId="0" applyNumberFormat="1" applyFont="1" applyFill="1" applyBorder="1" applyAlignment="1">
      <alignment horizontal="right" vertical="top" wrapText="1"/>
    </xf>
    <xf numFmtId="41" fontId="22" fillId="0" borderId="27" xfId="0" applyNumberFormat="1" applyFont="1" applyFill="1" applyBorder="1" applyAlignment="1">
      <alignment horizontal="right" vertical="top" wrapText="1"/>
    </xf>
    <xf numFmtId="179" fontId="27" fillId="0" borderId="12" xfId="0" applyNumberFormat="1" applyFont="1" applyFill="1" applyBorder="1" applyAlignment="1">
      <alignment horizontal="right" vertical="top" wrapText="1"/>
    </xf>
    <xf numFmtId="181" fontId="27" fillId="0" borderId="13" xfId="0" applyNumberFormat="1" applyFont="1" applyFill="1" applyBorder="1" applyAlignment="1">
      <alignment horizontal="right" vertical="top" wrapText="1"/>
    </xf>
    <xf numFmtId="3" fontId="8" fillId="0" borderId="30" xfId="0" applyNumberFormat="1" applyFont="1" applyFill="1" applyBorder="1" applyAlignment="1">
      <alignment horizontal="right" vertical="top" wrapText="1"/>
    </xf>
    <xf numFmtId="178" fontId="8" fillId="0" borderId="17" xfId="21" applyNumberFormat="1" applyFont="1" applyBorder="1" applyAlignment="1">
      <alignment horizontal="right" vertical="top" wrapText="1"/>
    </xf>
    <xf numFmtId="0" fontId="8" fillId="0" borderId="0" xfId="0" applyFont="1" applyFill="1" applyBorder="1" applyAlignment="1">
      <alignment horizontal="left" vertical="top" wrapText="1"/>
    </xf>
    <xf numFmtId="0" fontId="8" fillId="0" borderId="22" xfId="0" applyFont="1" applyFill="1" applyBorder="1" applyAlignment="1">
      <alignment horizontal="center" vertical="top"/>
    </xf>
    <xf numFmtId="49" fontId="8" fillId="0" borderId="0" xfId="0" applyNumberFormat="1" applyFont="1" applyFill="1" applyBorder="1" applyAlignment="1">
      <alignment horizontal="left" vertical="top"/>
    </xf>
    <xf numFmtId="49" fontId="8" fillId="0" borderId="22" xfId="0" applyNumberFormat="1" applyFont="1" applyFill="1" applyBorder="1" applyAlignment="1">
      <alignment horizontal="left" vertical="top"/>
    </xf>
    <xf numFmtId="0" fontId="8" fillId="0" borderId="10" xfId="0" applyFont="1" applyFill="1" applyBorder="1" applyAlignment="1">
      <alignment vertical="top"/>
    </xf>
    <xf numFmtId="0" fontId="8" fillId="0" borderId="11" xfId="0" applyFont="1" applyFill="1" applyBorder="1" applyAlignment="1">
      <alignment horizontal="left" vertical="top" wrapText="1"/>
    </xf>
    <xf numFmtId="0" fontId="17" fillId="0" borderId="39" xfId="0" applyFont="1" applyFill="1" applyBorder="1" applyAlignment="1">
      <alignment horizontal="center" vertical="center"/>
    </xf>
    <xf numFmtId="0" fontId="17" fillId="0" borderId="40" xfId="0" applyFont="1" applyFill="1" applyBorder="1" applyAlignment="1">
      <alignment horizontal="center" vertical="center"/>
    </xf>
    <xf numFmtId="0" fontId="17" fillId="0" borderId="41" xfId="0" applyFont="1" applyFill="1" applyBorder="1" applyAlignment="1">
      <alignment horizontal="center" vertical="center"/>
    </xf>
    <xf numFmtId="0" fontId="17" fillId="0" borderId="0" xfId="0" applyFont="1" applyFill="1" applyBorder="1" applyAlignment="1">
      <alignment vertical="center"/>
    </xf>
    <xf numFmtId="0" fontId="17" fillId="0" borderId="0" xfId="0" applyFont="1" applyFill="1">
      <alignment vertical="center"/>
    </xf>
    <xf numFmtId="0" fontId="17" fillId="0" borderId="0" xfId="0" applyFont="1" applyFill="1" applyAlignment="1">
      <alignment vertical="top"/>
    </xf>
    <xf numFmtId="0" fontId="17" fillId="0" borderId="10" xfId="0" applyFont="1" applyFill="1" applyBorder="1" applyAlignment="1">
      <alignment horizontal="left" vertical="top"/>
    </xf>
    <xf numFmtId="0" fontId="17" fillId="0" borderId="0" xfId="0" applyFont="1" applyFill="1" applyAlignment="1">
      <alignment horizontal="left" vertical="top"/>
    </xf>
    <xf numFmtId="0" fontId="17" fillId="0" borderId="10" xfId="0" applyFont="1" applyFill="1" applyBorder="1" applyAlignment="1">
      <alignment horizontal="left"/>
    </xf>
    <xf numFmtId="0" fontId="17" fillId="0" borderId="0" xfId="0" applyFont="1" applyFill="1" applyBorder="1" applyAlignment="1">
      <alignment horizontal="left" wrapText="1"/>
    </xf>
    <xf numFmtId="0" fontId="17" fillId="0" borderId="22" xfId="0" applyFont="1" applyFill="1" applyBorder="1" applyAlignment="1">
      <alignment horizontal="left" wrapText="1"/>
    </xf>
    <xf numFmtId="0" fontId="8" fillId="0" borderId="42" xfId="0" applyFont="1" applyFill="1" applyBorder="1">
      <alignment vertical="center"/>
    </xf>
    <xf numFmtId="0" fontId="8" fillId="0" borderId="36" xfId="0" applyFont="1" applyFill="1" applyBorder="1">
      <alignment vertical="center"/>
    </xf>
    <xf numFmtId="0" fontId="8" fillId="0" borderId="23" xfId="0" applyFont="1" applyFill="1" applyBorder="1">
      <alignment vertical="center"/>
    </xf>
    <xf numFmtId="41" fontId="34" fillId="0" borderId="0" xfId="0" applyNumberFormat="1" applyFont="1" applyFill="1" applyBorder="1" applyAlignment="1">
      <alignment horizontal="right" vertical="top" wrapText="1"/>
    </xf>
    <xf numFmtId="0" fontId="8" fillId="0" borderId="13" xfId="0" applyFont="1" applyFill="1" applyBorder="1" applyAlignment="1">
      <alignment horizontal="left" vertical="top" wrapText="1"/>
    </xf>
    <xf numFmtId="179" fontId="14" fillId="0" borderId="27" xfId="20" applyNumberFormat="1" applyFont="1" applyFill="1" applyBorder="1" applyAlignment="1">
      <alignment vertical="top"/>
    </xf>
    <xf numFmtId="0" fontId="34" fillId="0" borderId="11" xfId="0" applyNumberFormat="1" applyFont="1" applyFill="1" applyBorder="1" applyAlignment="1">
      <alignment horizontal="justify" vertical="top" wrapText="1"/>
    </xf>
    <xf numFmtId="0" fontId="22" fillId="0" borderId="11" xfId="0" applyNumberFormat="1" applyFont="1" applyFill="1" applyBorder="1" applyAlignment="1">
      <alignment vertical="top" wrapText="1"/>
    </xf>
    <xf numFmtId="0" fontId="22" fillId="0" borderId="11" xfId="0" applyNumberFormat="1" applyFont="1" applyFill="1" applyBorder="1" applyAlignment="1">
      <alignment vertical="center" wrapText="1"/>
    </xf>
    <xf numFmtId="43" fontId="27" fillId="0" borderId="18" xfId="0" applyNumberFormat="1" applyFont="1" applyFill="1" applyBorder="1" applyAlignment="1">
      <alignment horizontal="right" vertical="top" wrapText="1"/>
    </xf>
    <xf numFmtId="0" fontId="17" fillId="0" borderId="0" xfId="0" applyFont="1" applyFill="1" applyBorder="1" applyAlignment="1">
      <alignment vertical="top"/>
    </xf>
    <xf numFmtId="41" fontId="8" fillId="0" borderId="10" xfId="0" applyNumberFormat="1" applyFont="1" applyFill="1" applyBorder="1" applyAlignment="1">
      <alignment horizontal="right" vertical="top" wrapText="1"/>
    </xf>
    <xf numFmtId="41" fontId="14" fillId="0" borderId="10" xfId="0" applyNumberFormat="1" applyFont="1" applyFill="1" applyBorder="1" applyAlignment="1">
      <alignment horizontal="right" vertical="top" wrapText="1"/>
    </xf>
    <xf numFmtId="0" fontId="14" fillId="0" borderId="17" xfId="0" applyFont="1" applyFill="1" applyBorder="1" applyAlignment="1">
      <alignment horizontal="left" vertical="top" wrapText="1"/>
    </xf>
    <xf numFmtId="3" fontId="8" fillId="0" borderId="27" xfId="0" applyNumberFormat="1" applyFont="1" applyFill="1" applyBorder="1" applyAlignment="1">
      <alignment horizontal="right" vertical="top" wrapText="1"/>
    </xf>
    <xf numFmtId="3" fontId="8" fillId="0" borderId="0" xfId="0" applyNumberFormat="1" applyFont="1" applyFill="1" applyBorder="1" applyAlignment="1">
      <alignment horizontal="right" vertical="top" wrapText="1"/>
    </xf>
    <xf numFmtId="3" fontId="14" fillId="0" borderId="27" xfId="0" applyNumberFormat="1" applyFont="1" applyFill="1" applyBorder="1" applyAlignment="1">
      <alignment horizontal="right" vertical="top" wrapText="1"/>
    </xf>
    <xf numFmtId="3" fontId="14" fillId="0" borderId="0" xfId="0" applyNumberFormat="1" applyFont="1" applyFill="1" applyBorder="1" applyAlignment="1">
      <alignment horizontal="right" vertical="top" wrapText="1"/>
    </xf>
    <xf numFmtId="0" fontId="8" fillId="0" borderId="22" xfId="0" applyFont="1" applyFill="1" applyBorder="1" applyAlignment="1">
      <alignment horizontal="justify" vertical="top" wrapText="1"/>
    </xf>
    <xf numFmtId="41" fontId="14" fillId="0" borderId="27" xfId="0" applyNumberFormat="1" applyFont="1" applyFill="1" applyBorder="1" applyAlignment="1">
      <alignment horizontal="right" vertical="top" wrapText="1"/>
    </xf>
    <xf numFmtId="41" fontId="14" fillId="0" borderId="0" xfId="0" applyNumberFormat="1" applyFont="1" applyFill="1" applyBorder="1" applyAlignment="1">
      <alignment horizontal="right" vertical="top" wrapText="1"/>
    </xf>
    <xf numFmtId="41" fontId="8" fillId="0" borderId="27" xfId="0" applyNumberFormat="1" applyFont="1" applyFill="1" applyBorder="1" applyAlignment="1">
      <alignment horizontal="right" vertical="top" wrapText="1"/>
    </xf>
    <xf numFmtId="41" fontId="8" fillId="0" borderId="0" xfId="0" applyNumberFormat="1" applyFont="1" applyFill="1" applyBorder="1" applyAlignment="1">
      <alignment horizontal="right" vertical="top" wrapText="1"/>
    </xf>
    <xf numFmtId="0" fontId="22" fillId="0" borderId="22" xfId="0" applyFont="1" applyFill="1" applyBorder="1" applyAlignment="1">
      <alignment horizontal="center" vertical="top" wrapText="1"/>
    </xf>
    <xf numFmtId="179" fontId="14" fillId="0" borderId="27" xfId="0" applyNumberFormat="1" applyFont="1" applyFill="1" applyBorder="1" applyAlignment="1">
      <alignment horizontal="right" vertical="top" wrapText="1"/>
    </xf>
    <xf numFmtId="179" fontId="14" fillId="0" borderId="0" xfId="0" applyNumberFormat="1" applyFont="1" applyFill="1" applyBorder="1" applyAlignment="1">
      <alignment horizontal="right" vertical="top" wrapText="1"/>
    </xf>
    <xf numFmtId="0" fontId="22" fillId="0" borderId="22" xfId="0" applyFont="1" applyFill="1" applyBorder="1" applyAlignment="1">
      <alignment horizontal="justify" vertical="top" wrapText="1"/>
    </xf>
    <xf numFmtId="0" fontId="14" fillId="0" borderId="21" xfId="0" applyFont="1" applyFill="1" applyBorder="1" applyAlignment="1">
      <alignment horizontal="left" vertical="top" wrapText="1"/>
    </xf>
    <xf numFmtId="179" fontId="14" fillId="0" borderId="32" xfId="0" applyNumberFormat="1" applyFont="1" applyFill="1" applyBorder="1" applyAlignment="1">
      <alignment horizontal="right" vertical="top" wrapText="1"/>
    </xf>
    <xf numFmtId="179" fontId="14" fillId="0" borderId="36" xfId="0" applyNumberFormat="1" applyFont="1" applyFill="1" applyBorder="1" applyAlignment="1">
      <alignment horizontal="right" vertical="top" wrapText="1"/>
    </xf>
    <xf numFmtId="0" fontId="22" fillId="0" borderId="23" xfId="0" applyFont="1" applyFill="1" applyBorder="1" applyAlignment="1">
      <alignment horizontal="justify" vertical="top" wrapText="1"/>
    </xf>
    <xf numFmtId="43" fontId="27" fillId="0" borderId="12" xfId="0" applyNumberFormat="1" applyFont="1" applyFill="1" applyBorder="1" applyAlignment="1">
      <alignment horizontal="right" vertical="top" wrapText="1"/>
    </xf>
    <xf numFmtId="0" fontId="66" fillId="0" borderId="0" xfId="0" applyFont="1" applyFill="1" applyAlignment="1">
      <alignment vertical="top"/>
    </xf>
    <xf numFmtId="41" fontId="8" fillId="0" borderId="11" xfId="0" applyNumberFormat="1" applyFont="1" applyBorder="1" applyAlignment="1">
      <alignment vertical="top"/>
    </xf>
    <xf numFmtId="178" fontId="8" fillId="0" borderId="18" xfId="21" applyNumberFormat="1" applyFont="1" applyFill="1" applyBorder="1" applyAlignment="1">
      <alignment horizontal="right" vertical="top" wrapText="1"/>
    </xf>
    <xf numFmtId="178" fontId="8" fillId="0" borderId="11" xfId="21" applyNumberFormat="1" applyFont="1" applyFill="1" applyBorder="1" applyAlignment="1">
      <alignment horizontal="right" vertical="top" wrapText="1"/>
    </xf>
    <xf numFmtId="0" fontId="8" fillId="0" borderId="0" xfId="0" applyFont="1" applyFill="1" applyBorder="1" applyAlignment="1">
      <alignment horizontal="center" vertical="center"/>
    </xf>
    <xf numFmtId="0" fontId="8" fillId="0" borderId="24" xfId="0" applyFont="1" applyFill="1" applyBorder="1" applyAlignment="1">
      <alignment horizontal="distributed" vertical="center" wrapText="1" indent="1"/>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6" xfId="0" applyFont="1" applyFill="1" applyBorder="1" applyAlignment="1">
      <alignment horizontal="distributed" vertical="center" wrapText="1" indent="1"/>
    </xf>
    <xf numFmtId="0" fontId="15" fillId="0" borderId="45" xfId="0" applyFont="1" applyBorder="1" applyAlignment="1">
      <alignment horizontal="distributed" vertical="center" indent="2"/>
    </xf>
    <xf numFmtId="0" fontId="8" fillId="0" borderId="35" xfId="0" applyFont="1" applyBorder="1" applyAlignment="1">
      <alignment horizontal="distributed" vertical="center" wrapText="1" indent="1"/>
    </xf>
    <xf numFmtId="0" fontId="8" fillId="0" borderId="14" xfId="0" applyFont="1" applyBorder="1" applyAlignment="1">
      <alignment horizontal="distributed" vertical="center" wrapText="1" indent="1"/>
    </xf>
    <xf numFmtId="0" fontId="8" fillId="0" borderId="18" xfId="0" applyFont="1" applyBorder="1" applyAlignment="1">
      <alignment horizontal="left" vertical="top" wrapText="1"/>
    </xf>
    <xf numFmtId="0" fontId="19" fillId="24" borderId="11" xfId="0" applyFont="1" applyFill="1" applyBorder="1" applyAlignment="1">
      <alignment vertical="top" wrapText="1"/>
    </xf>
    <xf numFmtId="0" fontId="8" fillId="0" borderId="19"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5" fillId="0" borderId="19" xfId="0" applyFont="1" applyBorder="1" applyAlignment="1">
      <alignment horizontal="distributed" vertical="center" indent="2"/>
    </xf>
    <xf numFmtId="0" fontId="15" fillId="0" borderId="20" xfId="0" applyFont="1" applyBorder="1" applyAlignment="1">
      <alignment horizontal="distributed" vertical="center" indent="2"/>
    </xf>
    <xf numFmtId="0" fontId="8" fillId="0" borderId="0" xfId="0" applyFont="1" applyBorder="1" applyAlignment="1">
      <alignment vertical="top" wrapText="1"/>
    </xf>
    <xf numFmtId="0" fontId="14" fillId="0" borderId="22" xfId="0" applyFont="1" applyFill="1" applyBorder="1" applyAlignment="1">
      <alignment horizontal="justify" vertical="top" wrapText="1"/>
    </xf>
    <xf numFmtId="0" fontId="8" fillId="0" borderId="19"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34" xfId="0" applyFont="1" applyBorder="1" applyAlignment="1">
      <alignment horizontal="distributed" vertical="center" wrapText="1" indent="1"/>
    </xf>
    <xf numFmtId="0" fontId="8" fillId="0" borderId="33" xfId="0" applyFont="1" applyBorder="1" applyAlignment="1">
      <alignment horizontal="distributed" vertical="distributed" wrapText="1" indent="1"/>
    </xf>
    <xf numFmtId="0" fontId="8" fillId="0" borderId="38" xfId="0" applyFont="1" applyBorder="1" applyAlignment="1">
      <alignment horizontal="distributed" vertical="center" wrapText="1" indent="1"/>
    </xf>
    <xf numFmtId="0" fontId="8" fillId="0" borderId="14" xfId="0" applyFont="1" applyBorder="1" applyAlignment="1">
      <alignment horizontal="distributed" vertical="distributed" wrapText="1" indent="1"/>
    </xf>
    <xf numFmtId="0" fontId="8" fillId="0" borderId="19" xfId="0" applyFont="1" applyFill="1" applyBorder="1" applyAlignment="1">
      <alignment horizontal="distributed" vertical="center" wrapText="1" indent="2"/>
    </xf>
    <xf numFmtId="0" fontId="8" fillId="0" borderId="24" xfId="0" applyFont="1" applyFill="1" applyBorder="1" applyAlignment="1">
      <alignment horizontal="distributed" vertical="center" wrapText="1"/>
    </xf>
    <xf numFmtId="0" fontId="8" fillId="0" borderId="20" xfId="0" applyFont="1" applyFill="1" applyBorder="1" applyAlignment="1">
      <alignment horizontal="distributed" vertical="center" wrapText="1" indent="2"/>
    </xf>
    <xf numFmtId="0" fontId="22" fillId="0" borderId="25" xfId="0" applyFont="1" applyFill="1" applyBorder="1" applyAlignment="1">
      <alignment horizontal="distributed" vertical="center" wrapText="1"/>
    </xf>
    <xf numFmtId="0" fontId="22" fillId="0" borderId="15" xfId="0" applyFont="1" applyFill="1" applyBorder="1" applyAlignment="1">
      <alignment horizontal="distributed" vertical="center" wrapText="1"/>
    </xf>
    <xf numFmtId="0" fontId="8" fillId="0" borderId="28" xfId="0" applyFont="1" applyBorder="1" applyAlignment="1">
      <alignment horizontal="distributed" vertical="center" wrapText="1"/>
    </xf>
    <xf numFmtId="0" fontId="8" fillId="0" borderId="28" xfId="0" applyFont="1" applyBorder="1" applyAlignment="1">
      <alignment horizontal="distributed" vertical="distributed" wrapText="1"/>
    </xf>
    <xf numFmtId="0" fontId="8" fillId="0" borderId="17" xfId="0" applyFont="1" applyBorder="1" applyAlignment="1">
      <alignment horizontal="left" vertical="top" wrapText="1" indent="1"/>
    </xf>
    <xf numFmtId="182" fontId="8" fillId="0" borderId="0" xfId="0" applyNumberFormat="1" applyFont="1" applyFill="1" applyBorder="1" applyAlignment="1">
      <alignment vertical="top" wrapText="1"/>
    </xf>
    <xf numFmtId="182" fontId="8" fillId="0" borderId="22" xfId="0" applyNumberFormat="1" applyFont="1" applyFill="1" applyBorder="1" applyAlignment="1">
      <alignment vertical="top" wrapText="1"/>
    </xf>
    <xf numFmtId="182" fontId="8" fillId="0" borderId="23" xfId="0" applyNumberFormat="1" applyFont="1" applyFill="1" applyBorder="1" applyAlignment="1">
      <alignment vertical="top" wrapText="1"/>
    </xf>
    <xf numFmtId="3" fontId="8" fillId="0" borderId="14" xfId="20" applyNumberFormat="1" applyFont="1" applyBorder="1" applyAlignment="1">
      <alignment vertical="top"/>
    </xf>
    <xf numFmtId="0" fontId="15" fillId="0" borderId="0" xfId="20" applyFont="1" applyAlignment="1">
      <alignment vertical="top"/>
    </xf>
    <xf numFmtId="0" fontId="35" fillId="0" borderId="0" xfId="20" applyFont="1" applyAlignment="1">
      <alignment horizontal="left" vertical="top" indent="1"/>
    </xf>
    <xf numFmtId="0" fontId="67" fillId="0" borderId="24" xfId="20" applyFont="1" applyFill="1" applyBorder="1" applyAlignment="1">
      <alignment horizontal="distributed" vertical="center" wrapText="1"/>
    </xf>
    <xf numFmtId="0" fontId="8" fillId="0" borderId="43" xfId="20" applyFont="1" applyFill="1" applyBorder="1" applyAlignment="1">
      <alignment horizontal="center" vertical="center" wrapText="1"/>
    </xf>
    <xf numFmtId="0" fontId="8" fillId="0" borderId="43" xfId="20" applyFont="1" applyFill="1" applyBorder="1" applyAlignment="1">
      <alignment horizontal="distributed" vertical="center"/>
    </xf>
    <xf numFmtId="0" fontId="8" fillId="0" borderId="20" xfId="20" applyFont="1" applyFill="1" applyBorder="1" applyAlignment="1">
      <alignment horizontal="distributed" vertical="center" indent="1"/>
    </xf>
    <xf numFmtId="0" fontId="15" fillId="0" borderId="0" xfId="20" applyFont="1" applyFill="1" applyAlignment="1">
      <alignment vertical="center"/>
    </xf>
    <xf numFmtId="0" fontId="15" fillId="0" borderId="0" xfId="20" applyFont="1" applyFill="1" applyAlignment="1">
      <alignment vertical="top"/>
    </xf>
    <xf numFmtId="0" fontId="35" fillId="0" borderId="0" xfId="20" applyFont="1" applyFill="1" applyAlignment="1">
      <alignment vertical="top"/>
    </xf>
    <xf numFmtId="0" fontId="8" fillId="0" borderId="19" xfId="20" applyFont="1" applyBorder="1" applyAlignment="1">
      <alignment horizontal="distributed" vertical="center" indent="2"/>
    </xf>
    <xf numFmtId="0" fontId="67" fillId="0" borderId="24" xfId="20" applyFont="1" applyBorder="1" applyAlignment="1">
      <alignment horizontal="distributed" vertical="center" wrapText="1"/>
    </xf>
    <xf numFmtId="0" fontId="8" fillId="0" borderId="43" xfId="20" applyFont="1" applyBorder="1" applyAlignment="1">
      <alignment horizontal="center" vertical="center" wrapText="1"/>
    </xf>
    <xf numFmtId="0" fontId="8" fillId="0" borderId="43" xfId="20" applyFont="1" applyBorder="1" applyAlignment="1">
      <alignment horizontal="distributed" vertical="center"/>
    </xf>
    <xf numFmtId="0" fontId="8" fillId="0" borderId="20" xfId="20" applyFont="1" applyBorder="1" applyAlignment="1">
      <alignment horizontal="distributed" vertical="center" indent="1"/>
    </xf>
    <xf numFmtId="0" fontId="15" fillId="0" borderId="0" xfId="20" applyFont="1" applyAlignment="1">
      <alignment vertical="center"/>
    </xf>
    <xf numFmtId="0" fontId="8" fillId="0" borderId="28" xfId="0" applyFont="1" applyBorder="1" applyAlignment="1">
      <alignment horizontal="distributed" vertical="center" wrapText="1" indent="1"/>
    </xf>
    <xf numFmtId="0" fontId="12" fillId="0" borderId="14" xfId="0" applyFont="1" applyFill="1" applyBorder="1" applyAlignment="1">
      <alignment horizontal="center" vertical="center"/>
    </xf>
    <xf numFmtId="0" fontId="13" fillId="0" borderId="18" xfId="0" applyFont="1" applyFill="1" applyBorder="1" applyAlignment="1">
      <alignment horizontal="center" vertical="top" wrapText="1"/>
    </xf>
    <xf numFmtId="0" fontId="12" fillId="0" borderId="17" xfId="0" applyFont="1" applyFill="1" applyBorder="1" applyAlignment="1">
      <alignment horizontal="left" vertical="top"/>
    </xf>
    <xf numFmtId="0" fontId="12" fillId="0" borderId="18" xfId="0" applyFont="1" applyFill="1" applyBorder="1" applyAlignment="1">
      <alignment horizontal="center" vertical="top" wrapText="1"/>
    </xf>
    <xf numFmtId="0" fontId="12" fillId="0" borderId="21" xfId="0" applyFont="1" applyFill="1" applyBorder="1" applyAlignment="1">
      <alignment horizontal="left" vertical="top"/>
    </xf>
    <xf numFmtId="0" fontId="12" fillId="0" borderId="12" xfId="0" applyFont="1" applyFill="1" applyBorder="1" applyAlignment="1">
      <alignment horizontal="center" vertical="top" wrapText="1"/>
    </xf>
    <xf numFmtId="0" fontId="13" fillId="0" borderId="17" xfId="0" applyFont="1" applyFill="1" applyBorder="1" applyAlignment="1">
      <alignment vertical="top" wrapText="1"/>
    </xf>
    <xf numFmtId="0" fontId="13" fillId="0" borderId="17" xfId="0" applyFont="1" applyFill="1" applyBorder="1" applyAlignment="1">
      <alignment horizontal="justify" vertical="top"/>
    </xf>
    <xf numFmtId="0" fontId="13" fillId="0" borderId="17" xfId="0" applyFont="1" applyFill="1" applyBorder="1" applyAlignment="1">
      <alignment horizontal="justify" vertical="top" wrapText="1"/>
    </xf>
    <xf numFmtId="0" fontId="12" fillId="0" borderId="17" xfId="0" applyFont="1" applyFill="1" applyBorder="1" applyAlignment="1">
      <alignment horizontal="justify" vertical="top" wrapText="1"/>
    </xf>
    <xf numFmtId="0" fontId="12" fillId="0" borderId="17" xfId="0" applyFont="1" applyFill="1" applyBorder="1" applyAlignment="1">
      <alignment vertical="top" wrapText="1"/>
    </xf>
    <xf numFmtId="0" fontId="12" fillId="0" borderId="21" xfId="0" applyFont="1" applyFill="1" applyBorder="1" applyAlignment="1">
      <alignment horizontal="justify" vertical="top" wrapText="1"/>
    </xf>
    <xf numFmtId="0" fontId="12" fillId="0" borderId="21" xfId="0" applyFont="1" applyFill="1" applyBorder="1" applyAlignment="1">
      <alignment vertical="top" wrapText="1"/>
    </xf>
    <xf numFmtId="0" fontId="12" fillId="0" borderId="24" xfId="0" applyFont="1" applyBorder="1" applyAlignment="1">
      <alignment horizontal="center" vertical="center" wrapText="1"/>
    </xf>
    <xf numFmtId="0" fontId="12" fillId="0" borderId="15" xfId="0" applyFont="1" applyBorder="1" applyAlignment="1">
      <alignment horizontal="center" vertical="center" wrapText="1"/>
    </xf>
    <xf numFmtId="0" fontId="13" fillId="0" borderId="30" xfId="0" applyFont="1" applyBorder="1" applyAlignment="1">
      <alignment vertical="top" wrapText="1"/>
    </xf>
    <xf numFmtId="0" fontId="13" fillId="0" borderId="30" xfId="0" applyFont="1" applyBorder="1" applyAlignment="1">
      <alignment horizontal="left" vertical="top" wrapText="1"/>
    </xf>
    <xf numFmtId="0" fontId="12" fillId="0" borderId="30" xfId="0" applyFont="1" applyBorder="1" applyAlignment="1">
      <alignment horizontal="left" vertical="top" wrapText="1"/>
    </xf>
    <xf numFmtId="0" fontId="12" fillId="0" borderId="31" xfId="0" applyFont="1" applyBorder="1" applyAlignment="1">
      <alignment horizontal="left" vertical="top" wrapText="1"/>
    </xf>
    <xf numFmtId="0" fontId="12" fillId="0" borderId="12" xfId="0" applyFont="1" applyFill="1" applyBorder="1" applyAlignment="1">
      <alignment horizontal="left" vertical="top" wrapText="1"/>
    </xf>
    <xf numFmtId="0" fontId="16" fillId="0" borderId="17" xfId="0" applyFont="1" applyBorder="1" applyAlignment="1">
      <alignment horizontal="distributed" vertical="center" indent="2"/>
    </xf>
    <xf numFmtId="0" fontId="12" fillId="0" borderId="21" xfId="0" applyFont="1" applyBorder="1" applyAlignment="1">
      <alignment vertical="top"/>
    </xf>
    <xf numFmtId="0" fontId="13" fillId="0" borderId="17" xfId="0" applyFont="1" applyBorder="1" applyAlignment="1">
      <alignment vertical="top"/>
    </xf>
    <xf numFmtId="0" fontId="13" fillId="0" borderId="17" xfId="0" applyFont="1" applyBorder="1" applyAlignment="1">
      <alignment horizontal="justify" vertical="top" wrapText="1"/>
    </xf>
    <xf numFmtId="0" fontId="12" fillId="0" borderId="17" xfId="0" applyFont="1" applyBorder="1" applyAlignment="1">
      <alignment vertical="top" wrapText="1"/>
    </xf>
    <xf numFmtId="0" fontId="12" fillId="0" borderId="0" xfId="0" applyFont="1" applyFill="1" applyAlignment="1">
      <alignment vertical="center"/>
    </xf>
    <xf numFmtId="0" fontId="8" fillId="0" borderId="36" xfId="0" applyFont="1" applyBorder="1" applyAlignment="1">
      <alignment vertical="top" wrapText="1"/>
    </xf>
    <xf numFmtId="0" fontId="8" fillId="0" borderId="23" xfId="0" applyFont="1" applyBorder="1" applyAlignment="1">
      <alignment vertical="top" wrapText="1"/>
    </xf>
    <xf numFmtId="0" fontId="13" fillId="0" borderId="21" xfId="0" applyFont="1" applyFill="1" applyBorder="1" applyAlignment="1">
      <alignment horizontal="justify" vertical="top"/>
    </xf>
    <xf numFmtId="0" fontId="12" fillId="0" borderId="17" xfId="0" applyFont="1" applyFill="1" applyBorder="1" applyAlignment="1">
      <alignment horizontal="justify" vertical="top"/>
    </xf>
    <xf numFmtId="0" fontId="12" fillId="0" borderId="17" xfId="20" applyFont="1" applyBorder="1" applyAlignment="1">
      <alignment vertical="top" wrapText="1"/>
    </xf>
    <xf numFmtId="0" fontId="13" fillId="0" borderId="21" xfId="0" applyFont="1" applyFill="1" applyBorder="1" applyAlignment="1">
      <alignment horizontal="left" vertical="top" wrapText="1"/>
    </xf>
    <xf numFmtId="0" fontId="13" fillId="0" borderId="21" xfId="0" applyFont="1" applyFill="1" applyBorder="1" applyAlignment="1">
      <alignment horizontal="left" vertical="top"/>
    </xf>
    <xf numFmtId="0" fontId="12" fillId="0" borderId="21" xfId="20" applyFont="1" applyBorder="1" applyAlignment="1">
      <alignment vertical="top" wrapText="1"/>
    </xf>
    <xf numFmtId="0" fontId="16" fillId="0" borderId="14" xfId="0" applyFont="1" applyBorder="1" applyAlignment="1">
      <alignment horizontal="distributed" vertical="top"/>
    </xf>
    <xf numFmtId="0" fontId="12" fillId="0" borderId="17" xfId="0" applyFont="1" applyBorder="1" applyAlignment="1">
      <alignment horizontal="left" vertical="top" wrapText="1"/>
    </xf>
    <xf numFmtId="0" fontId="12" fillId="0" borderId="21" xfId="0" applyFont="1" applyBorder="1" applyAlignment="1">
      <alignment horizontal="left" vertical="top" wrapText="1"/>
    </xf>
    <xf numFmtId="0" fontId="13" fillId="0" borderId="17" xfId="0" applyFont="1" applyBorder="1" applyAlignment="1">
      <alignment horizontal="left" vertical="top" wrapText="1"/>
    </xf>
    <xf numFmtId="179" fontId="8" fillId="0" borderId="0" xfId="20" applyNumberFormat="1" applyFont="1" applyFill="1" applyAlignment="1">
      <alignment vertical="top"/>
    </xf>
    <xf numFmtId="0" fontId="12" fillId="0" borderId="21" xfId="0" applyFont="1" applyFill="1" applyBorder="1" applyAlignment="1">
      <alignment horizontal="left" vertical="top" wrapText="1"/>
    </xf>
    <xf numFmtId="0" fontId="29" fillId="0" borderId="17" xfId="0" applyFont="1" applyFill="1" applyBorder="1" applyAlignment="1">
      <alignment vertical="top"/>
    </xf>
    <xf numFmtId="0" fontId="12" fillId="0" borderId="17" xfId="0" applyFont="1" applyBorder="1" applyAlignment="1">
      <alignment horizontal="left" vertical="top"/>
    </xf>
    <xf numFmtId="0" fontId="70" fillId="0" borderId="0" xfId="111" applyFont="1"/>
    <xf numFmtId="0" fontId="10" fillId="0" borderId="0" xfId="111" applyFont="1"/>
    <xf numFmtId="0" fontId="15" fillId="0" borderId="0" xfId="111" applyFont="1" applyAlignment="1">
      <alignment vertical="top"/>
    </xf>
    <xf numFmtId="0" fontId="35" fillId="0" borderId="0" xfId="111" applyFont="1"/>
    <xf numFmtId="0" fontId="8" fillId="0" borderId="0" xfId="111" applyFont="1" applyAlignment="1">
      <alignment horizontal="right"/>
    </xf>
    <xf numFmtId="0" fontId="13" fillId="0" borderId="28" xfId="111" applyFont="1" applyBorder="1" applyAlignment="1">
      <alignment horizontal="center" vertical="center" wrapText="1"/>
    </xf>
    <xf numFmtId="0" fontId="14" fillId="0" borderId="28" xfId="111" applyFont="1" applyBorder="1" applyAlignment="1">
      <alignment horizontal="center" vertical="center" wrapText="1"/>
    </xf>
    <xf numFmtId="0" fontId="13" fillId="0" borderId="15" xfId="111" applyFont="1" applyBorder="1" applyAlignment="1">
      <alignment horizontal="justify" vertical="center" wrapText="1"/>
    </xf>
    <xf numFmtId="182" fontId="14" fillId="0" borderId="15" xfId="111" applyNumberFormat="1" applyFont="1" applyBorder="1" applyAlignment="1">
      <alignment vertical="center" wrapText="1"/>
    </xf>
    <xf numFmtId="0" fontId="13" fillId="0" borderId="15" xfId="111" applyFont="1" applyBorder="1" applyAlignment="1">
      <alignment vertical="center" wrapText="1"/>
    </xf>
    <xf numFmtId="3" fontId="14" fillId="0" borderId="15" xfId="111" applyNumberFormat="1" applyFont="1" applyBorder="1" applyAlignment="1">
      <alignment vertical="center" wrapText="1"/>
    </xf>
    <xf numFmtId="0" fontId="12" fillId="0" borderId="18" xfId="111" applyFont="1" applyBorder="1" applyAlignment="1">
      <alignment horizontal="justify" vertical="center" wrapText="1"/>
    </xf>
    <xf numFmtId="182" fontId="8" fillId="0" borderId="18" xfId="111" applyNumberFormat="1" applyFont="1" applyBorder="1" applyAlignment="1">
      <alignment vertical="center" wrapText="1"/>
    </xf>
    <xf numFmtId="0" fontId="12" fillId="0" borderId="18" xfId="111" applyFont="1" applyBorder="1" applyAlignment="1">
      <alignment vertical="center" wrapText="1"/>
    </xf>
    <xf numFmtId="3" fontId="8" fillId="0" borderId="18" xfId="111" applyNumberFormat="1" applyFont="1" applyBorder="1" applyAlignment="1">
      <alignment vertical="center" wrapText="1"/>
    </xf>
    <xf numFmtId="0" fontId="13" fillId="0" borderId="18" xfId="111" applyFont="1" applyBorder="1" applyAlignment="1">
      <alignment horizontal="justify" vertical="center" wrapText="1"/>
    </xf>
    <xf numFmtId="182" fontId="14" fillId="0" borderId="18" xfId="111" applyNumberFormat="1" applyFont="1" applyBorder="1" applyAlignment="1">
      <alignment vertical="center" wrapText="1"/>
    </xf>
    <xf numFmtId="0" fontId="13" fillId="0" borderId="18" xfId="111" applyFont="1" applyBorder="1" applyAlignment="1">
      <alignment vertical="center" wrapText="1"/>
    </xf>
    <xf numFmtId="3" fontId="14" fillId="0" borderId="18" xfId="111" applyNumberFormat="1" applyFont="1" applyBorder="1" applyAlignment="1">
      <alignment vertical="center" wrapText="1"/>
    </xf>
    <xf numFmtId="0" fontId="12" fillId="0" borderId="46" xfId="111" applyFont="1" applyBorder="1" applyAlignment="1">
      <alignment horizontal="justify" vertical="center" wrapText="1"/>
    </xf>
    <xf numFmtId="182" fontId="8" fillId="0" borderId="46" xfId="111" applyNumberFormat="1" applyFont="1" applyBorder="1" applyAlignment="1">
      <alignment vertical="center" wrapText="1"/>
    </xf>
    <xf numFmtId="0" fontId="13" fillId="0" borderId="46" xfId="111" applyFont="1" applyBorder="1" applyAlignment="1">
      <alignment vertical="center" wrapText="1"/>
    </xf>
    <xf numFmtId="0" fontId="8" fillId="0" borderId="46" xfId="111" applyFont="1" applyBorder="1" applyAlignment="1">
      <alignment horizontal="right" vertical="center" wrapText="1"/>
    </xf>
    <xf numFmtId="0" fontId="13" fillId="0" borderId="28" xfId="111" applyFont="1" applyBorder="1" applyAlignment="1">
      <alignment horizontal="left" vertical="center" wrapText="1"/>
    </xf>
    <xf numFmtId="182" fontId="14" fillId="0" borderId="28" xfId="111" applyNumberFormat="1" applyFont="1" applyBorder="1" applyAlignment="1">
      <alignment vertical="center" wrapText="1"/>
    </xf>
    <xf numFmtId="3" fontId="14" fillId="0" borderId="28" xfId="111" applyNumberFormat="1" applyFont="1" applyBorder="1" applyAlignment="1">
      <alignment vertical="center" wrapText="1"/>
    </xf>
    <xf numFmtId="182" fontId="35" fillId="0" borderId="0" xfId="111" applyNumberFormat="1" applyFont="1"/>
    <xf numFmtId="187" fontId="35" fillId="0" borderId="0" xfId="111" applyNumberFormat="1" applyFont="1"/>
    <xf numFmtId="176" fontId="35" fillId="0" borderId="0" xfId="111" applyNumberFormat="1" applyFont="1"/>
    <xf numFmtId="0" fontId="12" fillId="0" borderId="0" xfId="111" applyFont="1" applyAlignment="1">
      <alignment horizontal="right"/>
    </xf>
    <xf numFmtId="0" fontId="8" fillId="0" borderId="57" xfId="111" applyFont="1" applyBorder="1" applyAlignment="1">
      <alignment horizontal="left" vertical="center" wrapText="1"/>
    </xf>
    <xf numFmtId="0" fontId="35" fillId="0" borderId="0" xfId="111" applyFont="1" applyAlignment="1">
      <alignment vertical="center"/>
    </xf>
    <xf numFmtId="0" fontId="13" fillId="0" borderId="15" xfId="111" applyFont="1" applyBorder="1" applyAlignment="1">
      <alignment vertical="center"/>
    </xf>
    <xf numFmtId="3" fontId="14" fillId="0" borderId="15" xfId="111" applyNumberFormat="1" applyFont="1" applyBorder="1" applyAlignment="1">
      <alignment horizontal="right" vertical="center" wrapText="1"/>
    </xf>
    <xf numFmtId="0" fontId="70" fillId="0" borderId="0" xfId="111" applyFont="1" applyAlignment="1">
      <alignment vertical="center"/>
    </xf>
    <xf numFmtId="0" fontId="12" fillId="0" borderId="18" xfId="111" applyFont="1" applyBorder="1" applyAlignment="1">
      <alignment horizontal="left" vertical="center"/>
    </xf>
    <xf numFmtId="3" fontId="8" fillId="0" borderId="18" xfId="111" applyNumberFormat="1" applyFont="1" applyBorder="1" applyAlignment="1">
      <alignment horizontal="right" vertical="center"/>
    </xf>
    <xf numFmtId="0" fontId="35" fillId="0" borderId="0" xfId="111" applyFont="1" applyBorder="1" applyAlignment="1">
      <alignment vertical="center"/>
    </xf>
    <xf numFmtId="0" fontId="13" fillId="0" borderId="46" xfId="111" applyFont="1" applyBorder="1" applyAlignment="1">
      <alignment vertical="center"/>
    </xf>
    <xf numFmtId="3" fontId="14" fillId="0" borderId="46" xfId="111" applyNumberFormat="1" applyFont="1" applyBorder="1" applyAlignment="1">
      <alignment horizontal="right" vertical="center" wrapText="1"/>
    </xf>
    <xf numFmtId="0" fontId="70" fillId="0" borderId="0" xfId="111" applyFont="1" applyBorder="1" applyAlignment="1">
      <alignment vertical="center"/>
    </xf>
    <xf numFmtId="0" fontId="13" fillId="0" borderId="18" xfId="111" applyFont="1" applyBorder="1" applyAlignment="1">
      <alignment vertical="center"/>
    </xf>
    <xf numFmtId="3" fontId="14" fillId="0" borderId="18" xfId="111" applyNumberFormat="1" applyFont="1" applyBorder="1" applyAlignment="1">
      <alignment horizontal="right" vertical="center" wrapText="1"/>
    </xf>
    <xf numFmtId="0" fontId="13" fillId="0" borderId="28" xfId="111" applyFont="1" applyBorder="1" applyAlignment="1">
      <alignment vertical="center"/>
    </xf>
    <xf numFmtId="41" fontId="14" fillId="0" borderId="28" xfId="111" applyNumberFormat="1" applyFont="1" applyBorder="1" applyAlignment="1">
      <alignment horizontal="right" vertical="center" wrapText="1"/>
    </xf>
    <xf numFmtId="0" fontId="8" fillId="0" borderId="58" xfId="111" applyFont="1" applyBorder="1" applyAlignment="1">
      <alignment horizontal="left" vertical="center" wrapText="1"/>
    </xf>
    <xf numFmtId="0" fontId="8" fillId="0" borderId="34" xfId="111" applyFont="1" applyBorder="1" applyAlignment="1">
      <alignment horizontal="center" vertical="center"/>
    </xf>
    <xf numFmtId="0" fontId="14" fillId="0" borderId="14" xfId="111" applyFont="1" applyBorder="1" applyAlignment="1">
      <alignment vertical="center"/>
    </xf>
    <xf numFmtId="0" fontId="56" fillId="0" borderId="15" xfId="111" applyFont="1" applyBorder="1" applyAlignment="1">
      <alignment horizontal="right" vertical="center"/>
    </xf>
    <xf numFmtId="0" fontId="8" fillId="0" borderId="17" xfId="111" applyFont="1" applyBorder="1" applyAlignment="1">
      <alignment horizontal="left" vertical="center"/>
    </xf>
    <xf numFmtId="3" fontId="27" fillId="0" borderId="18" xfId="111" applyNumberFormat="1" applyFont="1" applyBorder="1" applyAlignment="1">
      <alignment horizontal="right" vertical="center"/>
    </xf>
    <xf numFmtId="0" fontId="14" fillId="0" borderId="49" xfId="111" applyFont="1" applyBorder="1" applyAlignment="1">
      <alignment vertical="center"/>
    </xf>
    <xf numFmtId="3" fontId="56" fillId="0" borderId="46" xfId="111" applyNumberFormat="1" applyFont="1" applyBorder="1" applyAlignment="1">
      <alignment horizontal="right" vertical="center" wrapText="1"/>
    </xf>
    <xf numFmtId="0" fontId="14" fillId="0" borderId="17" xfId="111" applyFont="1" applyBorder="1" applyAlignment="1">
      <alignment vertical="center"/>
    </xf>
    <xf numFmtId="0" fontId="56" fillId="0" borderId="18" xfId="111" applyFont="1" applyBorder="1" applyAlignment="1">
      <alignment horizontal="right" vertical="center"/>
    </xf>
    <xf numFmtId="0" fontId="14" fillId="0" borderId="59" xfId="111" applyFont="1" applyBorder="1" applyAlignment="1">
      <alignment vertical="center"/>
    </xf>
    <xf numFmtId="41" fontId="56" fillId="0" borderId="60" xfId="111" applyNumberFormat="1" applyFont="1" applyBorder="1" applyAlignment="1">
      <alignment horizontal="right" vertical="center"/>
    </xf>
    <xf numFmtId="41" fontId="56" fillId="0" borderId="61" xfId="111" applyNumberFormat="1" applyFont="1" applyBorder="1" applyAlignment="1">
      <alignment horizontal="right" vertical="center"/>
    </xf>
    <xf numFmtId="41" fontId="56" fillId="0" borderId="62" xfId="111" applyNumberFormat="1" applyFont="1" applyBorder="1" applyAlignment="1">
      <alignment horizontal="right" vertical="center"/>
    </xf>
    <xf numFmtId="0" fontId="22" fillId="0" borderId="28" xfId="0" applyFont="1" applyFill="1" applyBorder="1" applyAlignment="1">
      <alignment horizontal="center" vertical="center" wrapText="1"/>
    </xf>
    <xf numFmtId="0" fontId="8"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22" fillId="0" borderId="35" xfId="0" applyFont="1" applyFill="1" applyBorder="1" applyAlignment="1">
      <alignment horizontal="center" vertical="center" wrapText="1"/>
    </xf>
    <xf numFmtId="180" fontId="22" fillId="0" borderId="28" xfId="0" applyNumberFormat="1" applyFont="1" applyFill="1" applyBorder="1" applyAlignment="1">
      <alignment horizontal="center" vertical="center" wrapText="1"/>
    </xf>
    <xf numFmtId="176" fontId="22" fillId="0" borderId="28" xfId="0" applyNumberFormat="1" applyFont="1" applyFill="1" applyBorder="1" applyAlignment="1">
      <alignment horizontal="center" vertical="center" wrapText="1"/>
    </xf>
    <xf numFmtId="0" fontId="22" fillId="0" borderId="44" xfId="0" applyFont="1" applyFill="1" applyBorder="1" applyAlignment="1">
      <alignment horizontal="center" vertical="center" wrapText="1"/>
    </xf>
    <xf numFmtId="0" fontId="22" fillId="0" borderId="14" xfId="0" applyFont="1" applyFill="1" applyBorder="1" applyAlignment="1">
      <alignment horizontal="center" vertical="center" wrapText="1"/>
    </xf>
    <xf numFmtId="180" fontId="22" fillId="0" borderId="15" xfId="0" applyNumberFormat="1" applyFont="1" applyFill="1" applyBorder="1" applyAlignment="1">
      <alignment horizontal="center" vertical="center" wrapText="1"/>
    </xf>
    <xf numFmtId="176" fontId="22" fillId="0" borderId="15" xfId="0" applyNumberFormat="1" applyFont="1" applyFill="1" applyBorder="1" applyAlignment="1">
      <alignment horizontal="center" vertical="center" wrapText="1"/>
    </xf>
    <xf numFmtId="0" fontId="22" fillId="0" borderId="16" xfId="0" applyFont="1" applyFill="1" applyBorder="1" applyAlignment="1">
      <alignment horizontal="center" vertical="center" wrapText="1"/>
    </xf>
    <xf numFmtId="181" fontId="56" fillId="0" borderId="18" xfId="0" applyNumberFormat="1" applyFont="1" applyFill="1" applyBorder="1" applyAlignment="1">
      <alignment horizontal="right" vertical="top" wrapText="1"/>
    </xf>
    <xf numFmtId="0" fontId="73" fillId="0" borderId="18" xfId="0" applyFont="1" applyFill="1" applyBorder="1" applyAlignment="1">
      <alignment horizontal="justify" vertical="top" wrapText="1"/>
    </xf>
    <xf numFmtId="180" fontId="56" fillId="0" borderId="18" xfId="0" applyNumberFormat="1" applyFont="1" applyFill="1" applyBorder="1" applyAlignment="1">
      <alignment horizontal="right" vertical="top" wrapText="1"/>
    </xf>
    <xf numFmtId="3" fontId="56" fillId="0" borderId="18" xfId="0" applyNumberFormat="1" applyFont="1" applyFill="1" applyBorder="1" applyAlignment="1">
      <alignment horizontal="right" vertical="top" wrapText="1"/>
    </xf>
    <xf numFmtId="188" fontId="14" fillId="0" borderId="0" xfId="0" applyNumberFormat="1" applyFont="1" applyFill="1" applyBorder="1" applyAlignment="1">
      <alignment vertical="top"/>
    </xf>
    <xf numFmtId="43" fontId="56" fillId="0" borderId="18" xfId="0" applyNumberFormat="1" applyFont="1" applyFill="1" applyBorder="1" applyAlignment="1">
      <alignment horizontal="right" vertical="top" wrapText="1"/>
    </xf>
    <xf numFmtId="179" fontId="27" fillId="0" borderId="17" xfId="0" applyNumberFormat="1" applyFont="1" applyFill="1" applyBorder="1" applyAlignment="1">
      <alignment horizontal="right" vertical="top" wrapText="1"/>
    </xf>
    <xf numFmtId="181" fontId="27" fillId="0" borderId="18" xfId="0" applyNumberFormat="1" applyFont="1" applyFill="1" applyBorder="1" applyAlignment="1">
      <alignment horizontal="right" vertical="top" wrapText="1"/>
    </xf>
    <xf numFmtId="0" fontId="55" fillId="0" borderId="18" xfId="0" applyFont="1" applyFill="1" applyBorder="1" applyAlignment="1">
      <alignment horizontal="justify" vertical="top" wrapText="1"/>
    </xf>
    <xf numFmtId="41" fontId="27" fillId="0" borderId="18" xfId="0" applyNumberFormat="1" applyFont="1" applyFill="1" applyBorder="1" applyAlignment="1">
      <alignment horizontal="right" vertical="top" wrapText="1"/>
    </xf>
    <xf numFmtId="41" fontId="27" fillId="0" borderId="11" xfId="0" applyNumberFormat="1" applyFont="1" applyFill="1" applyBorder="1" applyAlignment="1">
      <alignment horizontal="right" vertical="top" wrapText="1"/>
    </xf>
    <xf numFmtId="188" fontId="8" fillId="0" borderId="0" xfId="0" applyNumberFormat="1" applyFont="1" applyFill="1" applyBorder="1" applyAlignment="1">
      <alignment vertical="top"/>
    </xf>
    <xf numFmtId="180" fontId="27" fillId="0" borderId="18" xfId="0" applyNumberFormat="1" applyFont="1" applyFill="1" applyBorder="1" applyAlignment="1">
      <alignment horizontal="right" vertical="top" wrapText="1"/>
    </xf>
    <xf numFmtId="3" fontId="27" fillId="0" borderId="18" xfId="0" applyNumberFormat="1" applyFont="1" applyFill="1" applyBorder="1" applyAlignment="1">
      <alignment horizontal="right" vertical="top" wrapText="1"/>
    </xf>
    <xf numFmtId="41" fontId="56" fillId="0" borderId="18" xfId="0" applyNumberFormat="1" applyFont="1" applyFill="1" applyBorder="1" applyAlignment="1">
      <alignment horizontal="right" vertical="top" wrapText="1"/>
    </xf>
    <xf numFmtId="41" fontId="56" fillId="0" borderId="30" xfId="0" applyNumberFormat="1" applyFont="1" applyFill="1" applyBorder="1" applyAlignment="1">
      <alignment horizontal="right" vertical="top" wrapText="1"/>
    </xf>
    <xf numFmtId="41" fontId="56" fillId="0" borderId="22" xfId="0" applyNumberFormat="1" applyFont="1" applyFill="1" applyBorder="1" applyAlignment="1">
      <alignment horizontal="right" vertical="top" wrapText="1"/>
    </xf>
    <xf numFmtId="179" fontId="27" fillId="0" borderId="21" xfId="0" applyNumberFormat="1" applyFont="1" applyFill="1" applyBorder="1" applyAlignment="1">
      <alignment horizontal="right" vertical="top" wrapText="1"/>
    </xf>
    <xf numFmtId="181" fontId="27" fillId="0" borderId="12" xfId="0" applyNumberFormat="1" applyFont="1" applyFill="1" applyBorder="1" applyAlignment="1">
      <alignment horizontal="right" vertical="top" wrapText="1"/>
    </xf>
    <xf numFmtId="0" fontId="55" fillId="0" borderId="12" xfId="0" applyFont="1" applyFill="1" applyBorder="1" applyAlignment="1">
      <alignment horizontal="justify" vertical="top" wrapText="1"/>
    </xf>
    <xf numFmtId="180" fontId="27" fillId="0" borderId="12" xfId="0" applyNumberFormat="1" applyFont="1" applyFill="1" applyBorder="1" applyAlignment="1">
      <alignment horizontal="right" vertical="top" wrapText="1"/>
    </xf>
    <xf numFmtId="3" fontId="27" fillId="0" borderId="12" xfId="0" applyNumberFormat="1" applyFont="1" applyFill="1" applyBorder="1" applyAlignment="1">
      <alignment horizontal="right" vertical="top" wrapText="1"/>
    </xf>
    <xf numFmtId="41" fontId="56" fillId="0" borderId="17" xfId="0" applyNumberFormat="1" applyFont="1" applyFill="1" applyBorder="1" applyAlignment="1">
      <alignment horizontal="right" vertical="top" wrapText="1"/>
    </xf>
    <xf numFmtId="0" fontId="55" fillId="0" borderId="18" xfId="0" applyFont="1" applyFill="1" applyBorder="1" applyAlignment="1">
      <alignment vertical="top" wrapText="1"/>
    </xf>
    <xf numFmtId="41" fontId="27" fillId="0" borderId="17" xfId="0" applyNumberFormat="1" applyFont="1" applyFill="1" applyBorder="1" applyAlignment="1">
      <alignment horizontal="right" vertical="top" wrapText="1"/>
    </xf>
    <xf numFmtId="41" fontId="56" fillId="0" borderId="11" xfId="0" applyNumberFormat="1" applyFont="1" applyFill="1" applyBorder="1" applyAlignment="1">
      <alignment horizontal="right" vertical="top" wrapText="1"/>
    </xf>
    <xf numFmtId="0" fontId="55" fillId="0" borderId="18" xfId="0" applyFont="1" applyFill="1" applyBorder="1" applyAlignment="1">
      <alignment horizontal="left" vertical="top" wrapText="1"/>
    </xf>
    <xf numFmtId="41" fontId="27" fillId="0" borderId="18" xfId="21" applyNumberFormat="1" applyFont="1" applyFill="1" applyBorder="1" applyAlignment="1">
      <alignment horizontal="right" vertical="top" wrapText="1"/>
    </xf>
    <xf numFmtId="180" fontId="27" fillId="0" borderId="18" xfId="21" applyNumberFormat="1" applyFont="1" applyFill="1" applyBorder="1" applyAlignment="1">
      <alignment horizontal="right" vertical="top" wrapText="1"/>
    </xf>
    <xf numFmtId="3" fontId="56" fillId="0" borderId="17" xfId="0" applyNumberFormat="1" applyFont="1" applyFill="1" applyBorder="1" applyAlignment="1">
      <alignment horizontal="right" vertical="top" wrapText="1"/>
    </xf>
    <xf numFmtId="179" fontId="27" fillId="0" borderId="17" xfId="21" applyNumberFormat="1" applyFont="1" applyFill="1" applyBorder="1" applyAlignment="1">
      <alignment horizontal="right" vertical="top" wrapText="1"/>
    </xf>
    <xf numFmtId="179" fontId="27" fillId="0" borderId="18" xfId="21" applyNumberFormat="1" applyFont="1" applyFill="1" applyBorder="1" applyAlignment="1">
      <alignment horizontal="right" vertical="top" wrapText="1"/>
    </xf>
    <xf numFmtId="180" fontId="56" fillId="0" borderId="18" xfId="21" applyNumberFormat="1" applyFont="1" applyFill="1" applyBorder="1" applyAlignment="1">
      <alignment horizontal="right" vertical="top" wrapText="1"/>
    </xf>
    <xf numFmtId="41" fontId="56" fillId="0" borderId="12" xfId="0" applyNumberFormat="1" applyFont="1" applyFill="1" applyBorder="1" applyAlignment="1">
      <alignment horizontal="right" vertical="top" wrapText="1"/>
    </xf>
    <xf numFmtId="178" fontId="32" fillId="0" borderId="0" xfId="0" applyNumberFormat="1" applyFont="1" applyFill="1" applyBorder="1" applyAlignment="1">
      <alignment horizontal="right" vertical="top" wrapText="1"/>
    </xf>
    <xf numFmtId="41" fontId="56" fillId="0" borderId="17" xfId="21" applyNumberFormat="1" applyFont="1" applyFill="1" applyBorder="1" applyAlignment="1">
      <alignment horizontal="right" vertical="top" wrapText="1"/>
    </xf>
    <xf numFmtId="41" fontId="56" fillId="0" borderId="18" xfId="21" applyNumberFormat="1" applyFont="1" applyFill="1" applyBorder="1" applyAlignment="1">
      <alignment horizontal="right" vertical="top" wrapText="1"/>
    </xf>
    <xf numFmtId="181" fontId="56" fillId="0" borderId="12" xfId="0" applyNumberFormat="1" applyFont="1" applyFill="1" applyBorder="1" applyAlignment="1">
      <alignment horizontal="right" vertical="top" wrapText="1"/>
    </xf>
    <xf numFmtId="0" fontId="73" fillId="0" borderId="12" xfId="0" applyFont="1" applyFill="1" applyBorder="1" applyAlignment="1">
      <alignment horizontal="justify" vertical="top" wrapText="1"/>
    </xf>
    <xf numFmtId="180" fontId="56" fillId="0" borderId="12" xfId="21" applyNumberFormat="1" applyFont="1" applyFill="1" applyBorder="1" applyAlignment="1">
      <alignment horizontal="right" vertical="top" wrapText="1"/>
    </xf>
    <xf numFmtId="176" fontId="56" fillId="0" borderId="12" xfId="0" applyNumberFormat="1" applyFont="1" applyFill="1" applyBorder="1" applyAlignment="1">
      <alignment horizontal="right" vertical="top" wrapText="1"/>
    </xf>
    <xf numFmtId="181" fontId="56" fillId="0" borderId="13" xfId="0" applyNumberFormat="1" applyFont="1" applyFill="1" applyBorder="1" applyAlignment="1">
      <alignment horizontal="right" vertical="top" wrapText="1"/>
    </xf>
    <xf numFmtId="188" fontId="8" fillId="0" borderId="0" xfId="0" applyNumberFormat="1" applyFont="1" applyFill="1" applyAlignment="1">
      <alignment vertical="top"/>
    </xf>
    <xf numFmtId="0" fontId="74" fillId="0" borderId="0" xfId="0" applyFont="1" applyFill="1" applyAlignment="1">
      <alignment horizontal="justify" vertical="top"/>
    </xf>
    <xf numFmtId="0" fontId="74" fillId="0" borderId="0" xfId="0" applyFont="1" applyFill="1" applyAlignment="1">
      <alignment vertical="top"/>
    </xf>
    <xf numFmtId="0" fontId="75" fillId="0" borderId="0" xfId="0" applyFont="1" applyFill="1" applyAlignment="1">
      <alignment vertical="top"/>
    </xf>
    <xf numFmtId="180" fontId="74" fillId="0" borderId="0" xfId="0" applyNumberFormat="1" applyFont="1" applyFill="1" applyAlignment="1">
      <alignment vertical="top"/>
    </xf>
    <xf numFmtId="0" fontId="55" fillId="0" borderId="0" xfId="0" applyFont="1" applyFill="1" applyAlignment="1">
      <alignment vertical="top"/>
    </xf>
    <xf numFmtId="180" fontId="8" fillId="0" borderId="0" xfId="0" applyNumberFormat="1" applyFont="1" applyFill="1" applyAlignment="1">
      <alignment vertical="top"/>
    </xf>
    <xf numFmtId="0" fontId="12" fillId="0" borderId="0" xfId="0" applyFont="1" applyFill="1">
      <alignment vertical="center"/>
    </xf>
    <xf numFmtId="0" fontId="12" fillId="0" borderId="29" xfId="0" applyFont="1" applyFill="1" applyBorder="1" applyAlignment="1">
      <alignment horizontal="center" vertical="center"/>
    </xf>
    <xf numFmtId="189" fontId="14" fillId="0" borderId="0" xfId="0" applyNumberFormat="1" applyFont="1" applyFill="1" applyAlignment="1">
      <alignment vertical="top"/>
    </xf>
    <xf numFmtId="0" fontId="56" fillId="0" borderId="18" xfId="0" applyNumberFormat="1" applyFont="1" applyFill="1" applyBorder="1" applyAlignment="1">
      <alignment horizontal="right" vertical="top" wrapText="1"/>
    </xf>
    <xf numFmtId="189" fontId="8" fillId="0" borderId="0" xfId="0" applyNumberFormat="1" applyFont="1" applyFill="1" applyAlignment="1">
      <alignment vertical="top"/>
    </xf>
    <xf numFmtId="0" fontId="27" fillId="0" borderId="18" xfId="0" applyNumberFormat="1" applyFont="1" applyFill="1" applyBorder="1" applyAlignment="1">
      <alignment horizontal="right" vertical="top" wrapText="1"/>
    </xf>
    <xf numFmtId="176" fontId="56" fillId="0" borderId="18" xfId="0" applyNumberFormat="1" applyFont="1" applyFill="1" applyBorder="1" applyAlignment="1">
      <alignment horizontal="right" vertical="top" wrapText="1"/>
    </xf>
    <xf numFmtId="179" fontId="56" fillId="0" borderId="18" xfId="21" applyNumberFormat="1" applyFont="1" applyFill="1" applyBorder="1" applyAlignment="1">
      <alignment horizontal="right" vertical="top" wrapText="1"/>
    </xf>
    <xf numFmtId="179" fontId="56" fillId="0" borderId="27" xfId="21" applyNumberFormat="1" applyFont="1" applyFill="1" applyBorder="1" applyAlignment="1">
      <alignment horizontal="right" vertical="top" wrapText="1"/>
    </xf>
    <xf numFmtId="181" fontId="56" fillId="0" borderId="11" xfId="21" applyNumberFormat="1" applyFont="1" applyFill="1" applyBorder="1" applyAlignment="1">
      <alignment horizontal="right" vertical="top" wrapText="1"/>
    </xf>
    <xf numFmtId="179" fontId="27" fillId="0" borderId="27" xfId="0" applyNumberFormat="1" applyFont="1" applyFill="1" applyBorder="1" applyAlignment="1">
      <alignment horizontal="right" vertical="top" wrapText="1"/>
    </xf>
    <xf numFmtId="179" fontId="56" fillId="0" borderId="27" xfId="0" applyNumberFormat="1" applyFont="1" applyFill="1" applyBorder="1" applyAlignment="1">
      <alignment horizontal="right" vertical="top" wrapText="1"/>
    </xf>
    <xf numFmtId="41" fontId="27" fillId="0" borderId="12" xfId="0" applyNumberFormat="1" applyFont="1" applyFill="1" applyBorder="1" applyAlignment="1">
      <alignment horizontal="right" vertical="top" wrapText="1"/>
    </xf>
    <xf numFmtId="0" fontId="74" fillId="0" borderId="0" xfId="0" applyFont="1" applyFill="1" applyAlignment="1">
      <alignment horizontal="justify" vertical="center"/>
    </xf>
    <xf numFmtId="0" fontId="74" fillId="0" borderId="0" xfId="0" applyFont="1" applyFill="1">
      <alignment vertical="center"/>
    </xf>
    <xf numFmtId="0" fontId="75" fillId="0" borderId="0" xfId="0" applyFont="1" applyFill="1">
      <alignment vertical="center"/>
    </xf>
    <xf numFmtId="176" fontId="74" fillId="0" borderId="0" xfId="0" applyNumberFormat="1" applyFont="1" applyFill="1">
      <alignment vertical="center"/>
    </xf>
    <xf numFmtId="0" fontId="55" fillId="0" borderId="0" xfId="0" applyFont="1" applyFill="1">
      <alignment vertical="center"/>
    </xf>
    <xf numFmtId="188" fontId="14" fillId="0" borderId="0" xfId="0" applyNumberFormat="1" applyFont="1" applyFill="1" applyAlignment="1">
      <alignment vertical="top"/>
    </xf>
    <xf numFmtId="179" fontId="76" fillId="0" borderId="18" xfId="0" applyNumberFormat="1" applyFont="1" applyFill="1" applyBorder="1" applyAlignment="1">
      <alignment horizontal="right" vertical="top" wrapText="1"/>
    </xf>
    <xf numFmtId="0" fontId="27" fillId="0" borderId="12" xfId="0" applyFont="1" applyFill="1" applyBorder="1" applyAlignment="1">
      <alignment horizontal="right" vertical="top" wrapText="1"/>
    </xf>
    <xf numFmtId="0" fontId="8" fillId="0" borderId="0" xfId="0" applyFont="1" applyFill="1" applyBorder="1">
      <alignment vertical="center"/>
    </xf>
    <xf numFmtId="180" fontId="74" fillId="0" borderId="0" xfId="0" applyNumberFormat="1" applyFont="1" applyFill="1">
      <alignment vertical="center"/>
    </xf>
    <xf numFmtId="181" fontId="32" fillId="0" borderId="27" xfId="0" applyNumberFormat="1" applyFont="1" applyFill="1" applyBorder="1" applyAlignment="1">
      <alignment horizontal="right" vertical="top" wrapText="1"/>
    </xf>
    <xf numFmtId="178" fontId="27" fillId="0" borderId="10" xfId="0" applyNumberFormat="1" applyFont="1" applyFill="1" applyBorder="1" applyAlignment="1">
      <alignment horizontal="right" vertical="top" wrapText="1"/>
    </xf>
    <xf numFmtId="185" fontId="27" fillId="0" borderId="18" xfId="0" applyNumberFormat="1" applyFont="1" applyFill="1" applyBorder="1" applyAlignment="1">
      <alignment horizontal="right" vertical="top" wrapText="1"/>
    </xf>
    <xf numFmtId="181" fontId="77" fillId="0" borderId="27" xfId="0" applyNumberFormat="1" applyFont="1" applyFill="1" applyBorder="1" applyAlignment="1">
      <alignment horizontal="right" vertical="top" wrapText="1"/>
    </xf>
    <xf numFmtId="179" fontId="27" fillId="0" borderId="10" xfId="0" applyNumberFormat="1" applyFont="1" applyFill="1" applyBorder="1" applyAlignment="1">
      <alignment horizontal="right" vertical="top" wrapText="1"/>
    </xf>
    <xf numFmtId="41" fontId="27" fillId="0" borderId="21" xfId="0" applyNumberFormat="1" applyFont="1" applyFill="1" applyBorder="1" applyAlignment="1">
      <alignment horizontal="right" vertical="top" wrapText="1"/>
    </xf>
    <xf numFmtId="181" fontId="8" fillId="0" borderId="0" xfId="0" applyNumberFormat="1" applyFont="1" applyFill="1" applyAlignment="1">
      <alignment vertical="top"/>
    </xf>
    <xf numFmtId="43" fontId="8" fillId="0" borderId="0" xfId="0" applyNumberFormat="1" applyFont="1" applyFill="1" applyAlignment="1">
      <alignment vertical="top"/>
    </xf>
    <xf numFmtId="0" fontId="8" fillId="0" borderId="0" xfId="0" applyFont="1" applyAlignment="1">
      <alignment vertical="center"/>
    </xf>
    <xf numFmtId="0" fontId="8" fillId="0" borderId="11" xfId="0" applyFont="1" applyFill="1" applyBorder="1" applyAlignment="1">
      <alignment horizontal="left" vertical="top" wrapText="1"/>
    </xf>
    <xf numFmtId="41" fontId="14" fillId="0" borderId="10" xfId="0" applyNumberFormat="1" applyFont="1" applyBorder="1" applyAlignment="1">
      <alignment horizontal="right" vertical="top" wrapText="1"/>
    </xf>
    <xf numFmtId="0" fontId="13" fillId="0" borderId="18" xfId="0" applyFont="1" applyBorder="1" applyAlignment="1">
      <alignment vertical="top" wrapText="1"/>
    </xf>
    <xf numFmtId="178" fontId="14" fillId="0" borderId="18" xfId="21" applyNumberFormat="1" applyFont="1" applyBorder="1" applyAlignment="1">
      <alignment horizontal="right" vertical="top" wrapText="1"/>
    </xf>
    <xf numFmtId="41" fontId="8" fillId="0" borderId="12" xfId="0" applyNumberFormat="1" applyFont="1" applyBorder="1" applyAlignment="1">
      <alignment horizontal="right" vertical="top" wrapText="1"/>
    </xf>
    <xf numFmtId="0" fontId="8" fillId="0" borderId="10" xfId="0" applyFont="1" applyBorder="1">
      <alignment vertical="center"/>
    </xf>
    <xf numFmtId="0" fontId="8" fillId="0" borderId="22" xfId="0" applyFont="1" applyBorder="1">
      <alignment vertical="center"/>
    </xf>
    <xf numFmtId="0" fontId="8" fillId="0" borderId="42" xfId="0" applyFont="1" applyBorder="1">
      <alignment vertical="center"/>
    </xf>
    <xf numFmtId="0" fontId="8" fillId="0" borderId="23" xfId="0" applyFont="1" applyBorder="1">
      <alignment vertical="center"/>
    </xf>
    <xf numFmtId="0" fontId="8" fillId="0" borderId="12" xfId="0" applyFont="1" applyBorder="1">
      <alignment vertical="center"/>
    </xf>
    <xf numFmtId="0" fontId="20" fillId="0" borderId="25" xfId="0" applyFont="1" applyFill="1" applyBorder="1" applyAlignment="1">
      <alignment horizontal="distributed" vertical="center" wrapText="1"/>
    </xf>
    <xf numFmtId="41" fontId="22" fillId="0" borderId="18" xfId="0" applyNumberFormat="1" applyFont="1" applyFill="1" applyBorder="1" applyAlignment="1">
      <alignment vertical="top" wrapText="1"/>
    </xf>
    <xf numFmtId="0" fontId="20" fillId="0" borderId="18" xfId="0" applyFont="1" applyFill="1" applyBorder="1" applyAlignment="1">
      <alignment horizontal="left" vertical="top" wrapText="1"/>
    </xf>
    <xf numFmtId="0" fontId="20" fillId="0" borderId="15" xfId="0" applyFont="1" applyFill="1" applyBorder="1" applyAlignment="1">
      <alignment horizontal="distributed" vertical="center" wrapText="1"/>
    </xf>
    <xf numFmtId="179" fontId="8" fillId="0" borderId="0" xfId="0" applyNumberFormat="1" applyFont="1" applyFill="1" applyAlignment="1">
      <alignment vertical="center"/>
    </xf>
    <xf numFmtId="41" fontId="8" fillId="0" borderId="0" xfId="0" applyNumberFormat="1" applyFont="1" applyFill="1" applyBorder="1" applyAlignment="1">
      <alignment vertical="top" wrapText="1"/>
    </xf>
    <xf numFmtId="3" fontId="34" fillId="0" borderId="18" xfId="0" applyNumberFormat="1" applyFont="1" applyFill="1" applyBorder="1" applyAlignment="1">
      <alignment horizontal="right" vertical="top" wrapText="1"/>
    </xf>
    <xf numFmtId="3" fontId="22" fillId="0" borderId="18" xfId="0" applyNumberFormat="1" applyFont="1" applyFill="1" applyBorder="1" applyAlignment="1">
      <alignment horizontal="right" vertical="top" wrapText="1"/>
    </xf>
    <xf numFmtId="41" fontId="22" fillId="0" borderId="30" xfId="0" applyNumberFormat="1" applyFont="1" applyFill="1" applyBorder="1" applyAlignment="1">
      <alignment horizontal="right" vertical="top" wrapText="1"/>
    </xf>
    <xf numFmtId="41" fontId="8" fillId="0" borderId="10" xfId="0" applyNumberFormat="1" applyFont="1" applyBorder="1" applyAlignment="1">
      <alignment horizontal="right" vertical="top"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8" fillId="0" borderId="0" xfId="0" applyFont="1" applyFill="1" applyBorder="1" applyAlignment="1">
      <alignment horizontal="left" vertical="center"/>
    </xf>
    <xf numFmtId="0" fontId="8" fillId="0" borderId="0" xfId="0" applyFont="1" applyFill="1" applyBorder="1" applyAlignment="1">
      <alignment horizontal="right" vertical="center"/>
    </xf>
    <xf numFmtId="3" fontId="8" fillId="0" borderId="0" xfId="0" applyNumberFormat="1" applyFont="1" applyFill="1" applyBorder="1" applyAlignment="1">
      <alignment vertical="top"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22" fillId="0" borderId="16" xfId="0" applyFont="1" applyFill="1" applyBorder="1" applyAlignment="1">
      <alignment horizontal="distributed" vertical="center" wrapText="1"/>
    </xf>
    <xf numFmtId="0" fontId="8" fillId="0" borderId="14" xfId="0" applyFont="1" applyFill="1" applyBorder="1" applyAlignment="1">
      <alignment horizontal="distributed" vertical="center" wrapText="1" indent="1"/>
    </xf>
    <xf numFmtId="3" fontId="34" fillId="0" borderId="17" xfId="0" applyNumberFormat="1" applyFont="1" applyFill="1" applyBorder="1" applyAlignment="1">
      <alignment horizontal="right" vertical="top" wrapText="1"/>
    </xf>
    <xf numFmtId="41" fontId="34" fillId="0" borderId="11" xfId="0" applyNumberFormat="1" applyFont="1" applyFill="1" applyBorder="1" applyAlignment="1">
      <alignment horizontal="right" vertical="top" wrapText="1"/>
    </xf>
    <xf numFmtId="3" fontId="22" fillId="0" borderId="17" xfId="0" applyNumberFormat="1" applyFont="1" applyFill="1" applyBorder="1" applyAlignment="1">
      <alignment horizontal="right" vertical="top" wrapText="1"/>
    </xf>
    <xf numFmtId="41" fontId="22" fillId="0" borderId="11" xfId="0" applyNumberFormat="1" applyFont="1" applyFill="1" applyBorder="1" applyAlignment="1">
      <alignment horizontal="right" vertical="top" wrapText="1"/>
    </xf>
    <xf numFmtId="41" fontId="22" fillId="0" borderId="17" xfId="0" applyNumberFormat="1" applyFont="1" applyFill="1" applyBorder="1" applyAlignment="1">
      <alignment horizontal="right" vertical="top" wrapText="1"/>
    </xf>
    <xf numFmtId="41" fontId="34" fillId="0" borderId="17" xfId="0" applyNumberFormat="1" applyFont="1" applyFill="1" applyBorder="1" applyAlignment="1">
      <alignment horizontal="right" vertical="top" wrapText="1"/>
    </xf>
    <xf numFmtId="41" fontId="22" fillId="0" borderId="11" xfId="21" applyNumberFormat="1" applyFont="1" applyFill="1" applyBorder="1" applyAlignment="1">
      <alignment horizontal="right" vertical="top" wrapText="1"/>
    </xf>
    <xf numFmtId="3" fontId="34" fillId="0" borderId="21" xfId="0" applyNumberFormat="1" applyFont="1" applyFill="1" applyBorder="1" applyAlignment="1">
      <alignment horizontal="right" vertical="top" wrapText="1"/>
    </xf>
    <xf numFmtId="41" fontId="34" fillId="0" borderId="12" xfId="0" applyNumberFormat="1" applyFont="1" applyFill="1" applyBorder="1" applyAlignment="1">
      <alignment horizontal="right" vertical="top" wrapText="1"/>
    </xf>
    <xf numFmtId="0" fontId="20" fillId="0" borderId="17" xfId="0" applyFont="1" applyFill="1" applyBorder="1" applyAlignment="1">
      <alignment horizontal="left" vertical="top" wrapText="1"/>
    </xf>
    <xf numFmtId="41" fontId="8" fillId="0" borderId="0" xfId="0" applyNumberFormat="1" applyFont="1" applyAlignment="1">
      <alignment vertical="top"/>
    </xf>
    <xf numFmtId="178" fontId="8" fillId="0" borderId="0" xfId="0" applyNumberFormat="1" applyFont="1" applyAlignment="1">
      <alignment vertical="top"/>
    </xf>
    <xf numFmtId="3" fontId="8" fillId="0" borderId="0" xfId="0" applyNumberFormat="1" applyFont="1" applyFill="1" applyAlignment="1">
      <alignment vertical="top"/>
    </xf>
    <xf numFmtId="0" fontId="81" fillId="0" borderId="0" xfId="0" applyFont="1" applyFill="1" applyAlignment="1">
      <alignment vertical="top" wrapText="1"/>
    </xf>
    <xf numFmtId="0" fontId="8" fillId="0" borderId="11" xfId="0" applyFont="1" applyFill="1" applyBorder="1" applyAlignment="1">
      <alignment vertical="top"/>
    </xf>
    <xf numFmtId="41" fontId="8" fillId="0" borderId="0" xfId="0" applyNumberFormat="1" applyFont="1" applyFill="1" applyAlignment="1">
      <alignment vertical="top"/>
    </xf>
    <xf numFmtId="179" fontId="8" fillId="0" borderId="0" xfId="0" applyNumberFormat="1" applyFont="1" applyFill="1" applyAlignment="1">
      <alignment vertical="top"/>
    </xf>
    <xf numFmtId="41" fontId="14" fillId="0" borderId="11" xfId="0" applyNumberFormat="1" applyFont="1" applyFill="1" applyBorder="1" applyAlignment="1">
      <alignment horizontal="right" vertical="top" wrapText="1"/>
    </xf>
    <xf numFmtId="0" fontId="23" fillId="0" borderId="18" xfId="0" applyFont="1" applyFill="1" applyBorder="1" applyAlignment="1">
      <alignment horizontal="left" vertical="top" wrapText="1"/>
    </xf>
    <xf numFmtId="0" fontId="23" fillId="0" borderId="17" xfId="0" applyFont="1" applyFill="1" applyBorder="1" applyAlignment="1">
      <alignment horizontal="left" vertical="top" wrapText="1"/>
    </xf>
    <xf numFmtId="0" fontId="14" fillId="0" borderId="17" xfId="20" applyFont="1" applyBorder="1" applyAlignment="1">
      <alignment horizontal="left" vertical="top" wrapText="1"/>
    </xf>
    <xf numFmtId="0" fontId="8" fillId="0" borderId="15" xfId="0" applyFont="1" applyFill="1" applyBorder="1" applyAlignment="1">
      <alignment horizontal="distributed" vertical="center" wrapText="1" indent="1"/>
    </xf>
    <xf numFmtId="178" fontId="14" fillId="0" borderId="0" xfId="0" applyNumberFormat="1" applyFont="1" applyFill="1" applyBorder="1" applyAlignment="1">
      <alignment horizontal="right" vertical="top" wrapText="1"/>
    </xf>
    <xf numFmtId="3" fontId="8" fillId="0" borderId="36" xfId="0" applyNumberFormat="1" applyFont="1" applyFill="1" applyBorder="1" applyAlignment="1">
      <alignment horizontal="right" vertical="top" wrapText="1"/>
    </xf>
    <xf numFmtId="0" fontId="12" fillId="0" borderId="67" xfId="0" applyFont="1" applyFill="1" applyBorder="1" applyAlignment="1">
      <alignment horizontal="center" vertical="center" wrapText="1"/>
    </xf>
    <xf numFmtId="0" fontId="12" fillId="0" borderId="66" xfId="0" applyFont="1" applyFill="1" applyBorder="1" applyAlignment="1">
      <alignment horizontal="center" vertical="center" wrapText="1"/>
    </xf>
    <xf numFmtId="179" fontId="14" fillId="0" borderId="10" xfId="0" applyNumberFormat="1" applyFont="1" applyFill="1" applyBorder="1" applyAlignment="1">
      <alignment horizontal="right" vertical="top" wrapText="1"/>
    </xf>
    <xf numFmtId="179" fontId="8" fillId="0" borderId="10" xfId="0" applyNumberFormat="1" applyFont="1" applyFill="1" applyBorder="1" applyAlignment="1">
      <alignment horizontal="right" vertical="top" wrapText="1"/>
    </xf>
    <xf numFmtId="0" fontId="8" fillId="0" borderId="10" xfId="0" applyFont="1" applyFill="1" applyBorder="1" applyAlignment="1">
      <alignment horizontal="justify" vertical="top" wrapText="1"/>
    </xf>
    <xf numFmtId="41" fontId="34" fillId="0" borderId="13" xfId="0" applyNumberFormat="1" applyFont="1" applyFill="1" applyBorder="1" applyAlignment="1">
      <alignment horizontal="right" vertical="top" wrapText="1"/>
    </xf>
    <xf numFmtId="43" fontId="56" fillId="0" borderId="13" xfId="0" applyNumberFormat="1" applyFont="1" applyFill="1" applyBorder="1" applyAlignment="1">
      <alignment horizontal="right" vertical="top" wrapText="1"/>
    </xf>
    <xf numFmtId="177" fontId="8" fillId="0" borderId="15" xfId="0" applyNumberFormat="1" applyFont="1" applyFill="1" applyBorder="1" applyAlignment="1">
      <alignment horizontal="center" vertical="center" wrapText="1"/>
    </xf>
    <xf numFmtId="177" fontId="8" fillId="0" borderId="26" xfId="0" applyNumberFormat="1" applyFont="1" applyFill="1" applyBorder="1" applyAlignment="1">
      <alignment horizontal="center" vertical="center" wrapText="1"/>
    </xf>
    <xf numFmtId="179" fontId="14" fillId="0" borderId="22" xfId="0" applyNumberFormat="1" applyFont="1" applyFill="1" applyBorder="1" applyAlignment="1">
      <alignment vertical="top"/>
    </xf>
    <xf numFmtId="179" fontId="8" fillId="0" borderId="22" xfId="0" applyNumberFormat="1" applyFont="1" applyFill="1" applyBorder="1" applyAlignment="1">
      <alignment vertical="top"/>
    </xf>
    <xf numFmtId="41" fontId="8" fillId="0" borderId="22" xfId="0" applyNumberFormat="1" applyFont="1" applyFill="1" applyBorder="1" applyAlignment="1">
      <alignment vertical="top"/>
    </xf>
    <xf numFmtId="179" fontId="14" fillId="0" borderId="23" xfId="0" applyNumberFormat="1" applyFont="1" applyFill="1" applyBorder="1" applyAlignment="1">
      <alignment vertical="top"/>
    </xf>
    <xf numFmtId="41" fontId="8" fillId="0" borderId="42" xfId="0" applyNumberFormat="1" applyFont="1" applyFill="1" applyBorder="1" applyAlignment="1">
      <alignment horizontal="right" vertical="top" wrapText="1"/>
    </xf>
    <xf numFmtId="0" fontId="8" fillId="0" borderId="22" xfId="0" applyFont="1" applyFill="1" applyBorder="1" applyAlignment="1">
      <alignment horizontal="center" vertical="top" wrapText="1"/>
    </xf>
    <xf numFmtId="0" fontId="8" fillId="0" borderId="23" xfId="0" applyFont="1" applyFill="1" applyBorder="1" applyAlignment="1">
      <alignment horizontal="justify" vertical="top" wrapText="1"/>
    </xf>
    <xf numFmtId="43" fontId="27" fillId="0" borderId="13" xfId="0" applyNumberFormat="1" applyFont="1" applyFill="1" applyBorder="1" applyAlignment="1">
      <alignment horizontal="right" vertical="top" wrapText="1"/>
    </xf>
    <xf numFmtId="0" fontId="8" fillId="0" borderId="18" xfId="0"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30" xfId="0" applyFont="1" applyFill="1" applyBorder="1" applyAlignment="1">
      <alignment horizontal="center" vertical="center"/>
    </xf>
    <xf numFmtId="177" fontId="8" fillId="0" borderId="18" xfId="0" applyNumberFormat="1" applyFont="1" applyFill="1" applyBorder="1" applyAlignment="1">
      <alignment horizontal="center" vertical="center" wrapText="1"/>
    </xf>
    <xf numFmtId="177" fontId="8" fillId="0" borderId="11" xfId="0" applyNumberFormat="1" applyFont="1" applyFill="1" applyBorder="1" applyAlignment="1">
      <alignment horizontal="center" vertical="center"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22" xfId="0" applyFont="1" applyBorder="1" applyAlignment="1">
      <alignment horizontal="left" vertical="top" wrapText="1"/>
    </xf>
    <xf numFmtId="0" fontId="8" fillId="0" borderId="11"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27" xfId="0" applyFont="1" applyBorder="1" applyAlignment="1">
      <alignment horizontal="left" vertical="top" wrapText="1"/>
    </xf>
    <xf numFmtId="0" fontId="8" fillId="0" borderId="18" xfId="0" applyFont="1" applyBorder="1">
      <alignment vertical="center"/>
    </xf>
    <xf numFmtId="0" fontId="13" fillId="0" borderId="10" xfId="0" applyFont="1" applyFill="1" applyBorder="1" applyAlignment="1">
      <alignment horizontal="left" vertical="top" wrapText="1"/>
    </xf>
    <xf numFmtId="0" fontId="12" fillId="0" borderId="18" xfId="0" applyFont="1" applyBorder="1">
      <alignment vertical="center"/>
    </xf>
    <xf numFmtId="0" fontId="12" fillId="0" borderId="12" xfId="0" applyFont="1" applyBorder="1">
      <alignment vertical="center"/>
    </xf>
    <xf numFmtId="0" fontId="12" fillId="0" borderId="17" xfId="0" applyFont="1" applyBorder="1" applyAlignment="1">
      <alignment horizontal="justify" vertical="top" wrapText="1"/>
    </xf>
    <xf numFmtId="0" fontId="13" fillId="0" borderId="18" xfId="0" applyFont="1" applyFill="1" applyBorder="1" applyAlignment="1">
      <alignment horizontal="distributed" vertical="top" indent="6"/>
    </xf>
    <xf numFmtId="179" fontId="14" fillId="0" borderId="0" xfId="0" applyNumberFormat="1" applyFont="1" applyFill="1" applyBorder="1" applyAlignment="1">
      <alignment vertical="top"/>
    </xf>
    <xf numFmtId="0" fontId="23" fillId="0" borderId="12" xfId="0" applyFont="1" applyFill="1" applyBorder="1" applyAlignment="1">
      <alignment horizontal="center" vertical="top" wrapText="1"/>
    </xf>
    <xf numFmtId="0" fontId="23" fillId="0" borderId="21" xfId="0" applyFont="1" applyFill="1" applyBorder="1" applyAlignment="1">
      <alignment horizontal="center" vertical="top" wrapText="1"/>
    </xf>
    <xf numFmtId="0" fontId="15" fillId="0" borderId="0" xfId="20" applyFont="1" applyBorder="1" applyAlignment="1">
      <alignment vertical="top"/>
    </xf>
    <xf numFmtId="179" fontId="8" fillId="0" borderId="22" xfId="20" applyNumberFormat="1" applyFont="1" applyBorder="1" applyAlignment="1">
      <alignment vertical="top"/>
    </xf>
    <xf numFmtId="0" fontId="8" fillId="0" borderId="22" xfId="20" applyNumberFormat="1" applyFont="1" applyBorder="1" applyAlignment="1">
      <alignment horizontal="justify" vertical="top" wrapText="1"/>
    </xf>
    <xf numFmtId="0" fontId="8" fillId="0" borderId="23" xfId="20" applyNumberFormat="1" applyFont="1" applyBorder="1" applyAlignment="1">
      <alignment vertical="top" wrapText="1"/>
    </xf>
    <xf numFmtId="0" fontId="8" fillId="0" borderId="22" xfId="20" applyFont="1" applyBorder="1" applyAlignment="1">
      <alignment vertical="top" wrapText="1"/>
    </xf>
    <xf numFmtId="0" fontId="8" fillId="0" borderId="22" xfId="20" applyNumberFormat="1" applyFont="1" applyFill="1" applyBorder="1" applyAlignment="1">
      <alignment horizontal="justify" vertical="top" wrapText="1"/>
    </xf>
    <xf numFmtId="0" fontId="8" fillId="0" borderId="22" xfId="20" applyNumberFormat="1" applyFont="1" applyBorder="1" applyAlignment="1">
      <alignment vertical="top" wrapText="1"/>
    </xf>
    <xf numFmtId="0" fontId="8" fillId="0" borderId="22" xfId="20" applyNumberFormat="1" applyFont="1" applyBorder="1" applyAlignment="1">
      <alignment horizontal="left" vertical="top" wrapText="1"/>
    </xf>
    <xf numFmtId="0" fontId="22" fillId="0" borderId="18" xfId="20" applyFont="1" applyBorder="1" applyAlignment="1">
      <alignment vertical="top"/>
    </xf>
    <xf numFmtId="3" fontId="12" fillId="0" borderId="17" xfId="20" applyNumberFormat="1" applyFont="1" applyBorder="1" applyAlignment="1">
      <alignment vertical="top"/>
    </xf>
    <xf numFmtId="179" fontId="22" fillId="0" borderId="22" xfId="20" applyNumberFormat="1" applyFont="1" applyBorder="1" applyAlignment="1">
      <alignment vertical="top"/>
    </xf>
    <xf numFmtId="0" fontId="27" fillId="0" borderId="28"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0" xfId="0" applyFont="1" applyFill="1" applyAlignment="1">
      <alignment vertical="top"/>
    </xf>
    <xf numFmtId="176" fontId="27" fillId="0" borderId="28" xfId="0" applyNumberFormat="1" applyFont="1" applyFill="1" applyBorder="1" applyAlignment="1">
      <alignment horizontal="center" vertical="center" wrapText="1"/>
    </xf>
    <xf numFmtId="176" fontId="27" fillId="0" borderId="15" xfId="0" applyNumberFormat="1" applyFont="1" applyFill="1" applyBorder="1" applyAlignment="1">
      <alignment horizontal="center" vertical="center" wrapText="1"/>
    </xf>
    <xf numFmtId="176" fontId="27" fillId="0" borderId="0" xfId="0" applyNumberFormat="1" applyFont="1" applyFill="1" applyAlignment="1">
      <alignment vertical="top"/>
    </xf>
    <xf numFmtId="176" fontId="27" fillId="0" borderId="0" xfId="0" applyNumberFormat="1" applyFont="1" applyFill="1">
      <alignment vertical="center"/>
    </xf>
    <xf numFmtId="0" fontId="27" fillId="0" borderId="44"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56" fillId="0" borderId="26" xfId="111" applyFont="1" applyBorder="1" applyAlignment="1">
      <alignment horizontal="right" vertical="center"/>
    </xf>
    <xf numFmtId="3" fontId="27" fillId="0" borderId="22" xfId="111" applyNumberFormat="1" applyFont="1" applyBorder="1" applyAlignment="1">
      <alignment horizontal="right" vertical="center"/>
    </xf>
    <xf numFmtId="3" fontId="56" fillId="0" borderId="53" xfId="111" applyNumberFormat="1" applyFont="1" applyBorder="1" applyAlignment="1">
      <alignment horizontal="right" vertical="center" wrapText="1"/>
    </xf>
    <xf numFmtId="0" fontId="56" fillId="0" borderId="22" xfId="111" applyFont="1" applyBorder="1" applyAlignment="1">
      <alignment horizontal="right" vertical="center"/>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1" xfId="0" applyFont="1" applyFill="1" applyBorder="1" applyAlignment="1">
      <alignment horizontal="left" vertical="top" wrapText="1"/>
    </xf>
    <xf numFmtId="0" fontId="8" fillId="0" borderId="13" xfId="0" applyFont="1" applyFill="1" applyBorder="1" applyAlignment="1">
      <alignment horizontal="left" vertical="top" wrapText="1"/>
    </xf>
    <xf numFmtId="0" fontId="12"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8" fillId="0" borderId="22" xfId="0"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14" fillId="0" borderId="17" xfId="0" applyFont="1" applyFill="1" applyBorder="1" applyAlignment="1">
      <alignment horizontal="justify" vertical="top" wrapText="1"/>
    </xf>
    <xf numFmtId="0" fontId="17" fillId="25" borderId="0" xfId="0" applyFont="1" applyFill="1" applyAlignment="1">
      <alignment vertical="top"/>
    </xf>
    <xf numFmtId="0" fontId="8" fillId="0" borderId="0" xfId="0" applyFont="1" applyFill="1" applyAlignment="1">
      <alignment vertical="top"/>
    </xf>
    <xf numFmtId="0" fontId="8" fillId="0" borderId="0" xfId="0" applyFont="1" applyFill="1" applyAlignment="1">
      <alignment vertical="top"/>
    </xf>
    <xf numFmtId="43" fontId="39" fillId="0" borderId="18" xfId="22" applyNumberFormat="1" applyFill="1" applyBorder="1" applyAlignment="1">
      <alignment horizontal="right" vertical="top" wrapText="1"/>
    </xf>
    <xf numFmtId="0" fontId="39" fillId="0" borderId="0" xfId="22" applyFill="1" applyAlignment="1">
      <alignment vertical="top"/>
    </xf>
    <xf numFmtId="183" fontId="39" fillId="0" borderId="0" xfId="22" applyNumberFormat="1" applyFill="1" applyAlignment="1">
      <alignment vertical="top"/>
    </xf>
    <xf numFmtId="0" fontId="75" fillId="0" borderId="27" xfId="0" applyFont="1" applyFill="1" applyBorder="1" applyAlignment="1">
      <alignment horizontal="justify" vertical="top" wrapText="1"/>
    </xf>
    <xf numFmtId="0" fontId="75" fillId="0" borderId="32" xfId="0" applyFont="1" applyFill="1" applyBorder="1" applyAlignment="1">
      <alignment horizontal="justify" vertical="top" wrapText="1"/>
    </xf>
    <xf numFmtId="0" fontId="8" fillId="0" borderId="0" xfId="0" applyFont="1" applyFill="1" applyAlignment="1">
      <alignment vertical="top"/>
    </xf>
    <xf numFmtId="0" fontId="22" fillId="0" borderId="28" xfId="0" applyFont="1" applyFill="1" applyBorder="1" applyAlignment="1">
      <alignment horizontal="center" vertical="center" wrapText="1"/>
    </xf>
    <xf numFmtId="179" fontId="8" fillId="0" borderId="0" xfId="0" applyNumberFormat="1" applyFont="1" applyFill="1" applyBorder="1" applyAlignment="1">
      <alignment vertical="top"/>
    </xf>
    <xf numFmtId="43" fontId="27" fillId="0" borderId="27" xfId="0" applyNumberFormat="1" applyFont="1" applyFill="1" applyBorder="1" applyAlignment="1">
      <alignment horizontal="right" vertical="top" wrapText="1"/>
    </xf>
    <xf numFmtId="0" fontId="73" fillId="0" borderId="27" xfId="0" applyFont="1" applyFill="1" applyBorder="1" applyAlignment="1">
      <alignment horizontal="justify" vertical="top" wrapText="1"/>
    </xf>
    <xf numFmtId="0" fontId="55" fillId="0" borderId="27" xfId="0" applyFont="1" applyFill="1" applyBorder="1" applyAlignment="1">
      <alignment horizontal="justify" vertical="top" wrapText="1"/>
    </xf>
    <xf numFmtId="0" fontId="8" fillId="0" borderId="0" xfId="0" applyFont="1" applyFill="1" applyAlignment="1">
      <alignment vertical="top"/>
    </xf>
    <xf numFmtId="41" fontId="14" fillId="0" borderId="0" xfId="0" applyNumberFormat="1" applyFont="1" applyFill="1" applyAlignment="1">
      <alignment vertical="top"/>
    </xf>
    <xf numFmtId="0" fontId="8" fillId="0" borderId="0" xfId="0" applyFont="1" applyAlignment="1">
      <alignment vertical="top"/>
    </xf>
    <xf numFmtId="41" fontId="8" fillId="0" borderId="0" xfId="0" applyNumberFormat="1" applyFont="1" applyFill="1">
      <alignment vertical="center"/>
    </xf>
    <xf numFmtId="0" fontId="8" fillId="0" borderId="22" xfId="0" applyFont="1" applyBorder="1" applyAlignment="1">
      <alignment horizontal="left" vertical="top" wrapText="1"/>
    </xf>
    <xf numFmtId="0" fontId="8" fillId="0" borderId="11" xfId="0" applyFont="1" applyFill="1" applyBorder="1" applyAlignment="1">
      <alignment horizontal="left" vertical="top" wrapText="1"/>
    </xf>
    <xf numFmtId="0" fontId="8" fillId="0" borderId="27" xfId="0" applyFont="1" applyBorder="1" applyAlignment="1">
      <alignment horizontal="left" vertical="top" wrapText="1"/>
    </xf>
    <xf numFmtId="0" fontId="8" fillId="0" borderId="19" xfId="20" applyFont="1" applyFill="1" applyBorder="1" applyAlignment="1">
      <alignment horizontal="distributed" vertical="center" indent="2"/>
    </xf>
    <xf numFmtId="3" fontId="8" fillId="0" borderId="14" xfId="20" applyNumberFormat="1" applyFont="1" applyFill="1" applyBorder="1" applyAlignment="1">
      <alignment vertical="top"/>
    </xf>
    <xf numFmtId="0" fontId="14" fillId="0" borderId="17" xfId="20" applyFont="1" applyFill="1" applyBorder="1" applyAlignment="1">
      <alignment vertical="top" wrapText="1"/>
    </xf>
    <xf numFmtId="0" fontId="14" fillId="0" borderId="17" xfId="0" applyFont="1" applyFill="1" applyBorder="1" applyAlignment="1">
      <alignment vertical="top" wrapText="1"/>
    </xf>
    <xf numFmtId="0" fontId="8" fillId="0" borderId="17" xfId="0" applyFont="1" applyFill="1" applyBorder="1" applyAlignment="1">
      <alignment vertical="top" wrapText="1"/>
    </xf>
    <xf numFmtId="0" fontId="8" fillId="0" borderId="21" xfId="0" applyFont="1" applyFill="1" applyBorder="1" applyAlignment="1">
      <alignment vertical="top" wrapText="1"/>
    </xf>
    <xf numFmtId="0" fontId="84" fillId="0" borderId="17" xfId="0" applyFont="1" applyFill="1" applyBorder="1" applyAlignment="1">
      <alignment horizontal="left" vertical="top" wrapText="1"/>
    </xf>
    <xf numFmtId="0" fontId="67" fillId="0" borderId="17" xfId="0" applyFont="1" applyFill="1" applyBorder="1" applyAlignment="1">
      <alignment horizontal="left" vertical="top" wrapText="1"/>
    </xf>
    <xf numFmtId="0" fontId="67" fillId="0" borderId="21" xfId="0" applyFont="1" applyFill="1" applyBorder="1" applyAlignment="1">
      <alignment horizontal="left" vertical="top" wrapText="1"/>
    </xf>
    <xf numFmtId="0" fontId="67" fillId="0" borderId="17" xfId="0" applyNumberFormat="1" applyFont="1" applyFill="1" applyBorder="1" applyAlignment="1">
      <alignment vertical="top" wrapText="1"/>
    </xf>
    <xf numFmtId="178" fontId="27" fillId="0" borderId="18" xfId="21" applyNumberFormat="1" applyFont="1" applyFill="1" applyBorder="1" applyAlignment="1">
      <alignment horizontal="right" vertical="top" wrapText="1"/>
    </xf>
    <xf numFmtId="3" fontId="8" fillId="0" borderId="0" xfId="0" applyNumberFormat="1" applyFont="1" applyFill="1" applyBorder="1" applyAlignment="1">
      <alignment vertical="top" wrapText="1"/>
    </xf>
    <xf numFmtId="0" fontId="8" fillId="0" borderId="22" xfId="0" applyFont="1" applyFill="1" applyBorder="1" applyAlignment="1">
      <alignment horizontal="left" vertical="top" wrapText="1"/>
    </xf>
    <xf numFmtId="3" fontId="8" fillId="0" borderId="0" xfId="0" applyNumberFormat="1"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0" xfId="0" applyFont="1" applyFill="1" applyAlignment="1">
      <alignment vertical="top"/>
    </xf>
    <xf numFmtId="0" fontId="12" fillId="0" borderId="24" xfId="0" applyFont="1" applyFill="1" applyBorder="1" applyAlignment="1">
      <alignment horizontal="distributed" vertical="center" wrapText="1" indent="1"/>
    </xf>
    <xf numFmtId="0" fontId="8" fillId="0" borderId="22" xfId="0" applyFont="1" applyFill="1" applyBorder="1" applyAlignment="1">
      <alignment vertical="top" wrapText="1"/>
    </xf>
    <xf numFmtId="0" fontId="8" fillId="0" borderId="22" xfId="0" applyFont="1" applyFill="1" applyBorder="1" applyAlignment="1">
      <alignment vertical="top" wrapText="1"/>
    </xf>
    <xf numFmtId="0" fontId="8" fillId="0" borderId="22" xfId="0" applyFont="1" applyFill="1" applyBorder="1" applyAlignment="1">
      <alignment vertical="center"/>
    </xf>
    <xf numFmtId="0" fontId="8" fillId="0" borderId="23" xfId="0" applyFont="1" applyFill="1" applyBorder="1" applyAlignment="1">
      <alignment vertical="center"/>
    </xf>
    <xf numFmtId="3" fontId="8" fillId="0" borderId="0" xfId="0" applyNumberFormat="1" applyFont="1" applyFill="1" applyBorder="1" applyAlignment="1">
      <alignment vertical="top" wrapText="1"/>
    </xf>
    <xf numFmtId="179" fontId="14" fillId="0" borderId="0" xfId="0" applyNumberFormat="1" applyFont="1" applyFill="1" applyAlignment="1">
      <alignment vertical="top"/>
    </xf>
    <xf numFmtId="0" fontId="85" fillId="0" borderId="0" xfId="111" applyFont="1"/>
    <xf numFmtId="43" fontId="35" fillId="0" borderId="0" xfId="111" applyNumberFormat="1" applyFont="1"/>
    <xf numFmtId="0" fontId="8" fillId="0" borderId="0" xfId="0" applyFont="1" applyAlignment="1">
      <alignment vertical="top"/>
    </xf>
    <xf numFmtId="176" fontId="35" fillId="25" borderId="0" xfId="111" applyNumberFormat="1" applyFont="1" applyFill="1"/>
    <xf numFmtId="0" fontId="85" fillId="25" borderId="0" xfId="111" applyFont="1" applyFill="1" applyAlignment="1">
      <alignment vertical="center"/>
    </xf>
    <xf numFmtId="0" fontId="12" fillId="0" borderId="11" xfId="0" applyFont="1" applyFill="1" applyBorder="1" applyAlignment="1">
      <alignment horizontal="left" vertical="top" wrapText="1"/>
    </xf>
    <xf numFmtId="0" fontId="71" fillId="0" borderId="0" xfId="111" applyFont="1" applyAlignment="1">
      <alignment vertical="center"/>
    </xf>
    <xf numFmtId="0" fontId="8" fillId="0" borderId="0" xfId="0" applyFont="1" applyAlignment="1">
      <alignment vertical="top"/>
    </xf>
    <xf numFmtId="0" fontId="8" fillId="0" borderId="0" xfId="112" applyFont="1" applyAlignment="1">
      <alignment vertical="top"/>
    </xf>
    <xf numFmtId="0" fontId="12" fillId="0" borderId="33" xfId="112" applyFont="1" applyBorder="1" applyAlignment="1">
      <alignment horizontal="distributed" vertical="center" wrapText="1"/>
    </xf>
    <xf numFmtId="0" fontId="12" fillId="0" borderId="34" xfId="112" applyFont="1" applyBorder="1" applyAlignment="1">
      <alignment horizontal="distributed" vertical="center" wrapText="1"/>
    </xf>
    <xf numFmtId="0" fontId="8" fillId="0" borderId="0" xfId="112" applyFont="1" applyAlignment="1">
      <alignment vertical="center"/>
    </xf>
    <xf numFmtId="0" fontId="86" fillId="0" borderId="0" xfId="112" applyFont="1" applyAlignment="1">
      <alignment vertical="top"/>
    </xf>
    <xf numFmtId="0" fontId="87" fillId="0" borderId="0" xfId="112" applyFont="1" applyAlignment="1">
      <alignment vertical="top"/>
    </xf>
    <xf numFmtId="0" fontId="14" fillId="0" borderId="0" xfId="112" applyFont="1" applyAlignment="1">
      <alignment vertical="top"/>
    </xf>
    <xf numFmtId="0" fontId="12" fillId="0" borderId="17" xfId="112" applyFont="1" applyBorder="1" applyAlignment="1">
      <alignment vertical="top"/>
    </xf>
    <xf numFmtId="3" fontId="89" fillId="0" borderId="18" xfId="113" applyNumberFormat="1" applyFont="1" applyBorder="1" applyAlignment="1">
      <alignment vertical="top"/>
    </xf>
    <xf numFmtId="179" fontId="8" fillId="0" borderId="18" xfId="112" applyNumberFormat="1" applyFont="1" applyBorder="1" applyAlignment="1">
      <alignment vertical="top"/>
    </xf>
    <xf numFmtId="3" fontId="88" fillId="0" borderId="18" xfId="113" applyNumberFormat="1" applyFont="1" applyBorder="1" applyAlignment="1">
      <alignment vertical="top"/>
    </xf>
    <xf numFmtId="179" fontId="8" fillId="0" borderId="27" xfId="112" applyNumberFormat="1" applyFont="1" applyBorder="1" applyAlignment="1">
      <alignment vertical="top"/>
    </xf>
    <xf numFmtId="179" fontId="14" fillId="0" borderId="18" xfId="112" applyNumberFormat="1" applyFont="1" applyBorder="1" applyAlignment="1">
      <alignment vertical="top"/>
    </xf>
    <xf numFmtId="179" fontId="14" fillId="0" borderId="12" xfId="112" applyNumberFormat="1" applyFont="1" applyBorder="1" applyAlignment="1">
      <alignment vertical="top"/>
    </xf>
    <xf numFmtId="0" fontId="35" fillId="0" borderId="0" xfId="112" applyFont="1" applyAlignment="1">
      <alignment vertical="top"/>
    </xf>
    <xf numFmtId="0" fontId="35" fillId="0" borderId="0" xfId="112" applyFont="1" applyAlignment="1">
      <alignment horizontal="left" vertical="top" indent="1"/>
    </xf>
    <xf numFmtId="0" fontId="12" fillId="0" borderId="24" xfId="112" applyFont="1" applyBorder="1" applyAlignment="1">
      <alignment horizontal="distributed" vertical="center" wrapText="1"/>
    </xf>
    <xf numFmtId="179" fontId="8" fillId="0" borderId="15" xfId="112" applyNumberFormat="1" applyFont="1" applyFill="1" applyBorder="1" applyAlignment="1">
      <alignment horizontal="center" vertical="center"/>
    </xf>
    <xf numFmtId="179" fontId="8" fillId="0" borderId="15" xfId="112" applyNumberFormat="1" applyFont="1" applyFill="1" applyBorder="1" applyAlignment="1">
      <alignment horizontal="right" vertical="center"/>
    </xf>
    <xf numFmtId="41" fontId="8" fillId="0" borderId="30" xfId="112" applyNumberFormat="1" applyFont="1" applyFill="1" applyBorder="1" applyAlignment="1">
      <alignment horizontal="right" vertical="center"/>
    </xf>
    <xf numFmtId="179" fontId="8" fillId="0" borderId="25" xfId="112" applyNumberFormat="1" applyFont="1" applyFill="1" applyBorder="1" applyAlignment="1">
      <alignment horizontal="right" vertical="center"/>
    </xf>
    <xf numFmtId="179" fontId="8" fillId="0" borderId="0" xfId="112" applyNumberFormat="1" applyFont="1" applyFill="1" applyBorder="1" applyAlignment="1">
      <alignment horizontal="center" vertical="center"/>
    </xf>
    <xf numFmtId="179" fontId="8" fillId="0" borderId="27" xfId="112" applyNumberFormat="1" applyFont="1" applyFill="1" applyBorder="1" applyAlignment="1">
      <alignment horizontal="right" vertical="center"/>
    </xf>
    <xf numFmtId="41" fontId="8" fillId="0" borderId="18" xfId="112" applyNumberFormat="1" applyFont="1" applyFill="1" applyBorder="1" applyAlignment="1">
      <alignment horizontal="right" vertical="center"/>
    </xf>
    <xf numFmtId="41" fontId="8" fillId="0" borderId="0" xfId="112" applyNumberFormat="1" applyFont="1" applyFill="1" applyBorder="1" applyAlignment="1">
      <alignment horizontal="right" vertical="center"/>
    </xf>
    <xf numFmtId="179" fontId="8" fillId="0" borderId="18" xfId="112" applyNumberFormat="1" applyFont="1" applyFill="1" applyBorder="1" applyAlignment="1">
      <alignment horizontal="right" vertical="center"/>
    </xf>
    <xf numFmtId="179" fontId="12" fillId="0" borderId="0" xfId="112" applyNumberFormat="1" applyFont="1" applyFill="1" applyBorder="1" applyAlignment="1">
      <alignment horizontal="left" vertical="center" wrapText="1"/>
    </xf>
    <xf numFmtId="0" fontId="12" fillId="0" borderId="21" xfId="112" applyFont="1" applyBorder="1" applyAlignment="1">
      <alignment horizontal="center" vertical="top"/>
    </xf>
    <xf numFmtId="179" fontId="8" fillId="0" borderId="12" xfId="112" applyNumberFormat="1" applyFont="1" applyBorder="1" applyAlignment="1">
      <alignment vertical="top"/>
    </xf>
    <xf numFmtId="179" fontId="8" fillId="0" borderId="18" xfId="112" applyNumberFormat="1" applyFont="1" applyFill="1" applyBorder="1" applyAlignment="1">
      <alignment horizontal="center" vertical="center"/>
    </xf>
    <xf numFmtId="41" fontId="8" fillId="0" borderId="0" xfId="112" applyNumberFormat="1" applyFont="1" applyAlignment="1">
      <alignment vertical="top"/>
    </xf>
    <xf numFmtId="0" fontId="8" fillId="0" borderId="0" xfId="0" applyFont="1" applyFill="1" applyAlignment="1">
      <alignment vertical="top"/>
    </xf>
    <xf numFmtId="0" fontId="8" fillId="0" borderId="11" xfId="0" applyFont="1" applyFill="1" applyBorder="1" applyAlignment="1">
      <alignment horizontal="left" vertical="top" wrapText="1"/>
    </xf>
    <xf numFmtId="0" fontId="8" fillId="0" borderId="0" xfId="0" applyFont="1" applyFill="1" applyAlignment="1">
      <alignment vertical="top"/>
    </xf>
    <xf numFmtId="179" fontId="8" fillId="0" borderId="32" xfId="112" applyNumberFormat="1" applyFont="1" applyBorder="1" applyAlignment="1">
      <alignment vertical="top"/>
    </xf>
    <xf numFmtId="179" fontId="8" fillId="0" borderId="22" xfId="112" applyNumberFormat="1" applyFont="1" applyBorder="1" applyAlignment="1">
      <alignment vertical="top"/>
    </xf>
    <xf numFmtId="179" fontId="14" fillId="0" borderId="23" xfId="112" applyNumberFormat="1" applyFont="1" applyBorder="1" applyAlignment="1">
      <alignment vertical="top"/>
    </xf>
    <xf numFmtId="49" fontId="8" fillId="0" borderId="27" xfId="112" applyNumberFormat="1" applyFont="1" applyFill="1" applyBorder="1" applyAlignment="1">
      <alignment vertical="top" wrapText="1"/>
    </xf>
    <xf numFmtId="179" fontId="8" fillId="0" borderId="0" xfId="112" applyNumberFormat="1" applyFont="1" applyFill="1" applyBorder="1" applyAlignment="1">
      <alignment horizontal="right" vertical="center" wrapText="1"/>
    </xf>
    <xf numFmtId="179" fontId="8" fillId="0" borderId="30" xfId="112" applyNumberFormat="1" applyFont="1" applyFill="1" applyBorder="1" applyAlignment="1">
      <alignment horizontal="right" vertical="center"/>
    </xf>
    <xf numFmtId="3" fontId="89" fillId="0" borderId="18" xfId="113" applyNumberFormat="1" applyFont="1" applyFill="1" applyBorder="1" applyAlignment="1">
      <alignment horizontal="center" vertical="top"/>
    </xf>
    <xf numFmtId="41" fontId="8" fillId="0" borderId="30" xfId="112" applyNumberFormat="1" applyFont="1" applyFill="1" applyBorder="1" applyAlignment="1">
      <alignment horizontal="right" vertical="top"/>
    </xf>
    <xf numFmtId="179" fontId="8" fillId="0" borderId="18" xfId="112" applyNumberFormat="1" applyFont="1" applyFill="1" applyBorder="1" applyAlignment="1">
      <alignment horizontal="right" vertical="top"/>
    </xf>
    <xf numFmtId="185" fontId="56" fillId="0" borderId="18" xfId="0" applyNumberFormat="1" applyFont="1" applyFill="1" applyBorder="1" applyAlignment="1">
      <alignment horizontal="right" vertical="top" wrapText="1"/>
    </xf>
    <xf numFmtId="0" fontId="85" fillId="25" borderId="0" xfId="111" applyFont="1" applyFill="1"/>
    <xf numFmtId="0" fontId="8" fillId="0" borderId="0" xfId="0" applyFont="1" applyFill="1" applyAlignment="1">
      <alignment vertical="top"/>
    </xf>
    <xf numFmtId="0" fontId="8" fillId="0" borderId="0" xfId="0" applyFont="1" applyFill="1" applyAlignment="1">
      <alignment vertical="top"/>
    </xf>
    <xf numFmtId="0" fontId="14" fillId="0" borderId="0" xfId="0" applyFont="1" applyFill="1" applyBorder="1" applyAlignment="1">
      <alignment horizontal="justify" vertical="top"/>
    </xf>
    <xf numFmtId="0" fontId="8" fillId="0" borderId="0" xfId="0" applyFont="1" applyFill="1" applyBorder="1" applyAlignment="1">
      <alignment horizontal="justify" vertical="top"/>
    </xf>
    <xf numFmtId="0" fontId="13" fillId="0" borderId="10" xfId="0" applyFont="1" applyFill="1" applyBorder="1" applyAlignment="1">
      <alignment horizontal="justify" vertical="top"/>
    </xf>
    <xf numFmtId="0" fontId="14" fillId="0" borderId="18" xfId="0" applyFont="1" applyFill="1" applyBorder="1" applyAlignment="1">
      <alignment vertical="top" wrapText="1"/>
    </xf>
    <xf numFmtId="0" fontId="8" fillId="0" borderId="18" xfId="0" applyFont="1" applyFill="1" applyBorder="1" applyAlignment="1">
      <alignment vertical="top"/>
    </xf>
    <xf numFmtId="0" fontId="14" fillId="0" borderId="18" xfId="0" applyFont="1" applyFill="1" applyBorder="1" applyAlignment="1">
      <alignment vertical="top"/>
    </xf>
    <xf numFmtId="0" fontId="13" fillId="0" borderId="42" xfId="0" applyFont="1" applyFill="1" applyBorder="1" applyAlignment="1">
      <alignment horizontal="justify" vertical="top" wrapText="1"/>
    </xf>
    <xf numFmtId="182" fontId="14" fillId="0" borderId="36" xfId="0" applyNumberFormat="1" applyFont="1" applyFill="1" applyBorder="1" applyAlignment="1">
      <alignment vertical="top" wrapText="1"/>
    </xf>
    <xf numFmtId="181" fontId="14" fillId="0" borderId="12" xfId="0" applyNumberFormat="1" applyFont="1" applyFill="1" applyBorder="1" applyAlignment="1">
      <alignment vertical="top"/>
    </xf>
    <xf numFmtId="182" fontId="8" fillId="0" borderId="27" xfId="0" applyNumberFormat="1" applyFont="1" applyFill="1" applyBorder="1" applyAlignment="1">
      <alignment vertical="top" wrapText="1"/>
    </xf>
    <xf numFmtId="178" fontId="27" fillId="0" borderId="0" xfId="0" applyNumberFormat="1" applyFont="1" applyFill="1" applyBorder="1" applyAlignment="1">
      <alignment horizontal="right" vertical="top" wrapText="1"/>
    </xf>
    <xf numFmtId="43" fontId="56" fillId="0" borderId="12" xfId="0" applyNumberFormat="1" applyFont="1" applyFill="1" applyBorder="1" applyAlignment="1">
      <alignment horizontal="right" vertical="top" wrapText="1"/>
    </xf>
    <xf numFmtId="0" fontId="14" fillId="0" borderId="31" xfId="0" applyFont="1" applyFill="1" applyBorder="1" applyAlignment="1">
      <alignment horizontal="justify" vertical="top"/>
    </xf>
    <xf numFmtId="0" fontId="14" fillId="0" borderId="31" xfId="0" applyFont="1" applyFill="1" applyBorder="1" applyAlignment="1">
      <alignment vertical="top"/>
    </xf>
    <xf numFmtId="49" fontId="36" fillId="0" borderId="32" xfId="0" applyNumberFormat="1" applyFont="1" applyBorder="1" applyAlignment="1">
      <alignment vertical="top" wrapText="1"/>
    </xf>
    <xf numFmtId="0" fontId="8" fillId="0" borderId="0" xfId="0" applyFont="1" applyFill="1" applyAlignment="1">
      <alignment vertical="top"/>
    </xf>
    <xf numFmtId="0" fontId="8" fillId="0" borderId="22" xfId="0" applyFont="1" applyFill="1" applyBorder="1" applyAlignment="1">
      <alignment vertical="top" wrapText="1"/>
    </xf>
    <xf numFmtId="0" fontId="87" fillId="0" borderId="0" xfId="0" applyFont="1" applyFill="1" applyAlignment="1">
      <alignment vertical="top"/>
    </xf>
    <xf numFmtId="10" fontId="14" fillId="0" borderId="0" xfId="0" applyNumberFormat="1" applyFont="1" applyFill="1" applyAlignment="1">
      <alignment vertical="top"/>
    </xf>
    <xf numFmtId="3" fontId="14" fillId="0" borderId="0" xfId="0" applyNumberFormat="1" applyFont="1" applyFill="1" applyAlignment="1">
      <alignment vertical="top"/>
    </xf>
    <xf numFmtId="0" fontId="8" fillId="0" borderId="0" xfId="0" applyFont="1" applyFill="1" applyAlignment="1">
      <alignment vertical="top"/>
    </xf>
    <xf numFmtId="0" fontId="8" fillId="0" borderId="0" xfId="0" applyFont="1" applyFill="1" applyAlignment="1">
      <alignment vertical="top"/>
    </xf>
    <xf numFmtId="0" fontId="12" fillId="0" borderId="11" xfId="0" applyFont="1" applyFill="1" applyBorder="1" applyAlignment="1">
      <alignment vertical="top" wrapText="1"/>
    </xf>
    <xf numFmtId="0" fontId="8" fillId="0" borderId="0" xfId="0" applyFont="1" applyFill="1" applyAlignment="1">
      <alignment vertical="top"/>
    </xf>
    <xf numFmtId="0" fontId="13" fillId="0" borderId="17" xfId="0" applyFont="1" applyBorder="1" applyAlignment="1">
      <alignment vertical="top" wrapText="1"/>
    </xf>
    <xf numFmtId="41" fontId="8" fillId="0" borderId="11" xfId="21" applyNumberFormat="1" applyFont="1" applyBorder="1" applyAlignment="1">
      <alignment horizontal="right" vertical="top" wrapText="1"/>
    </xf>
    <xf numFmtId="41" fontId="103" fillId="0" borderId="18" xfId="0" applyNumberFormat="1" applyFont="1" applyFill="1" applyBorder="1" applyAlignment="1">
      <alignment horizontal="right" vertical="top" wrapText="1"/>
    </xf>
    <xf numFmtId="179" fontId="14" fillId="0" borderId="42" xfId="0" applyNumberFormat="1" applyFont="1" applyFill="1" applyBorder="1" applyAlignment="1">
      <alignment horizontal="right" vertical="top" wrapText="1"/>
    </xf>
    <xf numFmtId="3" fontId="14" fillId="0" borderId="12" xfId="0" applyNumberFormat="1" applyFont="1" applyFill="1" applyBorder="1" applyAlignment="1">
      <alignment horizontal="right" vertical="top" wrapText="1"/>
    </xf>
    <xf numFmtId="0" fontId="13" fillId="0" borderId="31" xfId="0" applyFont="1" applyFill="1" applyBorder="1" applyAlignment="1">
      <alignment horizontal="left" vertical="top" wrapText="1"/>
    </xf>
    <xf numFmtId="3" fontId="14" fillId="0" borderId="13" xfId="0" applyNumberFormat="1" applyFont="1" applyFill="1" applyBorder="1" applyAlignment="1">
      <alignment horizontal="right" vertical="top" wrapText="1"/>
    </xf>
    <xf numFmtId="0" fontId="8" fillId="0" borderId="22" xfId="20" applyNumberFormat="1" applyFont="1" applyBorder="1" applyAlignment="1">
      <alignment horizontal="justify" vertical="top" wrapText="1"/>
    </xf>
    <xf numFmtId="0" fontId="8" fillId="0" borderId="22" xfId="20" applyNumberFormat="1" applyFont="1" applyFill="1" applyBorder="1" applyAlignment="1">
      <alignment horizontal="left" vertical="top" wrapText="1"/>
    </xf>
    <xf numFmtId="0" fontId="8" fillId="0" borderId="23" xfId="20" applyNumberFormat="1" applyFont="1" applyFill="1" applyBorder="1" applyAlignment="1">
      <alignment horizontal="left" vertical="top" wrapText="1"/>
    </xf>
    <xf numFmtId="0" fontId="8" fillId="0" borderId="0" xfId="0" applyFont="1" applyFill="1" applyAlignment="1">
      <alignment vertical="top"/>
    </xf>
    <xf numFmtId="0" fontId="8" fillId="0" borderId="22" xfId="20" applyNumberFormat="1" applyFont="1" applyFill="1" applyBorder="1" applyAlignment="1">
      <alignment horizontal="left" vertical="top" wrapText="1"/>
    </xf>
    <xf numFmtId="0" fontId="12" fillId="0" borderId="22" xfId="20" applyNumberFormat="1" applyFont="1" applyFill="1" applyBorder="1" applyAlignment="1">
      <alignment horizontal="left" vertical="top" wrapText="1"/>
    </xf>
    <xf numFmtId="0" fontId="8" fillId="0" borderId="0" xfId="0" applyFont="1" applyFill="1" applyAlignment="1">
      <alignment vertical="top"/>
    </xf>
    <xf numFmtId="0" fontId="1" fillId="0" borderId="0" xfId="213">
      <alignment vertical="center"/>
    </xf>
    <xf numFmtId="200" fontId="14" fillId="0" borderId="18" xfId="213" applyNumberFormat="1" applyFont="1" applyFill="1" applyBorder="1" applyAlignment="1">
      <alignment horizontal="center" vertical="center" wrapText="1"/>
    </xf>
    <xf numFmtId="0" fontId="1" fillId="0" borderId="0" xfId="213" applyFill="1">
      <alignment vertical="center"/>
    </xf>
    <xf numFmtId="200" fontId="8" fillId="0" borderId="18" xfId="213" applyNumberFormat="1" applyFont="1" applyFill="1" applyBorder="1" applyAlignment="1">
      <alignment horizontal="center" vertical="center" wrapText="1"/>
    </xf>
    <xf numFmtId="200" fontId="14" fillId="0" borderId="12" xfId="213" applyNumberFormat="1" applyFont="1" applyFill="1" applyBorder="1" applyAlignment="1">
      <alignment horizontal="center" vertical="center" wrapText="1"/>
    </xf>
    <xf numFmtId="0" fontId="36" fillId="28" borderId="17" xfId="213" applyFont="1" applyFill="1" applyBorder="1" applyAlignment="1">
      <alignment horizontal="left" vertical="center"/>
    </xf>
    <xf numFmtId="43" fontId="14" fillId="28" borderId="21" xfId="213" applyNumberFormat="1" applyFont="1" applyFill="1" applyBorder="1" applyAlignment="1">
      <alignment horizontal="left" vertical="center"/>
    </xf>
    <xf numFmtId="41" fontId="8" fillId="0" borderId="18" xfId="67" applyNumberFormat="1" applyFont="1" applyFill="1" applyBorder="1" applyAlignment="1">
      <alignment horizontal="right" vertical="center" wrapText="1"/>
    </xf>
    <xf numFmtId="41" fontId="19" fillId="28" borderId="30" xfId="214" applyNumberFormat="1" applyFont="1" applyFill="1" applyBorder="1" applyAlignment="1">
      <alignment vertical="center"/>
    </xf>
    <xf numFmtId="41" fontId="19" fillId="28" borderId="30" xfId="214" applyNumberFormat="1" applyFont="1" applyFill="1" applyBorder="1" applyAlignment="1">
      <alignment horizontal="right" vertical="center"/>
    </xf>
    <xf numFmtId="41" fontId="36" fillId="28" borderId="30" xfId="214" applyNumberFormat="1" applyFont="1" applyFill="1" applyBorder="1" applyAlignment="1">
      <alignment horizontal="right" vertical="center"/>
    </xf>
    <xf numFmtId="41" fontId="36" fillId="28" borderId="30" xfId="213" applyNumberFormat="1" applyFont="1" applyFill="1" applyBorder="1" applyAlignment="1">
      <alignment horizontal="right" vertical="center"/>
    </xf>
    <xf numFmtId="41" fontId="14" fillId="28" borderId="31" xfId="213" applyNumberFormat="1" applyFont="1" applyFill="1" applyBorder="1" applyAlignment="1">
      <alignment horizontal="right" vertical="center"/>
    </xf>
    <xf numFmtId="41" fontId="1" fillId="0" borderId="0" xfId="213" applyNumberFormat="1">
      <alignment vertical="center"/>
    </xf>
    <xf numFmtId="41" fontId="8" fillId="0" borderId="16" xfId="67" applyNumberFormat="1" applyFont="1" applyFill="1" applyBorder="1" applyAlignment="1">
      <alignment horizontal="right" vertical="center" wrapText="1"/>
    </xf>
    <xf numFmtId="41" fontId="19" fillId="0" borderId="11" xfId="214" applyNumberFormat="1" applyFont="1" applyFill="1" applyBorder="1" applyAlignment="1">
      <alignment vertical="center"/>
    </xf>
    <xf numFmtId="41" fontId="36" fillId="0" borderId="11" xfId="214" applyNumberFormat="1" applyFont="1" applyFill="1" applyBorder="1" applyAlignment="1">
      <alignment vertical="center"/>
    </xf>
    <xf numFmtId="0" fontId="22" fillId="0" borderId="28" xfId="0" applyFont="1" applyFill="1" applyBorder="1" applyAlignment="1">
      <alignment horizontal="center" vertical="center" wrapText="1"/>
    </xf>
    <xf numFmtId="0" fontId="8" fillId="0" borderId="0" xfId="0" applyFont="1" applyFill="1" applyAlignment="1">
      <alignment vertical="top"/>
    </xf>
    <xf numFmtId="0" fontId="8" fillId="0" borderId="11" xfId="0" applyFont="1" applyFill="1" applyBorder="1" applyAlignment="1">
      <alignment horizontal="left" vertical="top" wrapText="1"/>
    </xf>
    <xf numFmtId="0" fontId="8" fillId="0" borderId="22" xfId="0" applyFont="1" applyFill="1" applyBorder="1" applyAlignment="1">
      <alignment vertical="top" wrapText="1"/>
    </xf>
    <xf numFmtId="0" fontId="8" fillId="0" borderId="23" xfId="0" applyFont="1" applyFill="1" applyBorder="1" applyAlignment="1">
      <alignment vertical="top" wrapText="1"/>
    </xf>
    <xf numFmtId="0" fontId="35" fillId="25" borderId="0" xfId="111" applyFont="1" applyFill="1"/>
    <xf numFmtId="0" fontId="12" fillId="0" borderId="0" xfId="0" applyFont="1" applyFill="1" applyBorder="1" applyAlignment="1">
      <alignment horizontal="justify" vertical="top" wrapText="1"/>
    </xf>
    <xf numFmtId="0" fontId="8" fillId="0" borderId="0" xfId="0" applyFont="1" applyFill="1" applyAlignment="1">
      <alignment vertical="top"/>
    </xf>
    <xf numFmtId="0" fontId="22" fillId="0" borderId="28" xfId="0" applyFont="1" applyFill="1" applyBorder="1" applyAlignment="1">
      <alignment horizontal="center" vertical="center" wrapText="1"/>
    </xf>
    <xf numFmtId="41" fontId="56" fillId="0" borderId="21" xfId="21" applyNumberFormat="1" applyFont="1" applyFill="1" applyBorder="1" applyAlignment="1">
      <alignment horizontal="right" vertical="top" wrapText="1"/>
    </xf>
    <xf numFmtId="41" fontId="56" fillId="0" borderId="12" xfId="21" applyNumberFormat="1" applyFont="1" applyFill="1" applyBorder="1" applyAlignment="1">
      <alignment horizontal="right" vertical="top" wrapText="1"/>
    </xf>
    <xf numFmtId="41" fontId="56" fillId="0" borderId="13" xfId="0" applyNumberFormat="1" applyFont="1" applyFill="1" applyBorder="1" applyAlignment="1">
      <alignment horizontal="right" vertical="top" wrapText="1"/>
    </xf>
    <xf numFmtId="43" fontId="27" fillId="0" borderId="17" xfId="0" applyNumberFormat="1" applyFont="1" applyFill="1" applyBorder="1" applyAlignment="1">
      <alignment horizontal="right" vertical="top" wrapText="1"/>
    </xf>
    <xf numFmtId="0" fontId="12" fillId="0" borderId="15" xfId="111" applyFont="1" applyBorder="1" applyAlignment="1">
      <alignment horizontal="center" vertical="center"/>
    </xf>
    <xf numFmtId="181" fontId="32" fillId="0" borderId="0" xfId="0" applyNumberFormat="1" applyFont="1" applyFill="1" applyBorder="1" applyAlignment="1">
      <alignment horizontal="right" vertical="top" wrapText="1"/>
    </xf>
    <xf numFmtId="181" fontId="77" fillId="0" borderId="0" xfId="0" applyNumberFormat="1" applyFont="1" applyFill="1" applyBorder="1" applyAlignment="1">
      <alignment horizontal="right" vertical="top" wrapText="1"/>
    </xf>
    <xf numFmtId="41" fontId="32" fillId="0" borderId="0" xfId="0" applyNumberFormat="1" applyFont="1" applyFill="1" applyBorder="1" applyAlignment="1">
      <alignment horizontal="right" vertical="top" wrapText="1"/>
    </xf>
    <xf numFmtId="41" fontId="56" fillId="0" borderId="11" xfId="21" applyNumberFormat="1" applyFont="1" applyFill="1" applyBorder="1" applyAlignment="1">
      <alignment horizontal="right" vertical="top" wrapText="1"/>
    </xf>
    <xf numFmtId="41" fontId="56" fillId="0" borderId="21" xfId="0" applyNumberFormat="1" applyFont="1" applyFill="1" applyBorder="1" applyAlignment="1">
      <alignment horizontal="right" vertical="top" wrapText="1"/>
    </xf>
    <xf numFmtId="41" fontId="27" fillId="0" borderId="12" xfId="21" applyNumberFormat="1" applyFont="1" applyFill="1" applyBorder="1" applyAlignment="1">
      <alignment horizontal="right" vertical="top" wrapText="1"/>
    </xf>
    <xf numFmtId="41" fontId="27" fillId="0" borderId="13" xfId="21" applyNumberFormat="1" applyFont="1" applyFill="1" applyBorder="1" applyAlignment="1">
      <alignment horizontal="right" vertical="top" wrapText="1"/>
    </xf>
    <xf numFmtId="0" fontId="8" fillId="0" borderId="0" xfId="0" applyFont="1" applyFill="1" applyAlignment="1">
      <alignment vertical="top"/>
    </xf>
    <xf numFmtId="0" fontId="8" fillId="0" borderId="27" xfId="0" applyFont="1" applyFill="1" applyBorder="1" applyAlignment="1">
      <alignment horizontal="left" vertical="top" wrapText="1"/>
    </xf>
    <xf numFmtId="0" fontId="8" fillId="0" borderId="22" xfId="0" applyFont="1" applyBorder="1" applyAlignment="1">
      <alignment horizontal="left" vertical="top" wrapText="1"/>
    </xf>
    <xf numFmtId="0" fontId="8" fillId="0" borderId="22" xfId="0" applyFont="1" applyBorder="1" applyAlignment="1">
      <alignment vertical="top" wrapText="1"/>
    </xf>
    <xf numFmtId="0" fontId="8" fillId="0" borderId="22" xfId="0" applyFont="1" applyFill="1" applyBorder="1" applyAlignment="1">
      <alignment horizontal="left" vertical="top" wrapText="1"/>
    </xf>
    <xf numFmtId="0" fontId="8" fillId="0" borderId="0" xfId="0" applyFont="1" applyFill="1" applyBorder="1" applyAlignment="1">
      <alignment vertical="top" wrapText="1"/>
    </xf>
    <xf numFmtId="0" fontId="8" fillId="0" borderId="22" xfId="0" applyFont="1" applyFill="1" applyBorder="1" applyAlignment="1">
      <alignment vertical="top" wrapText="1"/>
    </xf>
    <xf numFmtId="0" fontId="8" fillId="0" borderId="0" xfId="0" applyFont="1" applyBorder="1" applyAlignment="1">
      <alignment horizontal="left" vertical="top" wrapText="1"/>
    </xf>
    <xf numFmtId="0" fontId="8" fillId="0" borderId="0" xfId="0" applyFont="1" applyFill="1" applyBorder="1" applyAlignment="1">
      <alignment horizontal="left" vertical="top" wrapText="1"/>
    </xf>
    <xf numFmtId="179" fontId="8" fillId="0" borderId="21" xfId="0" applyNumberFormat="1" applyFont="1" applyFill="1" applyBorder="1" applyAlignment="1">
      <alignment horizontal="right" vertical="top" wrapText="1"/>
    </xf>
    <xf numFmtId="41" fontId="14" fillId="0" borderId="12" xfId="0" applyNumberFormat="1" applyFont="1" applyFill="1" applyBorder="1" applyAlignment="1">
      <alignment horizontal="right" vertical="top" wrapText="1"/>
    </xf>
    <xf numFmtId="41" fontId="14" fillId="0" borderId="13" xfId="0" applyNumberFormat="1" applyFont="1" applyFill="1" applyBorder="1" applyAlignment="1">
      <alignment horizontal="right" vertical="top" wrapText="1"/>
    </xf>
    <xf numFmtId="0" fontId="8" fillId="0" borderId="11" xfId="22" applyFont="1" applyFill="1" applyBorder="1" applyAlignment="1">
      <alignment horizontal="left" vertical="top" wrapText="1"/>
    </xf>
    <xf numFmtId="0" fontId="18" fillId="0" borderId="17" xfId="213" applyFont="1" applyFill="1" applyBorder="1" applyAlignment="1">
      <alignment horizontal="left" vertical="center" wrapText="1"/>
    </xf>
    <xf numFmtId="0" fontId="18" fillId="0" borderId="14" xfId="213" applyFont="1" applyFill="1" applyBorder="1" applyAlignment="1">
      <alignment horizontal="left" vertical="center" wrapText="1"/>
    </xf>
    <xf numFmtId="0" fontId="18" fillId="28" borderId="17" xfId="213" applyFont="1" applyFill="1" applyBorder="1" applyAlignment="1">
      <alignment horizontal="left" vertical="center" wrapText="1"/>
    </xf>
    <xf numFmtId="43" fontId="12" fillId="28" borderId="17" xfId="213" applyNumberFormat="1" applyFont="1" applyFill="1" applyBorder="1" applyAlignment="1">
      <alignment vertical="center" wrapText="1"/>
    </xf>
    <xf numFmtId="0" fontId="55" fillId="0" borderId="65" xfId="213" applyFont="1" applyFill="1" applyBorder="1" applyAlignment="1">
      <alignment horizontal="distributed" vertical="center" wrapText="1"/>
    </xf>
    <xf numFmtId="0" fontId="55" fillId="0" borderId="46" xfId="213" applyFont="1" applyFill="1" applyBorder="1" applyAlignment="1">
      <alignment horizontal="distributed" vertical="center" wrapText="1"/>
    </xf>
    <xf numFmtId="49" fontId="55" fillId="0" borderId="65" xfId="213" applyNumberFormat="1" applyFont="1" applyFill="1" applyBorder="1" applyAlignment="1">
      <alignment horizontal="distributed" vertical="center" wrapText="1"/>
    </xf>
    <xf numFmtId="41" fontId="36" fillId="0" borderId="13" xfId="214" applyNumberFormat="1" applyFont="1" applyFill="1" applyBorder="1" applyAlignment="1">
      <alignment vertical="center"/>
    </xf>
    <xf numFmtId="3" fontId="12" fillId="0" borderId="14" xfId="112" applyNumberFormat="1" applyFont="1" applyFill="1" applyBorder="1" applyAlignment="1">
      <alignment vertical="center"/>
    </xf>
    <xf numFmtId="3" fontId="12" fillId="0" borderId="17" xfId="112" applyNumberFormat="1" applyFont="1" applyFill="1" applyBorder="1" applyAlignment="1">
      <alignment vertical="center" wrapText="1"/>
    </xf>
    <xf numFmtId="3" fontId="12" fillId="0" borderId="17" xfId="112" applyNumberFormat="1" applyFont="1" applyFill="1" applyBorder="1" applyAlignment="1">
      <alignment vertical="center"/>
    </xf>
    <xf numFmtId="3" fontId="12" fillId="0" borderId="17" xfId="112" applyNumberFormat="1" applyFont="1" applyFill="1" applyBorder="1" applyAlignment="1">
      <alignment vertical="top" wrapText="1"/>
    </xf>
    <xf numFmtId="182" fontId="66" fillId="0" borderId="0" xfId="0" applyNumberFormat="1" applyFont="1" applyFill="1" applyAlignment="1">
      <alignment vertical="top"/>
    </xf>
    <xf numFmtId="0" fontId="8" fillId="0" borderId="0" xfId="0" applyFont="1" applyFill="1" applyAlignment="1">
      <alignment vertical="top"/>
    </xf>
    <xf numFmtId="0" fontId="8" fillId="0" borderId="15" xfId="0" applyFont="1" applyFill="1" applyBorder="1" applyAlignment="1">
      <alignment horizontal="distributed" vertical="center" wrapText="1" indent="1"/>
    </xf>
    <xf numFmtId="0" fontId="8" fillId="0" borderId="22" xfId="0" applyFont="1" applyFill="1" applyBorder="1" applyAlignment="1">
      <alignment vertical="top" wrapText="1"/>
    </xf>
    <xf numFmtId="41" fontId="14" fillId="0" borderId="18" xfId="67" applyNumberFormat="1" applyFont="1" applyFill="1" applyBorder="1" applyAlignment="1">
      <alignment horizontal="right" vertical="center" wrapText="1"/>
    </xf>
    <xf numFmtId="43" fontId="12" fillId="28" borderId="17" xfId="213" applyNumberFormat="1" applyFont="1" applyFill="1" applyBorder="1" applyAlignment="1">
      <alignment horizontal="left" vertical="center" wrapText="1"/>
    </xf>
    <xf numFmtId="176" fontId="27" fillId="0" borderId="11" xfId="0" applyNumberFormat="1" applyFont="1" applyFill="1" applyBorder="1" applyAlignment="1">
      <alignment horizontal="right" vertical="top" wrapText="1"/>
    </xf>
    <xf numFmtId="0" fontId="12" fillId="0" borderId="2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8" fillId="0" borderId="22" xfId="20" applyNumberFormat="1" applyFont="1" applyBorder="1" applyAlignment="1">
      <alignment horizontal="justify" vertical="top" wrapText="1"/>
    </xf>
    <xf numFmtId="179" fontId="8" fillId="0" borderId="12" xfId="20" applyNumberFormat="1" applyFont="1" applyBorder="1" applyAlignment="1">
      <alignment vertical="top"/>
    </xf>
    <xf numFmtId="0" fontId="8" fillId="0" borderId="23" xfId="20" applyNumberFormat="1" applyFont="1" applyBorder="1" applyAlignment="1">
      <alignment horizontal="justify" vertical="top" wrapText="1"/>
    </xf>
    <xf numFmtId="176" fontId="27" fillId="0" borderId="18" xfId="0" applyNumberFormat="1" applyFont="1" applyFill="1" applyBorder="1" applyAlignment="1">
      <alignment horizontal="right" vertical="top" wrapText="1"/>
    </xf>
    <xf numFmtId="0" fontId="8" fillId="0" borderId="0" xfId="0" applyFont="1" applyFill="1" applyAlignment="1">
      <alignment vertical="top"/>
    </xf>
    <xf numFmtId="41" fontId="8" fillId="0" borderId="18" xfId="21" applyNumberFormat="1" applyFont="1" applyBorder="1" applyAlignment="1">
      <alignment horizontal="right" vertical="top" wrapText="1"/>
    </xf>
    <xf numFmtId="0" fontId="20" fillId="0" borderId="18"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12" fillId="0" borderId="20" xfId="0" applyFont="1" applyFill="1" applyBorder="1" applyAlignment="1">
      <alignment horizontal="distributed" vertical="center" wrapText="1"/>
    </xf>
    <xf numFmtId="176" fontId="56" fillId="0" borderId="11" xfId="0" applyNumberFormat="1" applyFont="1" applyFill="1" applyBorder="1" applyAlignment="1">
      <alignment horizontal="right" vertical="top" wrapText="1"/>
    </xf>
    <xf numFmtId="41" fontId="105" fillId="0" borderId="11" xfId="0" applyNumberFormat="1" applyFont="1" applyFill="1" applyBorder="1" applyAlignment="1">
      <alignment vertical="top"/>
    </xf>
    <xf numFmtId="3" fontId="8" fillId="0" borderId="0" xfId="0" applyNumberFormat="1" applyFont="1" applyFill="1" applyBorder="1" applyAlignment="1">
      <alignment vertical="top"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0" xfId="0" applyFont="1" applyFill="1" applyAlignment="1">
      <alignment vertical="top"/>
    </xf>
    <xf numFmtId="43" fontId="0" fillId="0" borderId="0" xfId="22" applyNumberFormat="1" applyFont="1" applyFill="1" applyBorder="1" applyAlignment="1">
      <alignment horizontal="right" vertical="top" wrapText="1"/>
    </xf>
    <xf numFmtId="43" fontId="0" fillId="0" borderId="30" xfId="22" applyNumberFormat="1" applyFont="1" applyFill="1" applyBorder="1" applyAlignment="1">
      <alignment horizontal="right" vertical="top" wrapText="1"/>
    </xf>
    <xf numFmtId="3" fontId="8" fillId="0" borderId="0" xfId="0" applyNumberFormat="1"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22" xfId="0" applyFont="1" applyFill="1" applyBorder="1" applyAlignment="1">
      <alignment vertical="top" wrapText="1"/>
    </xf>
    <xf numFmtId="0" fontId="8" fillId="0" borderId="0" xfId="0" applyFont="1" applyFill="1" applyAlignment="1">
      <alignment vertical="top"/>
    </xf>
    <xf numFmtId="0" fontId="20" fillId="0" borderId="28" xfId="0" applyFont="1" applyFill="1" applyBorder="1" applyAlignment="1">
      <alignment horizontal="center" vertical="center" wrapText="1"/>
    </xf>
    <xf numFmtId="0" fontId="8" fillId="0" borderId="0" xfId="0" applyFont="1" applyFill="1" applyAlignment="1">
      <alignment vertical="top"/>
    </xf>
    <xf numFmtId="43" fontId="8" fillId="0" borderId="11" xfId="0" applyNumberFormat="1" applyFont="1" applyFill="1" applyBorder="1" applyAlignment="1">
      <alignment horizontal="right" vertical="top" wrapText="1"/>
    </xf>
    <xf numFmtId="43" fontId="14" fillId="0" borderId="11" xfId="0" applyNumberFormat="1" applyFont="1" applyFill="1" applyBorder="1" applyAlignment="1">
      <alignment horizontal="right" vertical="top" wrapText="1"/>
    </xf>
    <xf numFmtId="43" fontId="8" fillId="0" borderId="18" xfId="0" applyNumberFormat="1" applyFont="1" applyFill="1" applyBorder="1" applyAlignment="1">
      <alignment horizontal="right" vertical="top" wrapText="1"/>
    </xf>
    <xf numFmtId="182" fontId="8" fillId="0" borderId="0" xfId="0" applyNumberFormat="1" applyFont="1" applyFill="1" applyAlignment="1">
      <alignment vertical="top"/>
    </xf>
    <xf numFmtId="0" fontId="12" fillId="0" borderId="17" xfId="0" applyFont="1" applyFill="1" applyBorder="1" applyAlignment="1">
      <alignment horizontal="left" vertical="top" wrapText="1" indent="7"/>
    </xf>
    <xf numFmtId="0" fontId="12" fillId="0" borderId="17" xfId="0" applyFont="1" applyFill="1" applyBorder="1" applyAlignment="1">
      <alignment horizontal="left" vertical="top" wrapText="1" indent="7"/>
    </xf>
    <xf numFmtId="0" fontId="12" fillId="0" borderId="17" xfId="0" applyFont="1" applyFill="1" applyBorder="1" applyAlignment="1">
      <alignment vertical="top" wrapText="1"/>
    </xf>
    <xf numFmtId="0" fontId="12" fillId="0" borderId="17" xfId="0" applyFont="1" applyFill="1" applyBorder="1" applyAlignment="1">
      <alignment horizontal="left" vertical="center" wrapText="1" indent="7"/>
    </xf>
    <xf numFmtId="0" fontId="12" fillId="0" borderId="17" xfId="0" applyFont="1" applyFill="1" applyBorder="1" applyAlignment="1">
      <alignment vertical="top" wrapText="1"/>
    </xf>
    <xf numFmtId="0" fontId="12" fillId="0" borderId="17" xfId="0" applyFont="1" applyFill="1" applyBorder="1" applyAlignment="1">
      <alignment horizontal="left" vertical="center" wrapText="1" indent="7"/>
    </xf>
    <xf numFmtId="0" fontId="8" fillId="0" borderId="21" xfId="0" applyFont="1" applyFill="1" applyBorder="1" applyAlignment="1">
      <alignment vertical="top" wrapText="1"/>
    </xf>
    <xf numFmtId="0" fontId="12" fillId="0" borderId="17" xfId="0" applyFont="1" applyFill="1" applyBorder="1" applyAlignment="1">
      <alignment vertical="top" wrapText="1"/>
    </xf>
    <xf numFmtId="179" fontId="8" fillId="0" borderId="18" xfId="0" applyNumberFormat="1" applyFont="1" applyFill="1" applyBorder="1" applyAlignment="1">
      <alignment vertical="top"/>
    </xf>
    <xf numFmtId="179" fontId="8" fillId="0" borderId="12" xfId="0" applyNumberFormat="1" applyFont="1" applyFill="1" applyBorder="1" applyAlignment="1">
      <alignment vertical="top"/>
    </xf>
    <xf numFmtId="179" fontId="8" fillId="0" borderId="27" xfId="0" applyNumberFormat="1" applyFont="1" applyFill="1" applyBorder="1" applyAlignment="1">
      <alignment vertical="top"/>
    </xf>
    <xf numFmtId="179" fontId="8" fillId="0" borderId="32" xfId="0" applyNumberFormat="1" applyFont="1" applyFill="1" applyBorder="1" applyAlignment="1">
      <alignment vertical="top"/>
    </xf>
    <xf numFmtId="0" fontId="22" fillId="0" borderId="11" xfId="0" applyNumberFormat="1" applyFont="1" applyFill="1" applyBorder="1" applyAlignment="1">
      <alignment horizontal="justify" vertical="top" wrapText="1"/>
    </xf>
    <xf numFmtId="0" fontId="12" fillId="0" borderId="17" xfId="0" applyFont="1" applyFill="1" applyBorder="1" applyAlignment="1">
      <alignment horizontal="left" vertical="center" wrapText="1" indent="7"/>
    </xf>
    <xf numFmtId="0" fontId="12" fillId="0" borderId="21" xfId="0" applyFont="1" applyFill="1" applyBorder="1" applyAlignment="1">
      <alignment horizontal="left" vertical="center" wrapText="1" indent="7"/>
    </xf>
    <xf numFmtId="0" fontId="8" fillId="0" borderId="11" xfId="0" applyFont="1" applyFill="1" applyBorder="1" applyAlignment="1">
      <alignment horizontal="left" vertical="top" wrapText="1"/>
    </xf>
    <xf numFmtId="0" fontId="106" fillId="0" borderId="0" xfId="0" applyFont="1" applyAlignment="1">
      <alignment vertical="top" wrapText="1"/>
    </xf>
    <xf numFmtId="178" fontId="8" fillId="0" borderId="10" xfId="21" applyNumberFormat="1" applyFont="1" applyBorder="1" applyAlignment="1">
      <alignment horizontal="right" vertical="top" wrapText="1"/>
    </xf>
    <xf numFmtId="41" fontId="39" fillId="16" borderId="0" xfId="22" applyNumberFormat="1" applyAlignment="1">
      <alignment vertical="top"/>
    </xf>
    <xf numFmtId="49" fontId="19" fillId="0" borderId="0" xfId="0" applyNumberFormat="1" applyFont="1" applyBorder="1" applyAlignment="1">
      <alignment vertical="top" wrapText="1"/>
    </xf>
    <xf numFmtId="182" fontId="8" fillId="0" borderId="0" xfId="0" applyNumberFormat="1" applyFont="1" applyFill="1" applyBorder="1" applyAlignment="1">
      <alignment horizontal="left" vertical="top" wrapText="1"/>
    </xf>
    <xf numFmtId="0" fontId="59" fillId="0" borderId="37" xfId="111" applyFont="1" applyFill="1" applyBorder="1" applyAlignment="1">
      <alignment horizontal="justify" vertical="center" wrapText="1"/>
    </xf>
    <xf numFmtId="0" fontId="59" fillId="0" borderId="37" xfId="111" applyFont="1" applyFill="1" applyBorder="1" applyAlignment="1">
      <alignment horizontal="justify" vertical="center"/>
    </xf>
    <xf numFmtId="0" fontId="55" fillId="0" borderId="15" xfId="0" applyFont="1" applyFill="1" applyBorder="1" applyAlignment="1">
      <alignment horizontal="center" vertical="center" textRotation="255"/>
    </xf>
    <xf numFmtId="0" fontId="55" fillId="0" borderId="18" xfId="0" applyFont="1" applyFill="1" applyBorder="1" applyAlignment="1">
      <alignment horizontal="center" vertical="center" textRotation="255"/>
    </xf>
    <xf numFmtId="0" fontId="55" fillId="0" borderId="46" xfId="0" applyFont="1" applyFill="1" applyBorder="1" applyAlignment="1">
      <alignment horizontal="center" vertical="center" textRotation="255"/>
    </xf>
    <xf numFmtId="0" fontId="55" fillId="0" borderId="28" xfId="0" applyFont="1" applyFill="1" applyBorder="1" applyAlignment="1">
      <alignment horizontal="center" vertical="center" textRotation="255"/>
    </xf>
    <xf numFmtId="0" fontId="57" fillId="0" borderId="40" xfId="0" applyFont="1" applyFill="1" applyBorder="1" applyAlignment="1">
      <alignment horizontal="left" vertical="top" wrapText="1"/>
    </xf>
    <xf numFmtId="0" fontId="58" fillId="0" borderId="40" xfId="0" applyFont="1" applyFill="1" applyBorder="1" applyAlignment="1">
      <alignment horizontal="left" vertical="top" wrapText="1"/>
    </xf>
    <xf numFmtId="0" fontId="55" fillId="0" borderId="47" xfId="0" applyFont="1" applyFill="1" applyBorder="1" applyAlignment="1">
      <alignment horizontal="center" vertical="center"/>
    </xf>
    <xf numFmtId="0" fontId="55" fillId="0" borderId="48" xfId="0" applyFont="1" applyFill="1" applyBorder="1" applyAlignment="1">
      <alignment horizontal="center" vertical="center"/>
    </xf>
    <xf numFmtId="180" fontId="55" fillId="0" borderId="28" xfId="0" applyNumberFormat="1" applyFont="1" applyFill="1" applyBorder="1" applyAlignment="1">
      <alignment horizontal="center" vertical="center"/>
    </xf>
    <xf numFmtId="0" fontId="55" fillId="0" borderId="28" xfId="0" applyFont="1" applyFill="1" applyBorder="1" applyAlignment="1">
      <alignment horizontal="center" vertical="center"/>
    </xf>
    <xf numFmtId="0" fontId="6" fillId="0" borderId="0" xfId="0" applyFont="1" applyFill="1" applyAlignment="1">
      <alignment horizontal="center" vertical="center"/>
    </xf>
    <xf numFmtId="0" fontId="5" fillId="0" borderId="0" xfId="0" applyFont="1" applyFill="1" applyAlignment="1">
      <alignment horizontal="center" vertical="center"/>
    </xf>
    <xf numFmtId="0" fontId="9" fillId="0" borderId="0" xfId="0" applyFont="1" applyFill="1" applyAlignment="1">
      <alignment horizontal="center" vertical="center"/>
    </xf>
    <xf numFmtId="0" fontId="10" fillId="0" borderId="0" xfId="0" applyFont="1" applyFill="1" applyAlignment="1">
      <alignment horizontal="center" vertical="center"/>
    </xf>
    <xf numFmtId="0" fontId="12"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20" fillId="0" borderId="19"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17" fillId="0" borderId="10" xfId="0" applyFont="1" applyFill="1" applyBorder="1" applyAlignment="1">
      <alignment horizontal="left" vertical="top" wrapText="1"/>
    </xf>
    <xf numFmtId="0" fontId="8" fillId="0" borderId="0" xfId="0" applyFont="1" applyAlignment="1">
      <alignment horizontal="left" vertical="top"/>
    </xf>
    <xf numFmtId="0" fontId="8" fillId="0" borderId="22" xfId="0" applyFont="1" applyBorder="1" applyAlignment="1">
      <alignment horizontal="left" vertical="top"/>
    </xf>
    <xf numFmtId="0" fontId="29" fillId="0" borderId="10" xfId="0" applyFont="1" applyFill="1" applyBorder="1" applyAlignment="1">
      <alignment horizontal="left" vertical="top" wrapText="1"/>
    </xf>
    <xf numFmtId="0" fontId="8" fillId="0" borderId="0" xfId="0" applyFont="1" applyFill="1" applyAlignment="1">
      <alignment horizontal="left" vertical="top"/>
    </xf>
    <xf numFmtId="0" fontId="8" fillId="0" borderId="22" xfId="0" applyFont="1" applyFill="1" applyBorder="1" applyAlignment="1">
      <alignment horizontal="left" vertical="top"/>
    </xf>
    <xf numFmtId="0" fontId="8" fillId="0" borderId="36" xfId="0" applyFont="1" applyFill="1" applyBorder="1" applyAlignment="1">
      <alignment horizontal="center" vertical="center"/>
    </xf>
    <xf numFmtId="0" fontId="17" fillId="0" borderId="0" xfId="0" applyFont="1" applyFill="1" applyBorder="1" applyAlignment="1">
      <alignment horizontal="left" vertical="top" wrapText="1"/>
    </xf>
    <xf numFmtId="0" fontId="17" fillId="0" borderId="22" xfId="0" applyFont="1" applyFill="1" applyBorder="1" applyAlignment="1">
      <alignment horizontal="left" vertical="top" wrapText="1"/>
    </xf>
    <xf numFmtId="0" fontId="8" fillId="0" borderId="0" xfId="0" applyFont="1" applyAlignment="1">
      <alignment vertical="center"/>
    </xf>
    <xf numFmtId="0" fontId="8" fillId="0" borderId="22" xfId="0" applyFont="1" applyBorder="1" applyAlignment="1">
      <alignment vertical="center"/>
    </xf>
    <xf numFmtId="0" fontId="8" fillId="0" borderId="0" xfId="0" applyFont="1" applyFill="1" applyAlignment="1">
      <alignment vertical="top"/>
    </xf>
    <xf numFmtId="0" fontId="8" fillId="0" borderId="22" xfId="0" applyFont="1" applyFill="1" applyBorder="1" applyAlignment="1">
      <alignment vertical="top"/>
    </xf>
    <xf numFmtId="0" fontId="8" fillId="0" borderId="0" xfId="0" applyFont="1" applyAlignment="1">
      <alignment vertical="top"/>
    </xf>
    <xf numFmtId="0" fontId="8" fillId="0" borderId="22" xfId="0" applyFont="1" applyBorder="1" applyAlignment="1">
      <alignment vertical="top"/>
    </xf>
    <xf numFmtId="0" fontId="5" fillId="0" borderId="0" xfId="0" applyFont="1" applyAlignment="1">
      <alignment horizontal="center" vertical="center"/>
    </xf>
    <xf numFmtId="0" fontId="10" fillId="0" borderId="0" xfId="0" applyFont="1" applyAlignment="1">
      <alignment horizontal="center" vertical="center"/>
    </xf>
    <xf numFmtId="0" fontId="8" fillId="0" borderId="36" xfId="0" applyFont="1" applyBorder="1" applyAlignment="1">
      <alignment horizontal="center" vertical="center"/>
    </xf>
    <xf numFmtId="0" fontId="8" fillId="0" borderId="19" xfId="0" applyFont="1" applyBorder="1" applyAlignment="1">
      <alignment horizontal="distributed" vertical="center" wrapText="1" indent="1"/>
    </xf>
    <xf numFmtId="0" fontId="8" fillId="0" borderId="24" xfId="0" applyFont="1" applyBorder="1" applyAlignment="1">
      <alignment horizontal="distributed" vertical="center" wrapText="1" indent="1"/>
    </xf>
    <xf numFmtId="0" fontId="8" fillId="0" borderId="28" xfId="0" applyFont="1" applyBorder="1" applyAlignment="1">
      <alignment horizontal="distributed" vertical="center" wrapText="1" indent="1"/>
    </xf>
    <xf numFmtId="0" fontId="8" fillId="0" borderId="20" xfId="0" applyFont="1" applyBorder="1" applyAlignment="1">
      <alignment horizontal="distributed" vertical="center" wrapText="1" indent="1"/>
    </xf>
    <xf numFmtId="0" fontId="8" fillId="0" borderId="44" xfId="0" applyFont="1" applyBorder="1" applyAlignment="1">
      <alignment horizontal="distributed" vertical="center" wrapText="1" indent="1"/>
    </xf>
    <xf numFmtId="3" fontId="8" fillId="0" borderId="27" xfId="0" applyNumberFormat="1" applyFont="1" applyFill="1" applyBorder="1" applyAlignment="1">
      <alignment vertical="top" wrapText="1"/>
    </xf>
    <xf numFmtId="3" fontId="8" fillId="0" borderId="0" xfId="0" applyNumberFormat="1" applyFont="1" applyFill="1" applyBorder="1" applyAlignment="1">
      <alignment vertical="top" wrapText="1"/>
    </xf>
    <xf numFmtId="3" fontId="8" fillId="0" borderId="22" xfId="0" applyNumberFormat="1" applyFont="1" applyFill="1" applyBorder="1" applyAlignment="1">
      <alignment vertical="top" wrapText="1"/>
    </xf>
    <xf numFmtId="0" fontId="8" fillId="0" borderId="33" xfId="0" applyFont="1" applyFill="1" applyBorder="1" applyAlignment="1">
      <alignment horizontal="distributed" vertical="center" wrapText="1" indent="2"/>
    </xf>
    <xf numFmtId="0" fontId="8" fillId="0" borderId="17" xfId="0" applyFont="1" applyFill="1" applyBorder="1" applyAlignment="1">
      <alignment horizontal="distributed" vertical="center" wrapText="1" indent="2"/>
    </xf>
    <xf numFmtId="0" fontId="8" fillId="0" borderId="49" xfId="0" applyFont="1" applyFill="1" applyBorder="1" applyAlignment="1">
      <alignment horizontal="distributed" vertical="center" wrapText="1" indent="2"/>
    </xf>
    <xf numFmtId="0" fontId="8" fillId="0" borderId="24" xfId="0" applyFont="1" applyFill="1" applyBorder="1" applyAlignment="1">
      <alignment horizontal="distributed" vertical="center" wrapText="1" indent="1"/>
    </xf>
    <xf numFmtId="0" fontId="8" fillId="0" borderId="28" xfId="0" applyFont="1" applyFill="1" applyBorder="1" applyAlignment="1">
      <alignment horizontal="distributed" vertical="center" wrapText="1" indent="1"/>
    </xf>
    <xf numFmtId="0" fontId="8" fillId="0" borderId="15" xfId="0" applyFont="1" applyFill="1" applyBorder="1" applyAlignment="1">
      <alignment horizontal="distributed" vertical="center" wrapText="1" indent="1"/>
    </xf>
    <xf numFmtId="0" fontId="8" fillId="0" borderId="50" xfId="0" applyFont="1" applyFill="1" applyBorder="1" applyAlignment="1">
      <alignment horizontal="distributed" vertical="center" wrapText="1" indent="2"/>
    </xf>
    <xf numFmtId="0" fontId="8" fillId="0" borderId="40" xfId="0" applyFont="1" applyFill="1" applyBorder="1" applyAlignment="1">
      <alignment horizontal="distributed" vertical="center" wrapText="1" indent="2"/>
    </xf>
    <xf numFmtId="0" fontId="8" fillId="0" borderId="41" xfId="0" applyFont="1" applyFill="1" applyBorder="1" applyAlignment="1">
      <alignment horizontal="distributed" vertical="center" wrapText="1" indent="2"/>
    </xf>
    <xf numFmtId="0" fontId="8" fillId="0" borderId="27" xfId="0" applyFont="1" applyFill="1" applyBorder="1" applyAlignment="1">
      <alignment horizontal="distributed" vertical="center" wrapText="1" indent="2"/>
    </xf>
    <xf numFmtId="0" fontId="8" fillId="0" borderId="0" xfId="0" applyFont="1" applyFill="1" applyBorder="1" applyAlignment="1">
      <alignment horizontal="distributed" vertical="center" wrapText="1" indent="2"/>
    </xf>
    <xf numFmtId="0" fontId="8" fillId="0" borderId="22" xfId="0" applyFont="1" applyFill="1" applyBorder="1" applyAlignment="1">
      <alignment horizontal="distributed" vertical="center" wrapText="1" indent="2"/>
    </xf>
    <xf numFmtId="0" fontId="8" fillId="0" borderId="51" xfId="0" applyFont="1" applyFill="1" applyBorder="1" applyAlignment="1">
      <alignment horizontal="distributed" vertical="center" wrapText="1" indent="2"/>
    </xf>
    <xf numFmtId="0" fontId="8" fillId="0" borderId="52" xfId="0" applyFont="1" applyFill="1" applyBorder="1" applyAlignment="1">
      <alignment horizontal="distributed" vertical="center" wrapText="1" indent="2"/>
    </xf>
    <xf numFmtId="0" fontId="8" fillId="0" borderId="53" xfId="0" applyFont="1" applyFill="1" applyBorder="1" applyAlignment="1">
      <alignment horizontal="distributed" vertical="center" wrapText="1" indent="2"/>
    </xf>
    <xf numFmtId="3" fontId="8" fillId="0" borderId="27" xfId="0" applyNumberFormat="1" applyFont="1" applyFill="1" applyBorder="1" applyAlignment="1">
      <alignment horizontal="left" vertical="top" wrapText="1"/>
    </xf>
    <xf numFmtId="3" fontId="8" fillId="0" borderId="0" xfId="0" applyNumberFormat="1" applyFont="1" applyFill="1" applyBorder="1" applyAlignment="1">
      <alignment horizontal="left" vertical="top" wrapText="1"/>
    </xf>
    <xf numFmtId="3" fontId="8" fillId="0" borderId="22" xfId="0" applyNumberFormat="1" applyFont="1" applyFill="1" applyBorder="1" applyAlignment="1">
      <alignment horizontal="left" vertical="top" wrapText="1"/>
    </xf>
    <xf numFmtId="3" fontId="8" fillId="0" borderId="32" xfId="0" applyNumberFormat="1" applyFont="1" applyFill="1" applyBorder="1" applyAlignment="1">
      <alignment vertical="top" wrapText="1"/>
    </xf>
    <xf numFmtId="3" fontId="8" fillId="0" borderId="36" xfId="0" applyNumberFormat="1" applyFont="1" applyFill="1" applyBorder="1" applyAlignment="1">
      <alignment vertical="top" wrapText="1"/>
    </xf>
    <xf numFmtId="3" fontId="8" fillId="0" borderId="23" xfId="0" applyNumberFormat="1" applyFont="1" applyFill="1" applyBorder="1" applyAlignment="1">
      <alignment vertical="top" wrapText="1"/>
    </xf>
    <xf numFmtId="0" fontId="55" fillId="0" borderId="40" xfId="0" applyFont="1" applyFill="1" applyBorder="1" applyAlignment="1">
      <alignment vertical="center" wrapText="1"/>
    </xf>
    <xf numFmtId="0" fontId="102" fillId="0" borderId="40" xfId="0" applyFont="1" applyBorder="1" applyAlignment="1">
      <alignment vertical="center"/>
    </xf>
    <xf numFmtId="0" fontId="8" fillId="0" borderId="39" xfId="0" applyFont="1" applyFill="1" applyBorder="1" applyAlignment="1">
      <alignment horizontal="distributed" vertical="center"/>
    </xf>
    <xf numFmtId="0" fontId="8" fillId="0" borderId="63" xfId="0" applyFont="1" applyBorder="1" applyAlignment="1">
      <alignment vertical="center"/>
    </xf>
    <xf numFmtId="0" fontId="8" fillId="0" borderId="10" xfId="0" applyFont="1" applyFill="1" applyBorder="1" applyAlignment="1">
      <alignment horizontal="distributed" vertical="center"/>
    </xf>
    <xf numFmtId="0" fontId="8" fillId="0" borderId="30" xfId="0" applyFont="1" applyBorder="1" applyAlignment="1">
      <alignment vertical="center"/>
    </xf>
    <xf numFmtId="0" fontId="8" fillId="0" borderId="64" xfId="0" applyFont="1" applyFill="1" applyBorder="1" applyAlignment="1">
      <alignment horizontal="distributed" vertical="center"/>
    </xf>
    <xf numFmtId="0" fontId="8" fillId="0" borderId="65" xfId="0" applyFont="1" applyBorder="1" applyAlignment="1">
      <alignment vertical="center"/>
    </xf>
    <xf numFmtId="0" fontId="8" fillId="0" borderId="50" xfId="0" applyFont="1" applyFill="1" applyBorder="1" applyAlignment="1">
      <alignment horizontal="distributed" vertical="center" wrapText="1"/>
    </xf>
    <xf numFmtId="0" fontId="8" fillId="0" borderId="63" xfId="0" applyFont="1" applyBorder="1" applyAlignment="1">
      <alignment vertical="center" wrapText="1"/>
    </xf>
    <xf numFmtId="0" fontId="8" fillId="0" borderId="27" xfId="0" applyFont="1" applyBorder="1" applyAlignment="1">
      <alignment vertical="center" wrapText="1"/>
    </xf>
    <xf numFmtId="0" fontId="8" fillId="0" borderId="30" xfId="0" applyFont="1" applyBorder="1" applyAlignment="1">
      <alignment vertical="center" wrapText="1"/>
    </xf>
    <xf numFmtId="0" fontId="8" fillId="0" borderId="51" xfId="0" applyFont="1" applyBorder="1" applyAlignment="1">
      <alignment vertical="center" wrapText="1"/>
    </xf>
    <xf numFmtId="0" fontId="8" fillId="0" borderId="65" xfId="0" applyFont="1" applyBorder="1" applyAlignment="1">
      <alignment vertical="center" wrapText="1"/>
    </xf>
    <xf numFmtId="0" fontId="8" fillId="0" borderId="40" xfId="0" applyFont="1" applyFill="1" applyBorder="1" applyAlignment="1">
      <alignment horizontal="distributed" vertical="center" wrapText="1"/>
    </xf>
    <xf numFmtId="0" fontId="8" fillId="0" borderId="41" xfId="0" applyFont="1" applyBorder="1" applyAlignment="1">
      <alignment vertical="center" wrapText="1"/>
    </xf>
    <xf numFmtId="0" fontId="8" fillId="0" borderId="0" xfId="0" applyFont="1" applyBorder="1" applyAlignment="1">
      <alignment vertical="center" wrapText="1"/>
    </xf>
    <xf numFmtId="0" fontId="8" fillId="0" borderId="22" xfId="0" applyFont="1" applyBorder="1" applyAlignment="1">
      <alignment vertical="center" wrapText="1"/>
    </xf>
    <xf numFmtId="0" fontId="8" fillId="0" borderId="52" xfId="0" applyFont="1" applyBorder="1" applyAlignment="1">
      <alignment vertical="center" wrapText="1"/>
    </xf>
    <xf numFmtId="0" fontId="8" fillId="0" borderId="53" xfId="0" applyFont="1" applyBorder="1" applyAlignment="1">
      <alignment vertical="center" wrapText="1"/>
    </xf>
    <xf numFmtId="0" fontId="8" fillId="0" borderId="66" xfId="0" applyFont="1" applyFill="1" applyBorder="1" applyAlignment="1">
      <alignment horizontal="center" vertical="center"/>
    </xf>
    <xf numFmtId="0" fontId="8" fillId="0" borderId="37" xfId="0" applyFont="1" applyBorder="1" applyAlignment="1">
      <alignment horizontal="center" vertical="center"/>
    </xf>
    <xf numFmtId="0" fontId="13" fillId="0" borderId="10" xfId="0" applyFont="1" applyFill="1" applyBorder="1" applyAlignment="1">
      <alignment horizontal="left" vertical="top"/>
    </xf>
    <xf numFmtId="0" fontId="13" fillId="0" borderId="30" xfId="0" applyFont="1" applyBorder="1" applyAlignment="1">
      <alignment vertical="top"/>
    </xf>
    <xf numFmtId="0" fontId="8" fillId="0" borderId="27" xfId="0" applyFont="1" applyFill="1" applyBorder="1" applyAlignment="1">
      <alignment horizontal="left" vertical="top" wrapText="1"/>
    </xf>
    <xf numFmtId="0" fontId="8" fillId="0" borderId="22" xfId="0" applyFont="1" applyBorder="1" applyAlignment="1">
      <alignment horizontal="left" vertical="top" wrapText="1"/>
    </xf>
    <xf numFmtId="0" fontId="14" fillId="0" borderId="27" xfId="0" applyFont="1" applyFill="1" applyBorder="1" applyAlignment="1">
      <alignment horizontal="center" vertical="center" wrapText="1"/>
    </xf>
    <xf numFmtId="0" fontId="14" fillId="0" borderId="22" xfId="0" applyFont="1" applyBorder="1" applyAlignment="1">
      <alignment horizontal="center" vertical="center" wrapText="1"/>
    </xf>
    <xf numFmtId="0" fontId="8" fillId="0" borderId="25" xfId="0" applyFont="1" applyFill="1" applyBorder="1" applyAlignment="1">
      <alignment horizontal="center" vertical="center"/>
    </xf>
    <xf numFmtId="0" fontId="8" fillId="0" borderId="26" xfId="0" applyFont="1" applyBorder="1" applyAlignment="1">
      <alignment horizontal="center" vertical="center"/>
    </xf>
    <xf numFmtId="0" fontId="8" fillId="0" borderId="22" xfId="0" applyFont="1" applyBorder="1" applyAlignment="1">
      <alignment vertical="top" wrapText="1"/>
    </xf>
    <xf numFmtId="0" fontId="8" fillId="0" borderId="27" xfId="0" applyFont="1" applyBorder="1" applyAlignment="1">
      <alignment vertical="top" wrapText="1"/>
    </xf>
    <xf numFmtId="0" fontId="12" fillId="0" borderId="10" xfId="0" applyFont="1" applyFill="1" applyBorder="1" applyAlignment="1">
      <alignment horizontal="left" vertical="top"/>
    </xf>
    <xf numFmtId="0" fontId="12" fillId="0" borderId="30" xfId="0" applyFont="1" applyBorder="1" applyAlignment="1">
      <alignment vertical="top"/>
    </xf>
    <xf numFmtId="0" fontId="14" fillId="0" borderId="10" xfId="0" applyFont="1" applyFill="1" applyBorder="1" applyAlignment="1">
      <alignment horizontal="left" vertical="top"/>
    </xf>
    <xf numFmtId="0" fontId="8" fillId="0" borderId="30" xfId="0" applyFont="1" applyBorder="1" applyAlignment="1">
      <alignment vertical="top"/>
    </xf>
    <xf numFmtId="0" fontId="14" fillId="0" borderId="42" xfId="0" applyFont="1" applyFill="1" applyBorder="1" applyAlignment="1">
      <alignment horizontal="left" vertical="top"/>
    </xf>
    <xf numFmtId="0" fontId="8" fillId="0" borderId="31" xfId="0" applyFont="1" applyBorder="1" applyAlignment="1">
      <alignment vertical="top"/>
    </xf>
    <xf numFmtId="0" fontId="8" fillId="0" borderId="29" xfId="0" applyFont="1" applyBorder="1" applyAlignment="1">
      <alignment horizontal="center" vertical="center"/>
    </xf>
    <xf numFmtId="41" fontId="14" fillId="0" borderId="27" xfId="0" applyNumberFormat="1" applyFont="1" applyFill="1" applyBorder="1" applyAlignment="1">
      <alignment horizontal="center" vertical="top" wrapText="1"/>
    </xf>
    <xf numFmtId="41" fontId="14" fillId="0" borderId="30" xfId="0" applyNumberFormat="1" applyFont="1" applyBorder="1" applyAlignment="1">
      <alignment horizontal="center" vertical="top" wrapText="1"/>
    </xf>
    <xf numFmtId="41" fontId="8" fillId="0" borderId="27" xfId="0" applyNumberFormat="1" applyFont="1" applyFill="1" applyBorder="1" applyAlignment="1">
      <alignment horizontal="center" vertical="top" wrapText="1"/>
    </xf>
    <xf numFmtId="41" fontId="8" fillId="0" borderId="30" xfId="0" applyNumberFormat="1" applyFont="1" applyBorder="1" applyAlignment="1">
      <alignment horizontal="center" vertical="top" wrapText="1"/>
    </xf>
    <xf numFmtId="0" fontId="8" fillId="0" borderId="27" xfId="0" applyFont="1" applyFill="1" applyBorder="1" applyAlignment="1">
      <alignment horizontal="center" vertical="center" wrapText="1"/>
    </xf>
    <xf numFmtId="0" fontId="8" fillId="0" borderId="30" xfId="0" applyFont="1" applyBorder="1" applyAlignment="1">
      <alignment horizontal="center" vertical="center" wrapText="1"/>
    </xf>
    <xf numFmtId="0" fontId="8" fillId="0" borderId="32" xfId="0" applyFont="1" applyFill="1" applyBorder="1" applyAlignment="1">
      <alignment horizontal="center" vertical="center" wrapText="1"/>
    </xf>
    <xf numFmtId="0" fontId="8" fillId="0" borderId="31" xfId="0" applyFont="1" applyBorder="1" applyAlignment="1">
      <alignment horizontal="center" vertical="center" wrapText="1"/>
    </xf>
    <xf numFmtId="0" fontId="0" fillId="0" borderId="30" xfId="0" applyBorder="1" applyAlignment="1">
      <alignment horizontal="center" vertical="center" wrapText="1"/>
    </xf>
    <xf numFmtId="0" fontId="14" fillId="0" borderId="32" xfId="0" applyFont="1" applyFill="1" applyBorder="1" applyAlignment="1">
      <alignment horizontal="center" vertical="center" wrapText="1"/>
    </xf>
    <xf numFmtId="0" fontId="14" fillId="0" borderId="23" xfId="0" applyFont="1" applyBorder="1" applyAlignment="1">
      <alignment horizontal="center" vertical="center" wrapText="1"/>
    </xf>
    <xf numFmtId="0" fontId="12" fillId="0" borderId="11" xfId="0" applyFont="1" applyFill="1" applyBorder="1" applyAlignment="1">
      <alignment horizontal="justify" vertical="top" wrapText="1"/>
    </xf>
    <xf numFmtId="0" fontId="0" fillId="0" borderId="11" xfId="0" applyBorder="1" applyAlignment="1">
      <alignment horizontal="justify" vertical="top" wrapText="1"/>
    </xf>
    <xf numFmtId="0" fontId="8" fillId="0" borderId="28"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1" xfId="0" applyFont="1" applyFill="1" applyBorder="1" applyAlignment="1">
      <alignment horizontal="left" vertical="top" wrapText="1"/>
    </xf>
    <xf numFmtId="0" fontId="0" fillId="0" borderId="13" xfId="0" applyBorder="1" applyAlignment="1">
      <alignment horizontal="left" vertical="top" wrapText="1"/>
    </xf>
    <xf numFmtId="0" fontId="12" fillId="0" borderId="33" xfId="0" applyFont="1" applyFill="1" applyBorder="1" applyAlignment="1">
      <alignment horizontal="distributed" vertical="center" indent="2"/>
    </xf>
    <xf numFmtId="0" fontId="12" fillId="0" borderId="17" xfId="0" applyFont="1" applyFill="1" applyBorder="1" applyAlignment="1">
      <alignment horizontal="distributed" vertical="center" indent="2"/>
    </xf>
    <xf numFmtId="0" fontId="12" fillId="0" borderId="49" xfId="0" applyFont="1" applyFill="1" applyBorder="1" applyAlignment="1">
      <alignment horizontal="distributed" vertical="center" indent="2"/>
    </xf>
    <xf numFmtId="0" fontId="12" fillId="0" borderId="24"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8" fillId="0" borderId="43" xfId="0" applyFont="1" applyFill="1" applyBorder="1" applyAlignment="1">
      <alignment horizontal="distributed" vertical="center" wrapText="1" indent="2"/>
    </xf>
    <xf numFmtId="0" fontId="8" fillId="0" borderId="54" xfId="0" applyFont="1" applyFill="1" applyBorder="1" applyAlignment="1">
      <alignment horizontal="distributed" vertical="center" wrapText="1" indent="2"/>
    </xf>
    <xf numFmtId="0" fontId="8" fillId="0" borderId="55" xfId="0" applyFont="1" applyFill="1" applyBorder="1" applyAlignment="1">
      <alignment horizontal="distributed" vertical="center" wrapText="1" indent="2"/>
    </xf>
    <xf numFmtId="0" fontId="8" fillId="0" borderId="38" xfId="0" applyFont="1" applyFill="1" applyBorder="1" applyAlignment="1">
      <alignment horizontal="distributed" vertical="center" wrapText="1" indent="2"/>
    </xf>
    <xf numFmtId="0" fontId="8" fillId="0" borderId="11" xfId="0" applyFont="1" applyFill="1" applyBorder="1" applyAlignment="1">
      <alignment horizontal="distributed" vertical="center" wrapText="1" indent="2"/>
    </xf>
    <xf numFmtId="0" fontId="8" fillId="0" borderId="56" xfId="0" applyFont="1" applyFill="1" applyBorder="1" applyAlignment="1">
      <alignment horizontal="distributed" vertical="center" wrapText="1" indent="2"/>
    </xf>
    <xf numFmtId="177" fontId="8" fillId="0" borderId="28" xfId="0" applyNumberFormat="1"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12" fillId="0" borderId="33" xfId="0" applyFont="1" applyFill="1" applyBorder="1" applyAlignment="1">
      <alignment horizontal="distributed" vertical="center" wrapText="1" indent="2"/>
    </xf>
    <xf numFmtId="0" fontId="12" fillId="0" borderId="17" xfId="0" applyFont="1" applyFill="1" applyBorder="1" applyAlignment="1">
      <alignment horizontal="distributed" vertical="center" wrapText="1" indent="2"/>
    </xf>
    <xf numFmtId="0" fontId="12" fillId="0" borderId="49" xfId="0" applyFont="1" applyFill="1" applyBorder="1" applyAlignment="1">
      <alignment horizontal="distributed" vertical="center" wrapText="1" indent="2"/>
    </xf>
    <xf numFmtId="0" fontId="12" fillId="0" borderId="24" xfId="0" applyFont="1" applyFill="1" applyBorder="1" applyAlignment="1">
      <alignment horizontal="distributed" vertical="center" wrapText="1" indent="1"/>
    </xf>
    <xf numFmtId="0" fontId="12" fillId="0" borderId="28" xfId="0" applyFont="1" applyFill="1" applyBorder="1" applyAlignment="1">
      <alignment horizontal="distributed" vertical="center" wrapText="1" indent="1"/>
    </xf>
    <xf numFmtId="0" fontId="12" fillId="0" borderId="15" xfId="0" applyFont="1" applyFill="1" applyBorder="1" applyAlignment="1">
      <alignment horizontal="distributed" vertical="center" wrapText="1" indent="1"/>
    </xf>
    <xf numFmtId="0" fontId="12" fillId="0" borderId="20" xfId="0" applyFont="1" applyFill="1" applyBorder="1" applyAlignment="1">
      <alignment horizontal="distributed" vertical="center" wrapText="1" indent="1"/>
    </xf>
    <xf numFmtId="0" fontId="12" fillId="0" borderId="44" xfId="0" applyFont="1" applyFill="1" applyBorder="1" applyAlignment="1">
      <alignment horizontal="distributed" vertical="center" wrapText="1" indent="1"/>
    </xf>
    <xf numFmtId="0" fontId="12" fillId="0" borderId="16" xfId="0" applyFont="1" applyFill="1" applyBorder="1" applyAlignment="1">
      <alignment horizontal="distributed" vertical="center" wrapText="1" indent="1"/>
    </xf>
    <xf numFmtId="0" fontId="8" fillId="0" borderId="20" xfId="0" applyFont="1" applyFill="1" applyBorder="1" applyAlignment="1">
      <alignment horizontal="distributed" vertical="center" wrapText="1" indent="1"/>
    </xf>
    <xf numFmtId="0" fontId="8" fillId="0" borderId="44" xfId="0" applyFont="1" applyFill="1" applyBorder="1" applyAlignment="1">
      <alignment horizontal="distributed" vertical="center" wrapText="1" indent="1"/>
    </xf>
    <xf numFmtId="0" fontId="8" fillId="0" borderId="16" xfId="0" applyFont="1" applyFill="1" applyBorder="1" applyAlignment="1">
      <alignment horizontal="distributed" vertical="center" wrapText="1" indent="1"/>
    </xf>
    <xf numFmtId="0" fontId="8" fillId="0" borderId="0" xfId="0" applyFont="1" applyBorder="1" applyAlignment="1">
      <alignment horizontal="center" vertical="center"/>
    </xf>
    <xf numFmtId="0" fontId="9" fillId="0" borderId="0" xfId="0" applyFont="1" applyAlignment="1">
      <alignment horizontal="center" vertical="center"/>
    </xf>
    <xf numFmtId="0" fontId="8" fillId="0" borderId="22" xfId="0" applyFont="1" applyFill="1" applyBorder="1" applyAlignment="1">
      <alignment horizontal="left" vertical="top" wrapText="1"/>
    </xf>
    <xf numFmtId="0" fontId="8" fillId="0" borderId="0" xfId="0" applyFont="1" applyFill="1" applyBorder="1" applyAlignment="1">
      <alignment vertical="top" wrapText="1"/>
    </xf>
    <xf numFmtId="0" fontId="8" fillId="0" borderId="22" xfId="0" applyFont="1" applyFill="1" applyBorder="1" applyAlignment="1">
      <alignment vertical="top" wrapText="1"/>
    </xf>
    <xf numFmtId="0" fontId="8" fillId="0" borderId="0" xfId="0" applyFont="1" applyFill="1" applyBorder="1" applyAlignment="1">
      <alignment horizontal="left" vertical="top" wrapText="1"/>
    </xf>
    <xf numFmtId="0" fontId="12" fillId="0" borderId="0" xfId="0" applyFont="1" applyBorder="1" applyAlignment="1">
      <alignment horizontal="left" vertical="top" wrapText="1"/>
    </xf>
    <xf numFmtId="0" fontId="8" fillId="0" borderId="36" xfId="0" applyFont="1" applyFill="1" applyBorder="1" applyAlignment="1">
      <alignment vertical="top" wrapText="1"/>
    </xf>
    <xf numFmtId="0" fontId="8" fillId="0" borderId="23" xfId="0" applyFont="1" applyFill="1" applyBorder="1" applyAlignment="1">
      <alignment vertical="top" wrapText="1"/>
    </xf>
    <xf numFmtId="0" fontId="8" fillId="0" borderId="0" xfId="0" applyFont="1" applyBorder="1" applyAlignment="1">
      <alignment horizontal="left" vertical="top" wrapText="1"/>
    </xf>
    <xf numFmtId="0" fontId="5" fillId="0" borderId="0" xfId="0" applyFont="1" applyFill="1" applyBorder="1" applyAlignment="1">
      <alignment horizontal="center" vertical="center"/>
    </xf>
    <xf numFmtId="0" fontId="10" fillId="0" borderId="0" xfId="0" applyFont="1" applyBorder="1" applyAlignment="1">
      <alignment horizontal="center" vertical="center"/>
    </xf>
    <xf numFmtId="0" fontId="15" fillId="0" borderId="54" xfId="0" applyFont="1" applyBorder="1" applyAlignment="1">
      <alignment horizontal="distributed" vertical="center" indent="2"/>
    </xf>
    <xf numFmtId="0" fontId="15" fillId="0" borderId="45" xfId="0" applyFont="1" applyBorder="1" applyAlignment="1">
      <alignment horizontal="distributed" vertical="center" indent="2"/>
    </xf>
    <xf numFmtId="0" fontId="8" fillId="0" borderId="0" xfId="45" applyFont="1" applyFill="1" applyBorder="1" applyAlignment="1">
      <alignment horizontal="left" vertical="top" wrapText="1"/>
    </xf>
    <xf numFmtId="0" fontId="8" fillId="0" borderId="22" xfId="45" applyFont="1" applyFill="1" applyBorder="1" applyAlignment="1">
      <alignment horizontal="left" vertical="top" wrapText="1"/>
    </xf>
    <xf numFmtId="0" fontId="8" fillId="0" borderId="11" xfId="0" applyFont="1" applyFill="1" applyBorder="1" applyAlignment="1">
      <alignment vertical="top" wrapText="1"/>
    </xf>
    <xf numFmtId="0" fontId="8" fillId="0" borderId="27" xfId="0" applyFont="1" applyBorder="1" applyAlignment="1">
      <alignment horizontal="left" vertical="top" wrapText="1"/>
    </xf>
    <xf numFmtId="0" fontId="15" fillId="0" borderId="43" xfId="0" applyFont="1" applyBorder="1" applyAlignment="1">
      <alignment horizontal="distributed" vertical="center" indent="2"/>
    </xf>
    <xf numFmtId="0" fontId="5" fillId="0" borderId="0" xfId="0" applyFont="1" applyFill="1" applyAlignment="1">
      <alignment horizontal="center" vertical="center" wrapText="1"/>
    </xf>
    <xf numFmtId="0" fontId="8" fillId="0" borderId="0" xfId="0" applyFont="1" applyAlignment="1">
      <alignment horizontal="center" vertical="center" wrapText="1"/>
    </xf>
    <xf numFmtId="0" fontId="9" fillId="0" borderId="0" xfId="0" applyFont="1" applyFill="1" applyAlignment="1">
      <alignment horizontal="center" vertical="center" wrapText="1"/>
    </xf>
    <xf numFmtId="0" fontId="10" fillId="0" borderId="0" xfId="0" applyFont="1" applyFill="1" applyAlignment="1">
      <alignment horizontal="center" vertical="center" wrapText="1"/>
    </xf>
    <xf numFmtId="0" fontId="10" fillId="0" borderId="0" xfId="0" applyFont="1" applyAlignment="1">
      <alignment horizontal="center" vertical="center" wrapText="1"/>
    </xf>
    <xf numFmtId="0" fontId="8" fillId="0" borderId="36" xfId="112" applyFont="1" applyBorder="1" applyAlignment="1">
      <alignment horizontal="center" vertical="center"/>
    </xf>
    <xf numFmtId="0" fontId="0" fillId="0" borderId="36" xfId="0" applyBorder="1" applyAlignment="1">
      <alignment vertical="center"/>
    </xf>
    <xf numFmtId="0" fontId="12" fillId="0" borderId="33" xfId="213" applyFont="1" applyFill="1" applyBorder="1" applyAlignment="1">
      <alignment horizontal="distributed" vertical="center"/>
    </xf>
    <xf numFmtId="0" fontId="12" fillId="0" borderId="49" xfId="213" applyFont="1" applyFill="1" applyBorder="1" applyAlignment="1">
      <alignment horizontal="distributed" vertical="center"/>
    </xf>
    <xf numFmtId="0" fontId="12" fillId="0" borderId="24" xfId="213" applyFont="1" applyFill="1" applyBorder="1" applyAlignment="1">
      <alignment horizontal="center" vertical="center"/>
    </xf>
    <xf numFmtId="0" fontId="12" fillId="0" borderId="34" xfId="213" applyFont="1" applyFill="1" applyBorder="1" applyAlignment="1">
      <alignment horizontal="distributed" vertical="center" wrapText="1"/>
    </xf>
    <xf numFmtId="0" fontId="12" fillId="0" borderId="46" xfId="213" applyFont="1" applyFill="1" applyBorder="1" applyAlignment="1">
      <alignment horizontal="distributed" vertical="center"/>
    </xf>
    <xf numFmtId="0" fontId="12" fillId="0" borderId="34" xfId="213" applyFont="1" applyFill="1" applyBorder="1" applyAlignment="1">
      <alignment horizontal="distributed" vertical="center"/>
    </xf>
    <xf numFmtId="41" fontId="12" fillId="0" borderId="38" xfId="213" applyNumberFormat="1" applyFont="1" applyFill="1" applyBorder="1" applyAlignment="1">
      <alignment horizontal="distributed" vertical="center"/>
    </xf>
    <xf numFmtId="41" fontId="12" fillId="0" borderId="56" xfId="213" applyNumberFormat="1" applyFont="1" applyFill="1" applyBorder="1" applyAlignment="1">
      <alignment horizontal="distributed" vertical="center"/>
    </xf>
    <xf numFmtId="0" fontId="35" fillId="0" borderId="0" xfId="112" applyFont="1" applyBorder="1" applyAlignment="1">
      <alignment horizontal="left" vertical="top" wrapText="1"/>
    </xf>
    <xf numFmtId="0" fontId="8" fillId="0" borderId="43" xfId="112" applyFont="1" applyBorder="1" applyAlignment="1">
      <alignment horizontal="distributed" vertical="center"/>
    </xf>
    <xf numFmtId="0" fontId="8" fillId="0" borderId="45" xfId="0" applyFont="1" applyBorder="1" applyAlignment="1">
      <alignment horizontal="distributed" vertical="center"/>
    </xf>
    <xf numFmtId="179" fontId="8" fillId="0" borderId="25" xfId="112" applyNumberFormat="1" applyFont="1" applyFill="1" applyBorder="1" applyAlignment="1">
      <alignment horizontal="justify" vertical="top" wrapText="1"/>
    </xf>
    <xf numFmtId="0" fontId="8" fillId="0" borderId="26" xfId="0" applyFont="1" applyBorder="1" applyAlignment="1">
      <alignment vertical="top"/>
    </xf>
    <xf numFmtId="0" fontId="8" fillId="0" borderId="27" xfId="0" applyFont="1" applyBorder="1" applyAlignment="1">
      <alignment vertical="top"/>
    </xf>
    <xf numFmtId="179" fontId="8" fillId="0" borderId="22" xfId="112" applyNumberFormat="1" applyFont="1" applyFill="1" applyBorder="1" applyAlignment="1">
      <alignment horizontal="justify" vertical="top" wrapText="1"/>
    </xf>
    <xf numFmtId="0" fontId="8" fillId="0" borderId="22" xfId="0" applyFont="1" applyBorder="1" applyAlignment="1">
      <alignment horizontal="justify" vertical="top" wrapText="1"/>
    </xf>
    <xf numFmtId="0" fontId="27" fillId="0" borderId="0" xfId="0" applyFont="1" applyFill="1" applyAlignment="1">
      <alignment vertical="center" wrapText="1"/>
    </xf>
    <xf numFmtId="0" fontId="27" fillId="0" borderId="0" xfId="0" applyFont="1" applyAlignment="1">
      <alignment vertical="center" wrapText="1"/>
    </xf>
    <xf numFmtId="0" fontId="32" fillId="0" borderId="0" xfId="0" applyFont="1" applyFill="1" applyAlignment="1">
      <alignment vertical="center" wrapText="1"/>
    </xf>
    <xf numFmtId="0" fontId="8" fillId="0" borderId="33" xfId="0" applyFont="1" applyFill="1" applyBorder="1" applyAlignment="1">
      <alignment horizontal="distributed" vertical="center" wrapText="1"/>
    </xf>
    <xf numFmtId="0" fontId="8" fillId="0" borderId="17" xfId="0" applyFont="1" applyFill="1" applyBorder="1" applyAlignment="1">
      <alignment horizontal="distributed" vertical="center"/>
    </xf>
    <xf numFmtId="0" fontId="8" fillId="0" borderId="49" xfId="0" applyFont="1" applyFill="1" applyBorder="1" applyAlignment="1">
      <alignment horizontal="distributed" vertical="center"/>
    </xf>
    <xf numFmtId="0" fontId="8" fillId="0" borderId="34" xfId="0" applyFont="1" applyFill="1" applyBorder="1" applyAlignment="1">
      <alignment horizontal="distributed" vertical="center" wrapText="1" indent="2"/>
    </xf>
    <xf numFmtId="0" fontId="8" fillId="0" borderId="18" xfId="0" applyFont="1" applyFill="1" applyBorder="1" applyAlignment="1">
      <alignment horizontal="distributed" vertical="center" wrapText="1" indent="2"/>
    </xf>
    <xf numFmtId="0" fontId="8" fillId="0" borderId="46" xfId="0" applyFont="1" applyFill="1" applyBorder="1" applyAlignment="1">
      <alignment horizontal="distributed" vertical="center" wrapText="1" indent="2"/>
    </xf>
    <xf numFmtId="0" fontId="12" fillId="0" borderId="38" xfId="0" applyFont="1" applyFill="1" applyBorder="1" applyAlignment="1">
      <alignment horizontal="distributed" vertical="center" wrapText="1"/>
    </xf>
    <xf numFmtId="0" fontId="8" fillId="0" borderId="11" xfId="0" applyFont="1" applyFill="1" applyBorder="1" applyAlignment="1">
      <alignment horizontal="distributed" vertical="center" wrapText="1"/>
    </xf>
    <xf numFmtId="0" fontId="8" fillId="0" borderId="56" xfId="0" applyFont="1" applyFill="1" applyBorder="1" applyAlignment="1">
      <alignment horizontal="distributed" vertical="center" wrapText="1"/>
    </xf>
    <xf numFmtId="0" fontId="8" fillId="0" borderId="34" xfId="0" applyFont="1" applyFill="1" applyBorder="1" applyAlignment="1">
      <alignment horizontal="distributed" vertical="center" wrapText="1"/>
    </xf>
    <xf numFmtId="0" fontId="8" fillId="0" borderId="18" xfId="0" applyFont="1" applyFill="1" applyBorder="1" applyAlignment="1">
      <alignment horizontal="distributed" vertical="center"/>
    </xf>
    <xf numFmtId="0" fontId="8" fillId="0" borderId="46" xfId="0" applyFont="1" applyFill="1" applyBorder="1" applyAlignment="1">
      <alignment horizontal="distributed" vertical="center"/>
    </xf>
    <xf numFmtId="0" fontId="8" fillId="0" borderId="34"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43" xfId="0" applyFont="1" applyFill="1" applyBorder="1" applyAlignment="1">
      <alignment horizontal="distributed" vertical="center" wrapText="1" indent="1"/>
    </xf>
    <xf numFmtId="0" fontId="8" fillId="0" borderId="54" xfId="0" applyFont="1" applyFill="1" applyBorder="1" applyAlignment="1">
      <alignment horizontal="distributed" vertical="center" wrapText="1" indent="1"/>
    </xf>
    <xf numFmtId="0" fontId="8" fillId="0" borderId="45" xfId="0" applyFont="1" applyFill="1" applyBorder="1" applyAlignment="1">
      <alignment horizontal="distributed" vertical="center" wrapText="1" indent="1"/>
    </xf>
    <xf numFmtId="0" fontId="8" fillId="0" borderId="0" xfId="0" applyFont="1" applyFill="1" applyBorder="1" applyAlignment="1">
      <alignment horizontal="right" vertical="center"/>
    </xf>
    <xf numFmtId="0" fontId="8" fillId="0" borderId="0" xfId="0" applyFont="1" applyFill="1" applyBorder="1" applyAlignment="1">
      <alignment horizontal="left" vertical="center"/>
    </xf>
    <xf numFmtId="0" fontId="12" fillId="0" borderId="43" xfId="0" applyFont="1" applyFill="1" applyBorder="1" applyAlignment="1">
      <alignment horizontal="distributed" vertical="center" wrapText="1"/>
    </xf>
    <xf numFmtId="0" fontId="8" fillId="0" borderId="54" xfId="0" applyFont="1" applyFill="1" applyBorder="1" applyAlignment="1">
      <alignment horizontal="distributed" vertical="center" wrapText="1"/>
    </xf>
    <xf numFmtId="0" fontId="8" fillId="0" borderId="34" xfId="0" applyFont="1" applyFill="1" applyBorder="1" applyAlignment="1">
      <alignment horizontal="distributed" vertical="center" wrapText="1" indent="1"/>
    </xf>
    <xf numFmtId="0" fontId="8" fillId="0" borderId="46" xfId="0" applyFont="1" applyBorder="1" applyAlignment="1">
      <alignment horizontal="distributed" vertical="center" indent="1"/>
    </xf>
    <xf numFmtId="0" fontId="8" fillId="0" borderId="55" xfId="0" applyFont="1" applyFill="1" applyBorder="1" applyAlignment="1">
      <alignment horizontal="distributed" vertical="center" wrapText="1"/>
    </xf>
    <xf numFmtId="0" fontId="8" fillId="0" borderId="33"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10"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8" fillId="0" borderId="24" xfId="0" applyFont="1" applyBorder="1" applyAlignment="1">
      <alignment horizontal="distributed" vertical="distributed" wrapText="1" indent="2"/>
    </xf>
    <xf numFmtId="0" fontId="8" fillId="0" borderId="38" xfId="0" applyFont="1" applyBorder="1" applyAlignment="1">
      <alignment horizontal="distributed" vertical="center" wrapText="1"/>
    </xf>
    <xf numFmtId="0" fontId="8" fillId="0" borderId="56" xfId="0" applyFont="1" applyBorder="1" applyAlignment="1">
      <alignment horizontal="distributed"/>
    </xf>
    <xf numFmtId="0" fontId="8" fillId="0" borderId="33" xfId="0" applyFont="1" applyBorder="1" applyAlignment="1">
      <alignment horizontal="distributed" vertical="center" wrapText="1" indent="2"/>
    </xf>
    <xf numFmtId="0" fontId="8" fillId="0" borderId="49" xfId="0" applyFont="1" applyBorder="1" applyAlignment="1">
      <alignment horizontal="distributed" vertical="center" wrapText="1" indent="2"/>
    </xf>
    <xf numFmtId="49" fontId="19" fillId="0" borderId="0" xfId="0" applyNumberFormat="1" applyFont="1" applyBorder="1" applyAlignment="1">
      <alignment vertical="top" wrapText="1"/>
    </xf>
    <xf numFmtId="182" fontId="8" fillId="0" borderId="22" xfId="0" applyNumberFormat="1" applyFont="1" applyFill="1" applyBorder="1" applyAlignment="1">
      <alignment horizontal="justify" vertical="top" wrapText="1"/>
    </xf>
    <xf numFmtId="182" fontId="12" fillId="0" borderId="0" xfId="0" applyNumberFormat="1" applyFont="1" applyFill="1" applyBorder="1" applyAlignment="1">
      <alignment horizontal="left" vertical="top" wrapText="1"/>
    </xf>
    <xf numFmtId="0" fontId="0" fillId="0" borderId="22" xfId="0" applyBorder="1" applyAlignment="1">
      <alignment horizontal="left" vertical="top" wrapText="1"/>
    </xf>
    <xf numFmtId="0" fontId="0" fillId="0" borderId="0" xfId="0" applyAlignment="1">
      <alignment horizontal="left" vertical="top" wrapText="1"/>
    </xf>
    <xf numFmtId="182" fontId="8" fillId="0" borderId="0" xfId="0" applyNumberFormat="1" applyFont="1" applyFill="1" applyBorder="1" applyAlignment="1">
      <alignment horizontal="justify" vertical="top" wrapText="1"/>
    </xf>
    <xf numFmtId="0" fontId="8" fillId="0" borderId="22" xfId="0" applyFont="1" applyBorder="1" applyAlignment="1">
      <alignment horizontal="justify" vertical="center" wrapText="1"/>
    </xf>
    <xf numFmtId="0" fontId="8" fillId="0" borderId="0" xfId="0" applyFont="1" applyBorder="1" applyAlignment="1">
      <alignment horizontal="justify" vertical="center" wrapText="1"/>
    </xf>
    <xf numFmtId="182" fontId="8" fillId="0" borderId="27" xfId="0" applyNumberFormat="1" applyFont="1" applyFill="1" applyBorder="1" applyAlignment="1">
      <alignment horizontal="left" vertical="top" wrapText="1"/>
    </xf>
    <xf numFmtId="182" fontId="8" fillId="0" borderId="0" xfId="0" applyNumberFormat="1" applyFont="1" applyFill="1" applyBorder="1" applyAlignment="1">
      <alignment horizontal="left" vertical="top" wrapText="1"/>
    </xf>
    <xf numFmtId="182" fontId="8" fillId="0" borderId="22" xfId="0" applyNumberFormat="1" applyFont="1" applyFill="1" applyBorder="1" applyAlignment="1">
      <alignment horizontal="left" vertical="top" wrapText="1"/>
    </xf>
    <xf numFmtId="0" fontId="59" fillId="0" borderId="28" xfId="0" applyFont="1" applyFill="1" applyBorder="1" applyAlignment="1">
      <alignment horizontal="distributed" vertical="center" wrapText="1" indent="1"/>
    </xf>
    <xf numFmtId="0" fontId="59" fillId="0" borderId="15" xfId="0" applyFont="1" applyFill="1" applyBorder="1" applyAlignment="1">
      <alignment horizontal="center" vertical="center" wrapText="1"/>
    </xf>
    <xf numFmtId="0" fontId="59" fillId="0" borderId="46" xfId="0" applyFont="1" applyFill="1" applyBorder="1" applyAlignment="1">
      <alignment horizontal="center" vertical="center" wrapText="1"/>
    </xf>
    <xf numFmtId="0" fontId="59" fillId="0" borderId="15" xfId="0" applyFont="1" applyFill="1" applyBorder="1" applyAlignment="1">
      <alignment horizontal="center" vertical="top" wrapText="1"/>
    </xf>
    <xf numFmtId="0" fontId="59" fillId="0" borderId="46" xfId="0" applyFont="1" applyFill="1" applyBorder="1" applyAlignment="1">
      <alignment horizontal="center" vertical="top" wrapText="1"/>
    </xf>
    <xf numFmtId="0" fontId="59" fillId="0" borderId="28" xfId="0" applyFont="1" applyFill="1" applyBorder="1" applyAlignment="1">
      <alignment horizontal="center" vertical="center" wrapText="1"/>
    </xf>
    <xf numFmtId="0" fontId="0" fillId="0" borderId="27" xfId="0" applyBorder="1" applyAlignment="1">
      <alignment vertical="top" wrapText="1"/>
    </xf>
    <xf numFmtId="0" fontId="0" fillId="0" borderId="0" xfId="0" applyBorder="1" applyAlignment="1">
      <alignment vertical="top" wrapText="1"/>
    </xf>
    <xf numFmtId="0" fontId="0" fillId="0" borderId="22" xfId="0" applyBorder="1" applyAlignment="1">
      <alignment vertical="top" wrapText="1"/>
    </xf>
    <xf numFmtId="49" fontId="19" fillId="0" borderId="0" xfId="0" applyNumberFormat="1" applyFont="1" applyBorder="1" applyAlignment="1">
      <alignment horizontal="center" vertical="top" wrapText="1"/>
    </xf>
    <xf numFmtId="49" fontId="19" fillId="0" borderId="36" xfId="0" applyNumberFormat="1" applyFont="1" applyBorder="1" applyAlignment="1">
      <alignment horizontal="center" vertical="top" wrapText="1"/>
    </xf>
    <xf numFmtId="182" fontId="8" fillId="0" borderId="23" xfId="0" applyNumberFormat="1" applyFont="1" applyFill="1" applyBorder="1" applyAlignment="1">
      <alignment horizontal="left" vertical="top" wrapText="1"/>
    </xf>
    <xf numFmtId="0" fontId="8" fillId="0" borderId="22" xfId="20" applyNumberFormat="1" applyFont="1" applyBorder="1" applyAlignment="1">
      <alignment horizontal="justify" vertical="top" wrapText="1"/>
    </xf>
    <xf numFmtId="0" fontId="8" fillId="0" borderId="18" xfId="0" applyFont="1" applyBorder="1">
      <alignment vertical="center"/>
    </xf>
    <xf numFmtId="0" fontId="8" fillId="0" borderId="46" xfId="0" applyFont="1" applyBorder="1">
      <alignment vertical="center"/>
    </xf>
    <xf numFmtId="0" fontId="8" fillId="0" borderId="68" xfId="0" applyFont="1" applyFill="1" applyBorder="1" applyAlignment="1">
      <alignment horizontal="distributed" vertical="center" wrapText="1" indent="1"/>
    </xf>
    <xf numFmtId="0" fontId="8" fillId="0" borderId="22" xfId="20" applyNumberFormat="1" applyFont="1" applyBorder="1" applyAlignment="1">
      <alignment horizontal="left" vertical="top" wrapText="1"/>
    </xf>
    <xf numFmtId="0" fontId="8" fillId="0" borderId="22" xfId="20" applyFont="1" applyBorder="1" applyAlignment="1">
      <alignment horizontal="justify" vertical="top" wrapText="1"/>
    </xf>
    <xf numFmtId="0" fontId="8" fillId="0" borderId="22" xfId="20" applyNumberFormat="1" applyFont="1" applyFill="1" applyBorder="1" applyAlignment="1">
      <alignment horizontal="left" vertical="top" wrapText="1"/>
    </xf>
    <xf numFmtId="0" fontId="8" fillId="0" borderId="23" xfId="20" applyNumberFormat="1" applyFont="1" applyFill="1" applyBorder="1" applyAlignment="1">
      <alignment horizontal="left" vertical="top" wrapText="1"/>
    </xf>
    <xf numFmtId="0" fontId="22" fillId="0" borderId="11" xfId="0" applyNumberFormat="1" applyFont="1" applyFill="1" applyBorder="1" applyAlignment="1">
      <alignment horizontal="left" vertical="top" wrapText="1"/>
    </xf>
    <xf numFmtId="0" fontId="22" fillId="0" borderId="11" xfId="0" applyFont="1" applyBorder="1" applyAlignment="1">
      <alignment horizontal="left" vertical="top" wrapText="1"/>
    </xf>
    <xf numFmtId="0" fontId="22" fillId="0" borderId="19" xfId="0" applyFont="1" applyFill="1" applyBorder="1" applyAlignment="1">
      <alignment horizontal="center" vertical="center" wrapText="1"/>
    </xf>
    <xf numFmtId="0" fontId="20" fillId="0" borderId="28" xfId="0" applyFont="1" applyFill="1" applyBorder="1" applyAlignment="1">
      <alignment horizontal="center" vertical="center" wrapText="1"/>
    </xf>
    <xf numFmtId="3" fontId="12" fillId="0" borderId="27" xfId="0" applyNumberFormat="1" applyFont="1" applyFill="1" applyBorder="1" applyAlignment="1">
      <alignment vertical="top" wrapText="1"/>
    </xf>
    <xf numFmtId="3" fontId="12" fillId="0" borderId="27" xfId="0" applyNumberFormat="1" applyFont="1" applyFill="1" applyBorder="1" applyAlignment="1">
      <alignment horizontal="left" vertical="top" wrapText="1"/>
    </xf>
    <xf numFmtId="0" fontId="57" fillId="0" borderId="0" xfId="0" applyFont="1" applyFill="1" applyAlignment="1">
      <alignment horizontal="left" vertical="center" wrapText="1"/>
    </xf>
    <xf numFmtId="0" fontId="0" fillId="0" borderId="0" xfId="0" applyAlignment="1">
      <alignment horizontal="left" vertical="center" wrapText="1"/>
    </xf>
    <xf numFmtId="0" fontId="12" fillId="0" borderId="34" xfId="0" applyFont="1" applyFill="1" applyBorder="1" applyAlignment="1">
      <alignment horizontal="distributed" vertical="center" wrapText="1" indent="2"/>
    </xf>
    <xf numFmtId="0" fontId="12" fillId="0" borderId="18" xfId="0" applyFont="1" applyFill="1" applyBorder="1" applyAlignment="1">
      <alignment horizontal="distributed" vertical="center" wrapText="1" indent="2"/>
    </xf>
    <xf numFmtId="0" fontId="12" fillId="0" borderId="46" xfId="0" applyFont="1" applyFill="1" applyBorder="1" applyAlignment="1">
      <alignment horizontal="distributed" vertical="center" wrapText="1" indent="2"/>
    </xf>
    <xf numFmtId="0" fontId="58" fillId="0" borderId="0" xfId="0" applyFont="1" applyFill="1" applyAlignment="1">
      <alignment vertical="top" wrapText="1"/>
    </xf>
    <xf numFmtId="0" fontId="12" fillId="0" borderId="50" xfId="0" applyFont="1" applyFill="1" applyBorder="1" applyAlignment="1">
      <alignment horizontal="distributed" vertical="center" wrapText="1" indent="2"/>
    </xf>
    <xf numFmtId="3" fontId="107" fillId="0" borderId="27" xfId="0" applyNumberFormat="1" applyFont="1" applyFill="1" applyBorder="1" applyAlignment="1">
      <alignment horizontal="left" vertical="top" wrapText="1"/>
    </xf>
  </cellXfs>
  <cellStyles count="215">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1" xfId="213" xr:uid="{00000000-0005-0000-0000-000061000000}"/>
    <cellStyle name="一般 13 2" xfId="172" xr:uid="{00000000-0005-0000-0000-000062000000}"/>
    <cellStyle name="一般 2" xfId="66" xr:uid="{00000000-0005-0000-0000-000063000000}"/>
    <cellStyle name="一般 2 2" xfId="67" xr:uid="{00000000-0005-0000-0000-000064000000}"/>
    <cellStyle name="一般 2 3" xfId="68" xr:uid="{00000000-0005-0000-0000-000065000000}"/>
    <cellStyle name="一般 2 3 2" xfId="173" xr:uid="{00000000-0005-0000-0000-000066000000}"/>
    <cellStyle name="一般 2 4" xfId="69" xr:uid="{00000000-0005-0000-0000-000067000000}"/>
    <cellStyle name="一般 2 4 2" xfId="174" xr:uid="{00000000-0005-0000-0000-000068000000}"/>
    <cellStyle name="一般 2_1021220-104利息收入" xfId="70" xr:uid="{00000000-0005-0000-0000-000069000000}"/>
    <cellStyle name="一般 23" xfId="175" xr:uid="{00000000-0005-0000-0000-00006A000000}"/>
    <cellStyle name="一般 25" xfId="176" xr:uid="{00000000-0005-0000-0000-00006B000000}"/>
    <cellStyle name="一般 28" xfId="177" xr:uid="{00000000-0005-0000-0000-00006C000000}"/>
    <cellStyle name="一般 3" xfId="71" xr:uid="{00000000-0005-0000-0000-00006D000000}"/>
    <cellStyle name="一般 3 2" xfId="72" xr:uid="{00000000-0005-0000-0000-00006E000000}"/>
    <cellStyle name="一般 3 2 2" xfId="178" xr:uid="{00000000-0005-0000-0000-00006F000000}"/>
    <cellStyle name="一般 3 2 3" xfId="179" xr:uid="{00000000-0005-0000-0000-000070000000}"/>
    <cellStyle name="一般 4" xfId="73" xr:uid="{00000000-0005-0000-0000-000071000000}"/>
    <cellStyle name="一般 4 2" xfId="74" xr:uid="{00000000-0005-0000-0000-000072000000}"/>
    <cellStyle name="一般 4 2 2" xfId="180" xr:uid="{00000000-0005-0000-0000-000073000000}"/>
    <cellStyle name="一般 5" xfId="75" xr:uid="{00000000-0005-0000-0000-000074000000}"/>
    <cellStyle name="一般 6" xfId="111" xr:uid="{00000000-0005-0000-0000-000075000000}"/>
    <cellStyle name="一般 6 2" xfId="181" xr:uid="{00000000-0005-0000-0000-000076000000}"/>
    <cellStyle name="一般 7" xfId="182" xr:uid="{00000000-0005-0000-0000-000077000000}"/>
    <cellStyle name="一般 7 2" xfId="183" xr:uid="{00000000-0005-0000-0000-000078000000}"/>
    <cellStyle name="一般 8" xfId="184" xr:uid="{00000000-0005-0000-0000-000079000000}"/>
    <cellStyle name="一般 9" xfId="185" xr:uid="{00000000-0005-0000-0000-00007A000000}"/>
    <cellStyle name="一般_(For 監理會)101附屬單位預算(營業部分)" xfId="20" xr:uid="{00000000-0005-0000-0000-00007B000000}"/>
    <cellStyle name="一般_99附屬單位預算(營業部分)-佩虹" xfId="112" xr:uid="{00000000-0005-0000-0000-00007C000000}"/>
    <cellStyle name="一般_國保101行政經費彙計表" xfId="113" xr:uid="{00000000-0005-0000-0000-00007D000000}"/>
    <cellStyle name="千分位" xfId="21" builtinId="3"/>
    <cellStyle name="千分位 11" xfId="186" xr:uid="{00000000-0005-0000-0000-00007F000000}"/>
    <cellStyle name="千分位 11 2" xfId="187" xr:uid="{00000000-0005-0000-0000-000080000000}"/>
    <cellStyle name="千分位 2" xfId="76" xr:uid="{00000000-0005-0000-0000-000081000000}"/>
    <cellStyle name="千分位 2 2" xfId="77" xr:uid="{00000000-0005-0000-0000-000082000000}"/>
    <cellStyle name="千分位 2 2 2" xfId="78" xr:uid="{00000000-0005-0000-0000-000083000000}"/>
    <cellStyle name="千分位 2 2 2 2" xfId="188" xr:uid="{00000000-0005-0000-0000-000084000000}"/>
    <cellStyle name="千分位 2 2 3" xfId="189" xr:uid="{00000000-0005-0000-0000-000085000000}"/>
    <cellStyle name="千分位 2 3" xfId="79" xr:uid="{00000000-0005-0000-0000-000086000000}"/>
    <cellStyle name="千分位 2 3 2" xfId="190" xr:uid="{00000000-0005-0000-0000-000087000000}"/>
    <cellStyle name="千分位 2 4" xfId="191" xr:uid="{00000000-0005-0000-0000-000088000000}"/>
    <cellStyle name="千分位 3" xfId="80" xr:uid="{00000000-0005-0000-0000-000089000000}"/>
    <cellStyle name="千分位 3 2" xfId="192" xr:uid="{00000000-0005-0000-0000-00008A000000}"/>
    <cellStyle name="千分位 4" xfId="81" xr:uid="{00000000-0005-0000-0000-00008B000000}"/>
    <cellStyle name="千分位 4 2" xfId="193" xr:uid="{00000000-0005-0000-0000-00008C000000}"/>
    <cellStyle name="千分位 5" xfId="82" xr:uid="{00000000-0005-0000-0000-00008D000000}"/>
    <cellStyle name="千分位 5 2" xfId="194" xr:uid="{00000000-0005-0000-0000-00008E000000}"/>
    <cellStyle name="千分位 6" xfId="195" xr:uid="{00000000-0005-0000-0000-00008F000000}"/>
    <cellStyle name="千分位 7" xfId="214" xr:uid="{00000000-0005-0000-0000-000090000000}"/>
    <cellStyle name="千分位[0] 2" xfId="83" xr:uid="{00000000-0005-0000-0000-000091000000}"/>
    <cellStyle name="千分位[0] 2 2" xfId="196" xr:uid="{00000000-0005-0000-0000-000092000000}"/>
    <cellStyle name="千分位[0] 3" xfId="84" xr:uid="{00000000-0005-0000-0000-000093000000}"/>
    <cellStyle name="千分位[0] 3 2" xfId="197" xr:uid="{00000000-0005-0000-0000-000094000000}"/>
    <cellStyle name="中等" xfId="22" builtinId="28" customBuiltin="1"/>
    <cellStyle name="中等 2" xfId="85" xr:uid="{00000000-0005-0000-0000-000096000000}"/>
    <cellStyle name="未定義" xfId="23" xr:uid="{00000000-0005-0000-0000-000097000000}"/>
    <cellStyle name="合計" xfId="24" builtinId="25" customBuiltin="1"/>
    <cellStyle name="合計 2" xfId="86" xr:uid="{00000000-0005-0000-0000-000099000000}"/>
    <cellStyle name="好" xfId="25" builtinId="26" customBuiltin="1"/>
    <cellStyle name="好 2" xfId="87" xr:uid="{00000000-0005-0000-0000-00009B000000}"/>
    <cellStyle name="百分比" xfId="26" builtinId="5"/>
    <cellStyle name="百分比 2" xfId="88" xr:uid="{00000000-0005-0000-0000-00009D000000}"/>
    <cellStyle name="百分比 3" xfId="89" xr:uid="{00000000-0005-0000-0000-00009E000000}"/>
    <cellStyle name="表首" xfId="198" xr:uid="{00000000-0005-0000-0000-00009F000000}"/>
    <cellStyle name="計算方式" xfId="27" builtinId="22" customBuiltin="1"/>
    <cellStyle name="計算方式 2" xfId="90" xr:uid="{00000000-0005-0000-0000-0000A1000000}"/>
    <cellStyle name="桁区切り [0.00]_RESULTS" xfId="199" xr:uid="{00000000-0005-0000-0000-0000A2000000}"/>
    <cellStyle name="桁区切り_RESULTS" xfId="200" xr:uid="{00000000-0005-0000-0000-0000A3000000}"/>
    <cellStyle name="貨幣 2" xfId="201" xr:uid="{00000000-0005-0000-0000-0000A4000000}"/>
    <cellStyle name="貨幣[0]" xfId="202" xr:uid="{00000000-0005-0000-0000-0000A5000000}"/>
    <cellStyle name="貨幣[0] 2" xfId="203" xr:uid="{00000000-0005-0000-0000-0000A6000000}"/>
    <cellStyle name="貨幣[0]_0328-1.87" xfId="204" xr:uid="{00000000-0005-0000-0000-0000A7000000}"/>
    <cellStyle name="通貨 [0.00]_RESULTS" xfId="205" xr:uid="{00000000-0005-0000-0000-0000A8000000}"/>
    <cellStyle name="通貨_RESULTS" xfId="206" xr:uid="{00000000-0005-0000-0000-0000A9000000}"/>
    <cellStyle name="連結的儲存格" xfId="28" builtinId="24" customBuiltin="1"/>
    <cellStyle name="連結的儲存格 2" xfId="91" xr:uid="{00000000-0005-0000-0000-0000AB000000}"/>
    <cellStyle name="備註" xfId="29" builtinId="10" customBuiltin="1"/>
    <cellStyle name="備註 2" xfId="92" xr:uid="{00000000-0005-0000-0000-0000AD000000}"/>
    <cellStyle name="說明文字" xfId="30" builtinId="53" customBuiltin="1"/>
    <cellStyle name="說明文字 2" xfId="93" xr:uid="{00000000-0005-0000-0000-0000AF000000}"/>
    <cellStyle name="輔色1" xfId="31" builtinId="29" customBuiltin="1"/>
    <cellStyle name="輔色1 2" xfId="94" xr:uid="{00000000-0005-0000-0000-0000B1000000}"/>
    <cellStyle name="輔色2" xfId="32" builtinId="33" customBuiltin="1"/>
    <cellStyle name="輔色2 2" xfId="95" xr:uid="{00000000-0005-0000-0000-0000B3000000}"/>
    <cellStyle name="輔色3" xfId="33" builtinId="37" customBuiltin="1"/>
    <cellStyle name="輔色3 2" xfId="96" xr:uid="{00000000-0005-0000-0000-0000B5000000}"/>
    <cellStyle name="輔色4" xfId="34" builtinId="41" customBuiltin="1"/>
    <cellStyle name="輔色4 2" xfId="97" xr:uid="{00000000-0005-0000-0000-0000B7000000}"/>
    <cellStyle name="輔色5" xfId="35" builtinId="45" customBuiltin="1"/>
    <cellStyle name="輔色5 2" xfId="98" xr:uid="{00000000-0005-0000-0000-0000B9000000}"/>
    <cellStyle name="輔色6" xfId="36" builtinId="49" customBuiltin="1"/>
    <cellStyle name="輔色6 2" xfId="99" xr:uid="{00000000-0005-0000-0000-0000BB000000}"/>
    <cellStyle name="標準_RESULTS" xfId="207" xr:uid="{00000000-0005-0000-0000-0000BC000000}"/>
    <cellStyle name="標題" xfId="37" builtinId="15" customBuiltin="1"/>
    <cellStyle name="標題 1" xfId="38" builtinId="16" customBuiltin="1"/>
    <cellStyle name="標題 1 2" xfId="100" xr:uid="{00000000-0005-0000-0000-0000BF000000}"/>
    <cellStyle name="標題 2" xfId="39" builtinId="17" customBuiltin="1"/>
    <cellStyle name="標題 2 2" xfId="101" xr:uid="{00000000-0005-0000-0000-0000C1000000}"/>
    <cellStyle name="標題 3" xfId="40" builtinId="18" customBuiltin="1"/>
    <cellStyle name="標題 3 2" xfId="102" xr:uid="{00000000-0005-0000-0000-0000C3000000}"/>
    <cellStyle name="標題 4" xfId="41" builtinId="19" customBuiltin="1"/>
    <cellStyle name="標題 4 2" xfId="103" xr:uid="{00000000-0005-0000-0000-0000C5000000}"/>
    <cellStyle name="標題 5" xfId="104" xr:uid="{00000000-0005-0000-0000-0000C6000000}"/>
    <cellStyle name="樣式 1" xfId="105" xr:uid="{00000000-0005-0000-0000-0000C7000000}"/>
    <cellStyle name="輸入" xfId="42" builtinId="20" customBuiltin="1"/>
    <cellStyle name="輸入 2" xfId="106" xr:uid="{00000000-0005-0000-0000-0000C9000000}"/>
    <cellStyle name="輸出" xfId="43" builtinId="21" customBuiltin="1"/>
    <cellStyle name="輸出 2" xfId="107" xr:uid="{00000000-0005-0000-0000-0000CB000000}"/>
    <cellStyle name="隨後的超連結_2001NIP報表-bak" xfId="208" xr:uid="{00000000-0005-0000-0000-0000CC000000}"/>
    <cellStyle name="檢查儲存格" xfId="44" builtinId="23" customBuiltin="1"/>
    <cellStyle name="檢查儲存格 2" xfId="108" xr:uid="{00000000-0005-0000-0000-0000CE000000}"/>
    <cellStyle name="壞" xfId="45" builtinId="27" customBuiltin="1"/>
    <cellStyle name="壞 2" xfId="109" xr:uid="{00000000-0005-0000-0000-0000D0000000}"/>
    <cellStyle name="警告文字" xfId="46" builtinId="11" customBuiltin="1"/>
    <cellStyle name="警告文字 2" xfId="110" xr:uid="{00000000-0005-0000-0000-0000D2000000}"/>
    <cellStyle name="巍葆 [0]_laroux" xfId="209" xr:uid="{00000000-0005-0000-0000-0000D3000000}"/>
    <cellStyle name="巍葆_laroux" xfId="210" xr:uid="{00000000-0005-0000-0000-0000D4000000}"/>
    <cellStyle name="鱔 [0]_laroux" xfId="211" xr:uid="{00000000-0005-0000-0000-0000D5000000}"/>
    <cellStyle name="鱔_laroux" xfId="212" xr:uid="{00000000-0005-0000-0000-0000D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externalLink" Target="externalLinks/externalLink5.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externalLink" Target="externalLinks/externalLink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9999FF"/>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9C4B-4819-842F-7936580E9C32}"/>
              </c:ext>
            </c:extLst>
          </c:dPt>
          <c:dPt>
            <c:idx val="2"/>
            <c:bubble3D val="0"/>
            <c:explosion val="33"/>
            <c:extLst>
              <c:ext xmlns:c16="http://schemas.microsoft.com/office/drawing/2014/chart" uri="{C3380CC4-5D6E-409C-BE32-E72D297353CC}">
                <c16:uniqueId val="{00000001-9C4B-4819-842F-7936580E9C32}"/>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9C4B-4819-842F-7936580E9C32}"/>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0.18%</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9C4B-4819-842F-7936580E9C32}"/>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99.16%</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9C4B-4819-842F-7936580E9C32}"/>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0.66%</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9C4B-4819-842F-7936580E9C32}"/>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9C4B-4819-842F-7936580E9C32}"/>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9C4B-4819-842F-7936580E9C32}"/>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21280</c:v>
                </c:pt>
                <c:pt idx="1">
                  <c:v>973763</c:v>
                </c:pt>
                <c:pt idx="2">
                  <c:v>529456737</c:v>
                </c:pt>
                <c:pt idx="3">
                  <c:v>3512763</c:v>
                </c:pt>
                <c:pt idx="4">
                  <c:v>37</c:v>
                </c:pt>
                <c:pt idx="5" formatCode="General">
                  <c:v>0</c:v>
                </c:pt>
              </c:numCache>
            </c:numRef>
          </c:val>
          <c:extLst>
            <c:ext xmlns:c16="http://schemas.microsoft.com/office/drawing/2014/chart" uri="{C3380CC4-5D6E-409C-BE32-E72D297353CC}">
              <c16:uniqueId val="{00000006-9C4B-4819-842F-7936580E9C32}"/>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9999FF"/>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0287-47A1-9A81-B10BCE2D6961}"/>
              </c:ext>
            </c:extLst>
          </c:dPt>
          <c:dPt>
            <c:idx val="2"/>
            <c:bubble3D val="0"/>
            <c:explosion val="33"/>
            <c:extLst>
              <c:ext xmlns:c16="http://schemas.microsoft.com/office/drawing/2014/chart" uri="{C3380CC4-5D6E-409C-BE32-E72D297353CC}">
                <c16:uniqueId val="{00000001-0287-47A1-9A81-B10BCE2D6961}"/>
              </c:ext>
            </c:extLst>
          </c:dPt>
          <c:dLbls>
            <c:dLbl>
              <c:idx val="0"/>
              <c:layout>
                <c:manualLayout>
                  <c:x val="0.26702267985732558"/>
                  <c:y val="1.2286009703332539E-2"/>
                </c:manualLayout>
              </c:layout>
              <c:tx>
                <c:rich>
                  <a:bodyPr/>
                  <a:lstStyle/>
                  <a:p>
                    <a:r>
                      <a:rPr lang="zh-TW" altLang="en-US"/>
                      <a:t>  租金及權利金收入
</a:t>
                    </a:r>
                    <a:r>
                      <a:rPr lang="en-US" altLang="zh-TW" baseline="0">
                        <a:latin typeface="Times New Roman" pitchFamily="18" charset="0"/>
                        <a:cs typeface="Times New Roman" pitchFamily="18" charset="0"/>
                      </a:rPr>
                      <a:t>0.05%</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0287-47A1-9A81-B10BCE2D6961}"/>
                </c:ext>
              </c:extLst>
            </c:dLbl>
            <c:dLbl>
              <c:idx val="1"/>
              <c:layout>
                <c:manualLayout>
                  <c:x val="0.17418258062569764"/>
                  <c:y val="0.19256180940345427"/>
                </c:manualLayout>
              </c:layout>
              <c:tx>
                <c:rich>
                  <a:bodyPr/>
                  <a:lstStyle/>
                  <a:p>
                    <a:r>
                      <a:rPr lang="zh-TW" altLang="en-US"/>
                      <a:t>  投融資業務收入
</a:t>
                    </a:r>
                    <a:r>
                      <a:rPr lang="en-US" altLang="zh-TW" baseline="0">
                        <a:latin typeface="Times New Roman" pitchFamily="18" charset="0"/>
                        <a:cs typeface="Times New Roman" pitchFamily="18" charset="0"/>
                      </a:rPr>
                      <a:t>5.66%</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0287-47A1-9A81-B10BCE2D6961}"/>
                </c:ext>
              </c:extLst>
            </c:dLbl>
            <c:dLbl>
              <c:idx val="2"/>
              <c:layout>
                <c:manualLayout>
                  <c:x val="-5.526717814119389E-2"/>
                  <c:y val="4.5601208939791471E-2"/>
                </c:manualLayout>
              </c:layout>
              <c:tx>
                <c:rich>
                  <a:bodyPr/>
                  <a:lstStyle/>
                  <a:p>
                    <a:pPr>
                      <a:defRPr sz="1000" b="0" i="0" u="none" strike="noStrike" baseline="0">
                        <a:solidFill>
                          <a:srgbClr val="000000"/>
                        </a:solidFill>
                        <a:latin typeface="Times New Roman" pitchFamily="18" charset="0"/>
                        <a:ea typeface="標楷體"/>
                        <a:cs typeface="標楷體"/>
                      </a:defRPr>
                    </a:pPr>
                    <a:r>
                      <a:rPr lang="zh-TW" altLang="en-US" baseline="0">
                        <a:latin typeface="Times New Roman" pitchFamily="18" charset="0"/>
                      </a:rPr>
                      <a:t>  保險收入
</a:t>
                    </a:r>
                    <a:r>
                      <a:rPr lang="en-US" altLang="zh-TW" baseline="0">
                        <a:latin typeface="Times New Roman" pitchFamily="18" charset="0"/>
                      </a:rPr>
                      <a:t>89</a:t>
                    </a:r>
                    <a:r>
                      <a:rPr lang="en-US" altLang="zh-TW" baseline="0">
                        <a:latin typeface="Times New Roman" pitchFamily="18" charset="0"/>
                        <a:cs typeface="Times New Roman" pitchFamily="18" charset="0"/>
                      </a:rPr>
                      <a:t>.45%</a:t>
                    </a:r>
                  </a:p>
                </c:rich>
              </c:tx>
              <c:numFmt formatCode="0.00%" sourceLinked="0"/>
              <c:spPr>
                <a:noFill/>
                <a:ln w="25400">
                  <a:noFill/>
                </a:ln>
              </c:sp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0287-47A1-9A81-B10BCE2D6961}"/>
                </c:ext>
              </c:extLst>
            </c:dLbl>
            <c:dLbl>
              <c:idx val="3"/>
              <c:layout>
                <c:manualLayout>
                  <c:x val="-0.17881071858354872"/>
                  <c:y val="4.7464489256968646E-2"/>
                </c:manualLayout>
              </c:layout>
              <c:tx>
                <c:rich>
                  <a:bodyPr/>
                  <a:lstStyle/>
                  <a:p>
                    <a:r>
                      <a:rPr lang="zh-TW" altLang="en-US"/>
                      <a:t>  其他業務收入
</a:t>
                    </a:r>
                    <a:r>
                      <a:rPr lang="en-US" altLang="zh-TW" baseline="0">
                        <a:latin typeface="Times New Roman" pitchFamily="18" charset="0"/>
                        <a:ea typeface="標楷體" pitchFamily="65" charset="-120"/>
                        <a:cs typeface="Times New Roman" pitchFamily="18" charset="0"/>
                      </a:rPr>
                      <a:t>4.80%</a:t>
                    </a:r>
                  </a:p>
                </c:rich>
              </c:tx>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0287-47A1-9A81-B10BCE2D6961}"/>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0.04%</a:t>
                    </a:r>
                  </a:p>
                </c:rich>
              </c:tx>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0287-47A1-9A81-B10BCE2D6961}"/>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281663</c:v>
                </c:pt>
                <c:pt idx="1">
                  <c:v>30203924</c:v>
                </c:pt>
                <c:pt idx="2">
                  <c:v>477611869</c:v>
                </c:pt>
                <c:pt idx="3">
                  <c:v>25633493</c:v>
                </c:pt>
                <c:pt idx="4">
                  <c:v>233631</c:v>
                </c:pt>
              </c:numCache>
            </c:numRef>
          </c:val>
          <c:extLst>
            <c:ext xmlns:c16="http://schemas.microsoft.com/office/drawing/2014/chart" uri="{C3380CC4-5D6E-409C-BE32-E72D297353CC}">
              <c16:uniqueId val="{00000005-0287-47A1-9A81-B10BCE2D6961}"/>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281663</c:v>
                </c:pt>
                <c:pt idx="1">
                  <c:v>30203924</c:v>
                </c:pt>
                <c:pt idx="2">
                  <c:v>477611869</c:v>
                </c:pt>
                <c:pt idx="3">
                  <c:v>25633493</c:v>
                </c:pt>
                <c:pt idx="4">
                  <c:v>233631</c:v>
                </c:pt>
              </c:numCache>
            </c:numRef>
          </c:val>
          <c:extLst>
            <c:ext xmlns:c16="http://schemas.microsoft.com/office/drawing/2014/chart" uri="{C3380CC4-5D6E-409C-BE32-E72D297353CC}">
              <c16:uniqueId val="{00000006-0287-47A1-9A81-B10BCE2D6961}"/>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圖2!$I$14:$M$14</c:f>
              <c:numCache>
                <c:formatCode>General</c:formatCode>
                <c:ptCount val="5"/>
                <c:pt idx="0">
                  <c:v>106</c:v>
                </c:pt>
                <c:pt idx="1">
                  <c:v>107</c:v>
                </c:pt>
                <c:pt idx="2">
                  <c:v>108</c:v>
                </c:pt>
                <c:pt idx="3">
                  <c:v>109</c:v>
                </c:pt>
                <c:pt idx="4">
                  <c:v>110</c:v>
                </c:pt>
              </c:numCache>
            </c:numRef>
          </c:cat>
          <c:val>
            <c:numRef>
              <c:f>圖2!$I$18:$M$18</c:f>
              <c:numCache>
                <c:formatCode>#,##0</c:formatCode>
                <c:ptCount val="5"/>
                <c:pt idx="0">
                  <c:v>513741480000</c:v>
                </c:pt>
                <c:pt idx="1">
                  <c:v>564977800000</c:v>
                </c:pt>
                <c:pt idx="2">
                  <c:v>606449881000</c:v>
                </c:pt>
                <c:pt idx="3">
                  <c:v>524652015000</c:v>
                </c:pt>
                <c:pt idx="4">
                  <c:v>533964580000</c:v>
                </c:pt>
              </c:numCache>
            </c:numRef>
          </c:val>
          <c:extLst>
            <c:ext xmlns:c16="http://schemas.microsoft.com/office/drawing/2014/chart" uri="{C3380CC4-5D6E-409C-BE32-E72D297353CC}">
              <c16:uniqueId val="{00000000-AFC3-496F-B03C-B5727FBA0F65}"/>
            </c:ext>
          </c:extLst>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圖2!$I$14:$M$14</c:f>
              <c:numCache>
                <c:formatCode>General</c:formatCode>
                <c:ptCount val="5"/>
                <c:pt idx="0">
                  <c:v>106</c:v>
                </c:pt>
                <c:pt idx="1">
                  <c:v>107</c:v>
                </c:pt>
                <c:pt idx="2">
                  <c:v>108</c:v>
                </c:pt>
                <c:pt idx="3">
                  <c:v>109</c:v>
                </c:pt>
                <c:pt idx="4">
                  <c:v>110</c:v>
                </c:pt>
              </c:numCache>
            </c:numRef>
          </c:cat>
          <c:val>
            <c:numRef>
              <c:f>圖2!$I$22:$M$22</c:f>
              <c:numCache>
                <c:formatCode>#,##0</c:formatCode>
                <c:ptCount val="5"/>
                <c:pt idx="0">
                  <c:v>513741480000</c:v>
                </c:pt>
                <c:pt idx="1">
                  <c:v>564977800000</c:v>
                </c:pt>
                <c:pt idx="2">
                  <c:v>606449881000</c:v>
                </c:pt>
                <c:pt idx="3">
                  <c:v>524652015000</c:v>
                </c:pt>
                <c:pt idx="4">
                  <c:v>533964580000</c:v>
                </c:pt>
              </c:numCache>
            </c:numRef>
          </c:val>
          <c:extLst>
            <c:ext xmlns:c16="http://schemas.microsoft.com/office/drawing/2014/chart" uri="{C3380CC4-5D6E-409C-BE32-E72D297353CC}">
              <c16:uniqueId val="{00000001-AFC3-496F-B03C-B5727FBA0F65}"/>
            </c:ext>
          </c:extLst>
        </c:ser>
        <c:dLbls>
          <c:showLegendKey val="0"/>
          <c:showVal val="0"/>
          <c:showCatName val="0"/>
          <c:showSerName val="0"/>
          <c:showPercent val="0"/>
          <c:showBubbleSize val="0"/>
        </c:dLbls>
        <c:gapWidth val="150"/>
        <c:axId val="387724800"/>
        <c:axId val="387926272"/>
      </c:barChart>
      <c:catAx>
        <c:axId val="387724800"/>
        <c:scaling>
          <c:orientation val="minMax"/>
        </c:scaling>
        <c:delete val="0"/>
        <c:axPos val="b"/>
        <c:title>
          <c:tx>
            <c:rich>
              <a:bodyPr/>
              <a:lstStyle/>
              <a:p>
                <a:pPr>
                  <a:defRPr sz="1200" b="0" i="0" u="none" strike="noStrike" baseline="0">
                    <a:solidFill>
                      <a:srgbClr val="000000"/>
                    </a:solidFill>
                    <a:latin typeface="標楷體"/>
                    <a:ea typeface="標楷體"/>
                    <a:cs typeface="標楷體"/>
                  </a:defRPr>
                </a:pPr>
                <a:r>
                  <a:rPr lang="zh-TW" altLang="en-US"/>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387926272"/>
        <c:crosses val="autoZero"/>
        <c:auto val="0"/>
        <c:lblAlgn val="ctr"/>
        <c:lblOffset val="100"/>
        <c:tickLblSkip val="1"/>
        <c:tickMarkSkip val="1"/>
        <c:noMultiLvlLbl val="0"/>
      </c:catAx>
      <c:valAx>
        <c:axId val="387926272"/>
        <c:scaling>
          <c:orientation val="minMax"/>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387724800"/>
        <c:crosses val="autoZero"/>
        <c:crossBetween val="between"/>
        <c:minorUnit val="1104780514.8156011"/>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a:ea typeface="標楷體"/>
                <a:cs typeface="標楷體"/>
              </a:defRPr>
            </a:pPr>
            <a:endParaRPr lang="zh-TW"/>
          </a:p>
        </c:txPr>
      </c:legendEntry>
      <c:legendEntry>
        <c:idx val="1"/>
        <c:txPr>
          <a:bodyPr/>
          <a:lstStyle/>
          <a:p>
            <a:pPr>
              <a:defRPr sz="1100" b="0" i="0" u="none" strike="noStrike" baseline="0">
                <a:solidFill>
                  <a:srgbClr val="000000"/>
                </a:solidFill>
                <a:latin typeface="標楷體"/>
                <a:ea typeface="標楷體"/>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新細明體"/>
              <a:ea typeface="新細明體"/>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xdr:row>
      <xdr:rowOff>323850</xdr:rowOff>
    </xdr:from>
    <xdr:to>
      <xdr:col>4</xdr:col>
      <xdr:colOff>0</xdr:colOff>
      <xdr:row>10</xdr:row>
      <xdr:rowOff>38100</xdr:rowOff>
    </xdr:to>
    <xdr:graphicFrame macro="">
      <xdr:nvGraphicFramePr>
        <xdr:cNvPr id="4" name="Chart 7">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9525</xdr:rowOff>
    </xdr:from>
    <xdr:to>
      <xdr:col>5</xdr:col>
      <xdr:colOff>952500</xdr:colOff>
      <xdr:row>12</xdr:row>
      <xdr:rowOff>38100</xdr:rowOff>
    </xdr:to>
    <xdr:graphicFrame macro="">
      <xdr:nvGraphicFramePr>
        <xdr:cNvPr id="3" name="Chart 3">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s>
    <sheetDataSet>
      <sheetData sheetId="0"/>
      <sheetData sheetId="1"/>
      <sheetData sheetId="2">
        <row r="3">
          <cell r="B3">
            <v>1.4</v>
          </cell>
        </row>
      </sheetData>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2"/>
  <sheetViews>
    <sheetView showGridLines="0" zoomScaleNormal="50" workbookViewId="0">
      <selection activeCell="H37" sqref="H37"/>
    </sheetView>
  </sheetViews>
  <sheetFormatPr defaultColWidth="12" defaultRowHeight="20.3"/>
  <cols>
    <col min="1" max="2" width="21.125" style="495" customWidth="1"/>
    <col min="3" max="3" width="23.625" style="495" customWidth="1"/>
    <col min="4" max="4" width="21.125" style="495" customWidth="1"/>
    <col min="5" max="5" width="13.75" style="495" hidden="1" customWidth="1"/>
    <col min="6" max="16384" width="12" style="495"/>
  </cols>
  <sheetData>
    <row r="1" spans="1:2" s="494" customFormat="1" ht="29.95" customHeight="1">
      <c r="A1" s="492" t="s">
        <v>309</v>
      </c>
      <c r="B1" s="493" t="s">
        <v>1093</v>
      </c>
    </row>
    <row r="2" spans="1:2" s="494" customFormat="1" ht="24.05" customHeight="1">
      <c r="A2" s="492"/>
    </row>
    <row r="3" spans="1:2" ht="29.95" customHeight="1"/>
    <row r="4" spans="1:2" ht="29.95" customHeight="1"/>
    <row r="5" spans="1:2" ht="29.95" customHeight="1"/>
    <row r="6" spans="1:2" ht="29.95" customHeight="1"/>
    <row r="7" spans="1:2" ht="29.95" customHeight="1"/>
    <row r="8" spans="1:2" ht="29.95" customHeight="1"/>
    <row r="9" spans="1:2" ht="29.95" customHeight="1"/>
    <row r="10" spans="1:2" ht="29.95" customHeight="1"/>
    <row r="11" spans="1:2" ht="29.95" customHeight="1"/>
    <row r="12" spans="1:2" ht="29.95" customHeight="1"/>
    <row r="13" spans="1:2" ht="29.95" customHeight="1"/>
    <row r="14" spans="1:2" ht="29.95" customHeight="1"/>
    <row r="15" spans="1:2" ht="29.95" customHeight="1"/>
    <row r="16" spans="1:2" ht="29.95" customHeight="1"/>
    <row r="17" spans="1:6" ht="29.95" customHeight="1"/>
    <row r="19" spans="1:6">
      <c r="D19" s="496" t="s">
        <v>310</v>
      </c>
    </row>
    <row r="20" spans="1:6" ht="24.05" customHeight="1">
      <c r="A20" s="497" t="s">
        <v>311</v>
      </c>
      <c r="B20" s="498" t="s">
        <v>1094</v>
      </c>
      <c r="C20" s="497" t="s">
        <v>312</v>
      </c>
      <c r="D20" s="498" t="s">
        <v>1094</v>
      </c>
    </row>
    <row r="21" spans="1:6" ht="24.05" customHeight="1">
      <c r="A21" s="499" t="s">
        <v>17</v>
      </c>
      <c r="B21" s="500">
        <f>SUM(B22:B25)</f>
        <v>533730949</v>
      </c>
      <c r="C21" s="501" t="s">
        <v>313</v>
      </c>
      <c r="D21" s="502">
        <f>SUM(D22:D25)</f>
        <v>533964543</v>
      </c>
    </row>
    <row r="22" spans="1:6" ht="24.05" customHeight="1">
      <c r="A22" s="503" t="s">
        <v>527</v>
      </c>
      <c r="B22" s="504">
        <v>281663</v>
      </c>
      <c r="C22" s="505" t="s">
        <v>528</v>
      </c>
      <c r="D22" s="506">
        <v>21280</v>
      </c>
    </row>
    <row r="23" spans="1:6" ht="24.05" customHeight="1">
      <c r="A23" s="503" t="s">
        <v>314</v>
      </c>
      <c r="B23" s="504">
        <v>30203924</v>
      </c>
      <c r="C23" s="505" t="s">
        <v>315</v>
      </c>
      <c r="D23" s="506">
        <v>973763</v>
      </c>
    </row>
    <row r="24" spans="1:6" ht="24.05" customHeight="1">
      <c r="A24" s="503" t="s">
        <v>316</v>
      </c>
      <c r="B24" s="504">
        <f>477612169-300</f>
        <v>477611869</v>
      </c>
      <c r="C24" s="505" t="s">
        <v>317</v>
      </c>
      <c r="D24" s="506">
        <f>529457037-300</f>
        <v>529456737</v>
      </c>
    </row>
    <row r="25" spans="1:6" ht="24.05" customHeight="1">
      <c r="A25" s="503" t="s">
        <v>318</v>
      </c>
      <c r="B25" s="504">
        <v>25633493</v>
      </c>
      <c r="C25" s="505" t="s">
        <v>319</v>
      </c>
      <c r="D25" s="506">
        <v>3512763</v>
      </c>
    </row>
    <row r="26" spans="1:6" ht="24.05" customHeight="1">
      <c r="A26" s="507" t="s">
        <v>909</v>
      </c>
      <c r="B26" s="508">
        <v>233631</v>
      </c>
      <c r="C26" s="509" t="s">
        <v>320</v>
      </c>
      <c r="D26" s="510">
        <v>37</v>
      </c>
    </row>
    <row r="27" spans="1:6" ht="24.05" customHeight="1">
      <c r="A27" s="511"/>
      <c r="B27" s="512"/>
      <c r="C27" s="513" t="s">
        <v>321</v>
      </c>
      <c r="D27" s="514" t="s">
        <v>10</v>
      </c>
    </row>
    <row r="28" spans="1:6" ht="29.95" customHeight="1">
      <c r="A28" s="515" t="s">
        <v>322</v>
      </c>
      <c r="B28" s="516">
        <f>B21+B26</f>
        <v>533964580</v>
      </c>
      <c r="C28" s="515" t="s">
        <v>323</v>
      </c>
      <c r="D28" s="517">
        <f>D21+D26</f>
        <v>533964580</v>
      </c>
      <c r="E28" s="518">
        <f>B28-D28</f>
        <v>0</v>
      </c>
    </row>
    <row r="29" spans="1:6" ht="22.25">
      <c r="A29" s="822" t="s">
        <v>1381</v>
      </c>
      <c r="B29" s="519">
        <f>B22/$B$28</f>
        <v>5.2749378994389477E-4</v>
      </c>
      <c r="C29" s="520">
        <f>+B29*100</f>
        <v>5.274937899438948E-2</v>
      </c>
      <c r="D29" s="519">
        <f>D22/$D$28</f>
        <v>3.985283068775835E-5</v>
      </c>
      <c r="E29" s="520">
        <v>0.26</v>
      </c>
      <c r="F29" s="823">
        <f>+D29*100</f>
        <v>3.9852830687758349E-3</v>
      </c>
    </row>
    <row r="30" spans="1:6">
      <c r="B30" s="519">
        <f>B23/$B$28</f>
        <v>5.656540739087975E-2</v>
      </c>
      <c r="C30" s="825">
        <f t="shared" ref="C30:C33" si="0">+B30*100</f>
        <v>5.6565407390879754</v>
      </c>
      <c r="D30" s="519">
        <f>D23/$D$28</f>
        <v>1.8236471789945317E-3</v>
      </c>
      <c r="E30" s="520">
        <v>0.26</v>
      </c>
      <c r="F30" s="823">
        <f t="shared" ref="F30:F33" si="1">+D30*100</f>
        <v>0.18236471789945316</v>
      </c>
    </row>
    <row r="31" spans="1:6">
      <c r="B31" s="519">
        <f>B24/$B$28</f>
        <v>0.89446357846432434</v>
      </c>
      <c r="C31" s="520">
        <f>+B31*100</f>
        <v>89.446357846432434</v>
      </c>
      <c r="D31" s="519">
        <f>D24/$D$28</f>
        <v>0.99155778647340242</v>
      </c>
      <c r="E31" s="520">
        <v>99.14</v>
      </c>
      <c r="F31" s="823">
        <f t="shared" si="1"/>
        <v>99.155778647340242</v>
      </c>
    </row>
    <row r="32" spans="1:6">
      <c r="B32" s="519">
        <f>B25/$B$28</f>
        <v>4.8005980097031907E-2</v>
      </c>
      <c r="C32" s="520">
        <f t="shared" si="0"/>
        <v>4.8005980097031911</v>
      </c>
      <c r="D32" s="519">
        <f>D25/$D$28</f>
        <v>6.5786442239296099E-3</v>
      </c>
      <c r="E32" s="520">
        <v>0.6</v>
      </c>
      <c r="F32" s="823">
        <f t="shared" si="1"/>
        <v>0.65786442239296095</v>
      </c>
    </row>
    <row r="33" spans="1:6">
      <c r="B33" s="519">
        <f>B26/$B$28</f>
        <v>4.3754025782009735E-4</v>
      </c>
      <c r="C33" s="520">
        <f t="shared" si="0"/>
        <v>4.3754025782009737E-2</v>
      </c>
      <c r="D33" s="519">
        <f>D26/$D$28</f>
        <v>6.9292985688301642E-8</v>
      </c>
      <c r="E33" s="520">
        <v>0</v>
      </c>
      <c r="F33" s="823">
        <f t="shared" si="1"/>
        <v>6.9292985688301641E-6</v>
      </c>
    </row>
    <row r="34" spans="1:6">
      <c r="B34" s="519">
        <f>SUM(B29:B33)</f>
        <v>1</v>
      </c>
      <c r="C34" s="520">
        <f>SUM(C29:C33)</f>
        <v>100</v>
      </c>
      <c r="D34" s="519">
        <f>SUM(D29:D33)</f>
        <v>1</v>
      </c>
      <c r="E34" s="520">
        <f>SUM(E30:E33)</f>
        <v>100</v>
      </c>
      <c r="F34" s="495">
        <f>SUM(F29:F33)</f>
        <v>100</v>
      </c>
    </row>
    <row r="35" spans="1:6" ht="22.25">
      <c r="C35" s="822"/>
    </row>
    <row r="36" spans="1:6" ht="22.25">
      <c r="A36" s="874" t="s">
        <v>915</v>
      </c>
      <c r="B36" s="937" t="s">
        <v>905</v>
      </c>
      <c r="C36" s="937">
        <v>0.05</v>
      </c>
      <c r="D36" s="937" t="s">
        <v>910</v>
      </c>
      <c r="E36" s="937"/>
      <c r="F36" s="937">
        <v>0</v>
      </c>
    </row>
    <row r="37" spans="1:6">
      <c r="A37" s="937"/>
      <c r="B37" s="937" t="s">
        <v>906</v>
      </c>
      <c r="C37" s="937">
        <v>5.66</v>
      </c>
      <c r="D37" s="937" t="s">
        <v>911</v>
      </c>
      <c r="E37" s="937"/>
      <c r="F37" s="937">
        <v>0.18</v>
      </c>
    </row>
    <row r="38" spans="1:6">
      <c r="A38" s="937"/>
      <c r="B38" s="937" t="s">
        <v>907</v>
      </c>
      <c r="C38" s="937">
        <v>89.45</v>
      </c>
      <c r="D38" s="937" t="s">
        <v>912</v>
      </c>
      <c r="E38" s="937"/>
      <c r="F38" s="937">
        <v>99.16</v>
      </c>
    </row>
    <row r="39" spans="1:6">
      <c r="A39" s="937"/>
      <c r="B39" s="937" t="s">
        <v>908</v>
      </c>
      <c r="C39" s="937">
        <v>4.8</v>
      </c>
      <c r="D39" s="937" t="s">
        <v>913</v>
      </c>
      <c r="E39" s="937"/>
      <c r="F39" s="937">
        <v>0.66</v>
      </c>
    </row>
    <row r="40" spans="1:6" ht="22.25">
      <c r="A40" s="937"/>
      <c r="B40" s="874" t="s">
        <v>909</v>
      </c>
      <c r="C40" s="937">
        <v>0.04</v>
      </c>
      <c r="D40" s="937" t="s">
        <v>320</v>
      </c>
      <c r="E40" s="937"/>
      <c r="F40" s="937">
        <v>0</v>
      </c>
    </row>
    <row r="41" spans="1:6">
      <c r="A41" s="937"/>
      <c r="B41" s="937"/>
      <c r="C41" s="937">
        <f>SUM(C36:C40)</f>
        <v>100</v>
      </c>
      <c r="D41" s="937"/>
      <c r="E41" s="937"/>
      <c r="F41" s="937">
        <f>SUM(F36:F40)</f>
        <v>100</v>
      </c>
    </row>
    <row r="42" spans="1:6" ht="22.25">
      <c r="A42" s="937"/>
      <c r="B42" s="937"/>
      <c r="C42" s="874" t="s">
        <v>914</v>
      </c>
      <c r="D42" s="937"/>
      <c r="E42" s="937"/>
      <c r="F42" s="937"/>
    </row>
  </sheetData>
  <phoneticPr fontId="4"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8"/>
  <sheetViews>
    <sheetView showGridLines="0" topLeftCell="A13" zoomScaleNormal="50" workbookViewId="0">
      <selection activeCell="G26" sqref="G26"/>
    </sheetView>
  </sheetViews>
  <sheetFormatPr defaultColWidth="12" defaultRowHeight="20.3"/>
  <cols>
    <col min="1" max="1" width="18.375" style="495" customWidth="1"/>
    <col min="2" max="6" width="13.5" style="495" customWidth="1"/>
    <col min="7" max="8" width="12" style="495"/>
    <col min="9" max="9" width="14.5" style="495" customWidth="1"/>
    <col min="10" max="10" width="14.75" style="495" customWidth="1"/>
    <col min="11" max="11" width="14.5" style="495" customWidth="1"/>
    <col min="12" max="12" width="14.125" style="495" customWidth="1"/>
    <col min="13" max="13" width="14.875" style="495" customWidth="1"/>
    <col min="14" max="16384" width="12" style="495"/>
  </cols>
  <sheetData>
    <row r="1" spans="1:13" s="494" customFormat="1" ht="29.95" customHeight="1">
      <c r="A1" s="492" t="s">
        <v>324</v>
      </c>
    </row>
    <row r="2" spans="1:13" s="494" customFormat="1" ht="29.95" customHeight="1">
      <c r="A2" s="492"/>
      <c r="C2" s="493"/>
    </row>
    <row r="3" spans="1:13" ht="29.95" customHeight="1"/>
    <row r="4" spans="1:13" ht="29.95" customHeight="1"/>
    <row r="5" spans="1:13" ht="29.95" customHeight="1"/>
    <row r="6" spans="1:13" ht="29.95" customHeight="1"/>
    <row r="7" spans="1:13" ht="29.95" customHeight="1"/>
    <row r="8" spans="1:13" ht="29.95" customHeight="1"/>
    <row r="9" spans="1:13" ht="29.95" customHeight="1"/>
    <row r="10" spans="1:13" ht="29.95" customHeight="1"/>
    <row r="11" spans="1:13" ht="29.95" customHeight="1"/>
    <row r="12" spans="1:13" ht="59.4" customHeight="1"/>
    <row r="13" spans="1:13" ht="20.95" thickBot="1">
      <c r="F13" s="521" t="s">
        <v>325</v>
      </c>
    </row>
    <row r="14" spans="1:13" s="523" customFormat="1" ht="41.25" customHeight="1">
      <c r="A14" s="522" t="s">
        <v>326</v>
      </c>
      <c r="B14" s="945" t="s">
        <v>1095</v>
      </c>
      <c r="C14" s="945" t="s">
        <v>1096</v>
      </c>
      <c r="D14" s="945" t="s">
        <v>1097</v>
      </c>
      <c r="E14" s="945" t="s">
        <v>1098</v>
      </c>
      <c r="F14" s="945" t="s">
        <v>1197</v>
      </c>
      <c r="G14" s="826" t="s">
        <v>916</v>
      </c>
      <c r="H14" s="537" t="s">
        <v>336</v>
      </c>
      <c r="I14" s="538">
        <v>106</v>
      </c>
      <c r="J14" s="538">
        <v>107</v>
      </c>
      <c r="K14" s="538">
        <v>108</v>
      </c>
      <c r="L14" s="538">
        <v>109</v>
      </c>
      <c r="M14" s="538">
        <v>110</v>
      </c>
    </row>
    <row r="15" spans="1:13" s="526" customFormat="1" ht="29.95" customHeight="1">
      <c r="A15" s="524" t="s">
        <v>327</v>
      </c>
      <c r="B15" s="525"/>
      <c r="C15" s="525"/>
      <c r="D15" s="525"/>
      <c r="E15" s="525"/>
      <c r="F15" s="525"/>
      <c r="H15" s="539" t="s">
        <v>337</v>
      </c>
      <c r="I15" s="540"/>
      <c r="J15" s="540"/>
      <c r="K15" s="540"/>
      <c r="L15" s="540"/>
      <c r="M15" s="763"/>
    </row>
    <row r="16" spans="1:13" s="529" customFormat="1" ht="29.95" customHeight="1">
      <c r="A16" s="527" t="s">
        <v>328</v>
      </c>
      <c r="B16" s="528">
        <v>513621979</v>
      </c>
      <c r="C16" s="528">
        <v>564735881</v>
      </c>
      <c r="D16" s="528">
        <v>606140396</v>
      </c>
      <c r="E16" s="528">
        <v>524542650</v>
      </c>
      <c r="F16" s="528">
        <f>533731249-300</f>
        <v>533730949</v>
      </c>
      <c r="H16" s="541" t="s">
        <v>338</v>
      </c>
      <c r="I16" s="542">
        <f t="shared" ref="I16:M17" si="0">+B16*1000</f>
        <v>513621979000</v>
      </c>
      <c r="J16" s="542">
        <f t="shared" si="0"/>
        <v>564735881000</v>
      </c>
      <c r="K16" s="542">
        <f t="shared" si="0"/>
        <v>606140396000</v>
      </c>
      <c r="L16" s="542">
        <f t="shared" si="0"/>
        <v>524542650000</v>
      </c>
      <c r="M16" s="764">
        <f>+F16*1000</f>
        <v>533730949000</v>
      </c>
    </row>
    <row r="17" spans="1:13" s="529" customFormat="1" ht="29.95" customHeight="1">
      <c r="A17" s="527" t="s">
        <v>329</v>
      </c>
      <c r="B17" s="528">
        <v>119501</v>
      </c>
      <c r="C17" s="528">
        <v>241919</v>
      </c>
      <c r="D17" s="528">
        <v>309485</v>
      </c>
      <c r="E17" s="528">
        <v>109365</v>
      </c>
      <c r="F17" s="528">
        <v>233631</v>
      </c>
      <c r="H17" s="541" t="s">
        <v>339</v>
      </c>
      <c r="I17" s="542">
        <f t="shared" si="0"/>
        <v>119501000</v>
      </c>
      <c r="J17" s="542">
        <f t="shared" si="0"/>
        <v>241919000</v>
      </c>
      <c r="K17" s="542">
        <f t="shared" si="0"/>
        <v>309485000</v>
      </c>
      <c r="L17" s="542">
        <f t="shared" si="0"/>
        <v>109365000</v>
      </c>
      <c r="M17" s="764">
        <f t="shared" si="0"/>
        <v>233631000</v>
      </c>
    </row>
    <row r="18" spans="1:13" s="532" customFormat="1" ht="29.95" customHeight="1">
      <c r="A18" s="530" t="s">
        <v>330</v>
      </c>
      <c r="B18" s="531">
        <v>513741480</v>
      </c>
      <c r="C18" s="531">
        <f>SUM(C16:C17)</f>
        <v>564977800</v>
      </c>
      <c r="D18" s="531">
        <f>SUM(D16:D17)</f>
        <v>606449881</v>
      </c>
      <c r="E18" s="531">
        <f t="shared" ref="E18" si="1">SUM(E16:E17)</f>
        <v>524652015</v>
      </c>
      <c r="F18" s="531">
        <f t="shared" ref="F18" si="2">SUM(F16:F17)</f>
        <v>533964580</v>
      </c>
      <c r="H18" s="543" t="s">
        <v>340</v>
      </c>
      <c r="I18" s="544">
        <f>SUM(I16:I17)</f>
        <v>513741480000</v>
      </c>
      <c r="J18" s="544">
        <f>SUM(J16:J17)</f>
        <v>564977800000</v>
      </c>
      <c r="K18" s="544">
        <f>SUM(K16:K17)</f>
        <v>606449881000</v>
      </c>
      <c r="L18" s="544">
        <f>SUM(L16:L17)</f>
        <v>524652015000</v>
      </c>
      <c r="M18" s="765">
        <f>SUM(M16:M17)</f>
        <v>533964580000</v>
      </c>
    </row>
    <row r="19" spans="1:13" s="532" customFormat="1" ht="29.95" customHeight="1">
      <c r="A19" s="533" t="s">
        <v>331</v>
      </c>
      <c r="B19" s="534"/>
      <c r="C19" s="534"/>
      <c r="D19" s="534"/>
      <c r="E19" s="534"/>
      <c r="F19" s="534"/>
      <c r="H19" s="545" t="str">
        <f>A19</f>
        <v>費用</v>
      </c>
      <c r="I19" s="546"/>
      <c r="J19" s="546"/>
      <c r="K19" s="546"/>
      <c r="L19" s="546"/>
      <c r="M19" s="766"/>
    </row>
    <row r="20" spans="1:13" s="529" customFormat="1" ht="29.95" customHeight="1">
      <c r="A20" s="527" t="s">
        <v>332</v>
      </c>
      <c r="B20" s="528">
        <v>513741202</v>
      </c>
      <c r="C20" s="528">
        <v>564974986</v>
      </c>
      <c r="D20" s="528">
        <v>606448125</v>
      </c>
      <c r="E20" s="528">
        <v>524651932</v>
      </c>
      <c r="F20" s="528">
        <f>533964843-300</f>
        <v>533964543</v>
      </c>
      <c r="H20" s="541" t="s">
        <v>341</v>
      </c>
      <c r="I20" s="542">
        <f t="shared" ref="I20:M21" si="3">+B20*1000</f>
        <v>513741202000</v>
      </c>
      <c r="J20" s="542">
        <f t="shared" si="3"/>
        <v>564974986000</v>
      </c>
      <c r="K20" s="542">
        <f t="shared" si="3"/>
        <v>606448125000</v>
      </c>
      <c r="L20" s="542">
        <f t="shared" si="3"/>
        <v>524651932000</v>
      </c>
      <c r="M20" s="764">
        <f t="shared" si="3"/>
        <v>533964543000</v>
      </c>
    </row>
    <row r="21" spans="1:13" s="529" customFormat="1" ht="29.95" customHeight="1">
      <c r="A21" s="527" t="s">
        <v>333</v>
      </c>
      <c r="B21" s="528">
        <v>278</v>
      </c>
      <c r="C21" s="528">
        <v>2814</v>
      </c>
      <c r="D21" s="528">
        <v>1756</v>
      </c>
      <c r="E21" s="528">
        <v>83</v>
      </c>
      <c r="F21" s="528">
        <v>37</v>
      </c>
      <c r="H21" s="541" t="s">
        <v>342</v>
      </c>
      <c r="I21" s="542">
        <f t="shared" si="3"/>
        <v>278000</v>
      </c>
      <c r="J21" s="542">
        <f t="shared" si="3"/>
        <v>2814000</v>
      </c>
      <c r="K21" s="542">
        <f t="shared" si="3"/>
        <v>1756000</v>
      </c>
      <c r="L21" s="542">
        <f t="shared" si="3"/>
        <v>83000</v>
      </c>
      <c r="M21" s="764">
        <f t="shared" si="3"/>
        <v>37000</v>
      </c>
    </row>
    <row r="22" spans="1:13" s="526" customFormat="1" ht="29.95" customHeight="1">
      <c r="A22" s="530" t="s">
        <v>334</v>
      </c>
      <c r="B22" s="531">
        <v>513741480</v>
      </c>
      <c r="C22" s="531">
        <f>SUM(C20:C21)</f>
        <v>564977800</v>
      </c>
      <c r="D22" s="531">
        <f>SUM(D20:D21)</f>
        <v>606449881</v>
      </c>
      <c r="E22" s="531">
        <f t="shared" ref="E22" si="4">SUM(E20:E21)</f>
        <v>524652015</v>
      </c>
      <c r="F22" s="531">
        <f t="shared" ref="F22" si="5">SUM(F20:F21)</f>
        <v>533964580</v>
      </c>
      <c r="H22" s="543" t="str">
        <f>A22</f>
        <v>費用合計</v>
      </c>
      <c r="I22" s="544">
        <f>SUM(I20:I21)</f>
        <v>513741480000</v>
      </c>
      <c r="J22" s="544">
        <f>+C22*1000</f>
        <v>564977800000</v>
      </c>
      <c r="K22" s="544">
        <f>SUM(K20:K21)</f>
        <v>606449881000</v>
      </c>
      <c r="L22" s="544">
        <f>SUM(L20:L21)</f>
        <v>524652015000</v>
      </c>
      <c r="M22" s="765">
        <f>SUM(M20:M21)</f>
        <v>533964580000</v>
      </c>
    </row>
    <row r="23" spans="1:13" s="526" customFormat="1" ht="29.95" customHeight="1" thickBot="1">
      <c r="A23" s="535" t="s">
        <v>335</v>
      </c>
      <c r="B23" s="536">
        <f>B18-B22</f>
        <v>0</v>
      </c>
      <c r="C23" s="536">
        <f>C18-C22</f>
        <v>0</v>
      </c>
      <c r="D23" s="536">
        <f>D18-D22</f>
        <v>0</v>
      </c>
      <c r="E23" s="536">
        <f>E18-E22</f>
        <v>0</v>
      </c>
      <c r="F23" s="536">
        <f>F18-F22</f>
        <v>0</v>
      </c>
      <c r="H23" s="547" t="s">
        <v>343</v>
      </c>
      <c r="I23" s="548">
        <f>I18-I22</f>
        <v>0</v>
      </c>
      <c r="J23" s="548">
        <f>J18-J22</f>
        <v>0</v>
      </c>
      <c r="K23" s="548">
        <f>K18-K22</f>
        <v>0</v>
      </c>
      <c r="L23" s="549">
        <f>L18-L22</f>
        <v>0</v>
      </c>
      <c r="M23" s="550">
        <f>M18-M22</f>
        <v>0</v>
      </c>
    </row>
    <row r="24" spans="1:13" s="526" customFormat="1" ht="49.25" customHeight="1">
      <c r="A24" s="1038" t="s">
        <v>1415</v>
      </c>
      <c r="B24" s="1039"/>
      <c r="C24" s="1039"/>
      <c r="D24" s="1039"/>
      <c r="E24" s="1039"/>
      <c r="F24" s="1039"/>
      <c r="G24" s="828"/>
    </row>
    <row r="25" spans="1:13" ht="29.95" customHeight="1"/>
    <row r="26" spans="1:13" ht="29.95" customHeight="1"/>
    <row r="27" spans="1:13" ht="29.95" customHeight="1"/>
    <row r="28" spans="1:13" ht="29.95" customHeight="1"/>
    <row r="29" spans="1:13" ht="29.95" customHeight="1"/>
    <row r="30" spans="1:13" ht="29.95" customHeight="1"/>
    <row r="31" spans="1:13" ht="29.95" customHeight="1"/>
    <row r="32" spans="1:13" ht="29.95" customHeight="1"/>
    <row r="33" ht="29.95" customHeight="1"/>
    <row r="34" ht="29.95" customHeight="1"/>
    <row r="35" ht="29.95" customHeight="1"/>
    <row r="36" ht="29.95" customHeight="1"/>
    <row r="37" ht="29.95" customHeight="1"/>
    <row r="38" ht="29.95" customHeight="1"/>
  </sheetData>
  <mergeCells count="1">
    <mergeCell ref="A24:F24"/>
  </mergeCells>
  <phoneticPr fontId="4"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 xml:space="preserve">&amp;C&amp;"Times New Roman,標準"&amp;12 &amp;P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60"/>
  <sheetViews>
    <sheetView view="pageBreakPreview" zoomScale="125" zoomScaleNormal="100" zoomScaleSheetLayoutView="125" workbookViewId="0">
      <selection activeCell="P6" sqref="P6"/>
    </sheetView>
  </sheetViews>
  <sheetFormatPr defaultColWidth="9" defaultRowHeight="16.399999999999999"/>
  <cols>
    <col min="1" max="1" width="10.5" customWidth="1"/>
    <col min="2" max="2" width="6.5" customWidth="1"/>
    <col min="3" max="3" width="20.125" customWidth="1"/>
    <col min="4" max="4" width="10.5" customWidth="1"/>
    <col min="5" max="5" width="6.5" customWidth="1"/>
    <col min="6" max="6" width="10.5" customWidth="1"/>
    <col min="7" max="7" width="6.5" customWidth="1"/>
    <col min="8" max="8" width="10.5" customWidth="1"/>
    <col min="9" max="9" width="8.375" customWidth="1"/>
    <col min="10" max="10" width="9.5" customWidth="1"/>
    <col min="11" max="11" width="11.75" hidden="1" customWidth="1"/>
    <col min="12" max="12" width="13.625" hidden="1" customWidth="1"/>
    <col min="13" max="13" width="10.875" hidden="1" customWidth="1"/>
    <col min="14" max="14" width="9.75" customWidth="1"/>
  </cols>
  <sheetData>
    <row r="1" spans="1:13" ht="20.95" customHeight="1">
      <c r="A1" s="1050" t="s">
        <v>1243</v>
      </c>
      <c r="B1" s="1051"/>
      <c r="C1" s="1051"/>
      <c r="D1" s="1051"/>
      <c r="E1" s="1051"/>
      <c r="F1" s="1051"/>
      <c r="G1" s="1051"/>
      <c r="H1" s="1051"/>
      <c r="I1" s="1051"/>
      <c r="J1" s="2"/>
      <c r="K1" s="2"/>
      <c r="L1" s="2"/>
      <c r="M1" s="2"/>
    </row>
    <row r="2" spans="1:13" ht="20.95" customHeight="1">
      <c r="A2" s="1050" t="s">
        <v>1244</v>
      </c>
      <c r="B2" s="1051"/>
      <c r="C2" s="1051"/>
      <c r="D2" s="1051"/>
      <c r="E2" s="1051"/>
      <c r="F2" s="1051"/>
      <c r="G2" s="1051"/>
      <c r="H2" s="1051"/>
      <c r="I2" s="1051"/>
      <c r="J2" s="2"/>
      <c r="K2" s="2"/>
      <c r="L2" s="2"/>
      <c r="M2" s="2"/>
    </row>
    <row r="3" spans="1:13" ht="24.9" customHeight="1">
      <c r="A3" s="1052" t="s">
        <v>1245</v>
      </c>
      <c r="B3" s="1053"/>
      <c r="C3" s="1053"/>
      <c r="D3" s="1053"/>
      <c r="E3" s="1053"/>
      <c r="F3" s="1053"/>
      <c r="G3" s="1053"/>
      <c r="H3" s="1053"/>
      <c r="I3" s="1053"/>
      <c r="J3" s="2"/>
      <c r="K3" s="2"/>
      <c r="L3" s="2"/>
      <c r="M3" s="2"/>
    </row>
    <row r="4" spans="1:13" ht="24.9" customHeight="1" thickBot="1">
      <c r="A4" s="1054" t="s">
        <v>1246</v>
      </c>
      <c r="B4" s="1055"/>
      <c r="C4" s="1055"/>
      <c r="D4" s="1055"/>
      <c r="E4" s="1055"/>
      <c r="F4" s="1055"/>
      <c r="G4" s="1055"/>
      <c r="H4" s="1055"/>
      <c r="I4" s="1055"/>
      <c r="J4" s="2"/>
      <c r="K4" s="2"/>
      <c r="L4" s="2"/>
      <c r="M4" s="2"/>
    </row>
    <row r="5" spans="1:13" ht="20.95" customHeight="1">
      <c r="A5" s="1056" t="s">
        <v>1247</v>
      </c>
      <c r="B5" s="1057"/>
      <c r="C5" s="1058" t="s">
        <v>16</v>
      </c>
      <c r="D5" s="1058" t="s">
        <v>1248</v>
      </c>
      <c r="E5" s="1057"/>
      <c r="F5" s="1058" t="s">
        <v>1249</v>
      </c>
      <c r="G5" s="1057"/>
      <c r="H5" s="1058" t="s">
        <v>1250</v>
      </c>
      <c r="I5" s="1060"/>
      <c r="J5" s="2"/>
      <c r="K5" s="2"/>
      <c r="L5" s="2"/>
      <c r="M5" s="2"/>
    </row>
    <row r="6" spans="1:13" ht="19.5" customHeight="1">
      <c r="A6" s="156" t="s">
        <v>1251</v>
      </c>
      <c r="B6" s="1011" t="s">
        <v>9</v>
      </c>
      <c r="C6" s="1059"/>
      <c r="D6" s="284" t="s">
        <v>1251</v>
      </c>
      <c r="E6" s="285" t="s">
        <v>9</v>
      </c>
      <c r="F6" s="1011" t="s">
        <v>1251</v>
      </c>
      <c r="G6" s="1011" t="s">
        <v>9</v>
      </c>
      <c r="H6" s="1011" t="s">
        <v>1251</v>
      </c>
      <c r="I6" s="286" t="s">
        <v>9</v>
      </c>
      <c r="J6" s="2"/>
      <c r="K6" s="2"/>
      <c r="L6" s="2"/>
      <c r="M6" s="2"/>
    </row>
    <row r="7" spans="1:13" ht="8.1999999999999993" customHeight="1">
      <c r="A7" s="165"/>
      <c r="B7" s="166"/>
      <c r="C7" s="167"/>
      <c r="D7" s="168"/>
      <c r="E7" s="287"/>
      <c r="F7" s="166"/>
      <c r="G7" s="166"/>
      <c r="H7" s="993"/>
      <c r="I7" s="994"/>
      <c r="J7" s="2"/>
      <c r="K7" s="2"/>
      <c r="L7" s="2"/>
      <c r="M7" s="2"/>
    </row>
    <row r="8" spans="1:13" s="30" customFormat="1" ht="27.5" customHeight="1">
      <c r="A8" s="304">
        <v>606140396</v>
      </c>
      <c r="B8" s="305">
        <v>100</v>
      </c>
      <c r="C8" s="266" t="s">
        <v>17</v>
      </c>
      <c r="D8" s="315">
        <f>SUM(D9,D12,D32,D45)</f>
        <v>533730949</v>
      </c>
      <c r="E8" s="316">
        <v>100</v>
      </c>
      <c r="F8" s="315">
        <f>SUM(F9,F12,F32,F45)</f>
        <v>524542650</v>
      </c>
      <c r="G8" s="305">
        <v>100</v>
      </c>
      <c r="H8" s="315">
        <f t="shared" ref="H8:H70" si="0">D8-F8</f>
        <v>9188299</v>
      </c>
      <c r="I8" s="317">
        <f t="shared" ref="I8:I70" si="1">ROUND(H8/F8*100,2)</f>
        <v>1.75</v>
      </c>
      <c r="K8" s="217">
        <f t="shared" ref="K8:K71" si="2">ROUND(A8/$A$8*100,5)</f>
        <v>100</v>
      </c>
      <c r="L8" s="217">
        <f t="shared" ref="L8:L71" si="3">ROUND(D8/$D$8*100,5)</f>
        <v>100</v>
      </c>
      <c r="M8" s="217">
        <f>ROUND(F8/$F$8*100,5)</f>
        <v>100</v>
      </c>
    </row>
    <row r="9" spans="1:13" s="30" customFormat="1" ht="27.5" customHeight="1">
      <c r="A9" s="304">
        <v>280911</v>
      </c>
      <c r="B9" s="305">
        <f t="shared" ref="B9:B72" si="4">ROUND(A9/$A$8*100,2)</f>
        <v>0.05</v>
      </c>
      <c r="C9" s="266" t="s">
        <v>1252</v>
      </c>
      <c r="D9" s="315">
        <f>+D10</f>
        <v>281663</v>
      </c>
      <c r="E9" s="316">
        <f t="shared" ref="E9" si="5">ROUND(D9/$D$8*100,2)</f>
        <v>0.05</v>
      </c>
      <c r="F9" s="315">
        <f>+F10</f>
        <v>281831</v>
      </c>
      <c r="G9" s="305">
        <f t="shared" ref="G9" si="6">ROUND(F9/$F$8*100,2)</f>
        <v>0.05</v>
      </c>
      <c r="H9" s="325">
        <f t="shared" si="0"/>
        <v>-168</v>
      </c>
      <c r="I9" s="326">
        <f t="shared" si="1"/>
        <v>-0.06</v>
      </c>
      <c r="K9" s="217">
        <f t="shared" si="2"/>
        <v>4.6339999999999999E-2</v>
      </c>
      <c r="L9" s="217">
        <f t="shared" si="3"/>
        <v>5.2769999999999997E-2</v>
      </c>
      <c r="M9" s="217">
        <f t="shared" ref="M9" si="7">ROUND(F9/$F$8*100,5)</f>
        <v>5.373E-2</v>
      </c>
    </row>
    <row r="10" spans="1:13" s="1010" customFormat="1" ht="27.5" customHeight="1">
      <c r="A10" s="306">
        <v>280911</v>
      </c>
      <c r="B10" s="307">
        <f t="shared" si="4"/>
        <v>0.05</v>
      </c>
      <c r="C10" s="267" t="s">
        <v>1253</v>
      </c>
      <c r="D10" s="318">
        <f>D11</f>
        <v>281663</v>
      </c>
      <c r="E10" s="319">
        <f>ROUND(D10/$D$8*100,2)</f>
        <v>0.05</v>
      </c>
      <c r="F10" s="318">
        <f>F11</f>
        <v>281831</v>
      </c>
      <c r="G10" s="307">
        <f>ROUND(F10/$F$8*100,2)</f>
        <v>0.05</v>
      </c>
      <c r="H10" s="321">
        <f t="shared" si="0"/>
        <v>-168</v>
      </c>
      <c r="I10" s="322">
        <f t="shared" si="1"/>
        <v>-0.06</v>
      </c>
      <c r="K10" s="218">
        <f t="shared" si="2"/>
        <v>4.6339999999999999E-2</v>
      </c>
      <c r="L10" s="218">
        <f t="shared" si="3"/>
        <v>5.2769999999999997E-2</v>
      </c>
      <c r="M10" s="218">
        <f>ROUND(F10/$F$8*100,5)</f>
        <v>5.373E-2</v>
      </c>
    </row>
    <row r="11" spans="1:13" s="1010" customFormat="1" ht="29.95" customHeight="1">
      <c r="A11" s="306">
        <v>280911</v>
      </c>
      <c r="B11" s="307">
        <f t="shared" si="4"/>
        <v>0.05</v>
      </c>
      <c r="C11" s="267" t="s">
        <v>1254</v>
      </c>
      <c r="D11" s="318">
        <v>281663</v>
      </c>
      <c r="E11" s="319">
        <f>ROUND(D11/$D$8*100,2)</f>
        <v>0.05</v>
      </c>
      <c r="F11" s="318">
        <v>281831</v>
      </c>
      <c r="G11" s="307">
        <f>ROUND(F11/$F$8*100,2)</f>
        <v>0.05</v>
      </c>
      <c r="H11" s="321">
        <f t="shared" si="0"/>
        <v>-168</v>
      </c>
      <c r="I11" s="322">
        <f t="shared" si="1"/>
        <v>-0.06</v>
      </c>
      <c r="K11" s="218">
        <f t="shared" si="2"/>
        <v>4.6339999999999999E-2</v>
      </c>
      <c r="L11" s="218">
        <f t="shared" si="3"/>
        <v>5.2769999999999997E-2</v>
      </c>
      <c r="M11" s="218">
        <f>ROUND(F11/$F$8*100,5)</f>
        <v>5.373E-2</v>
      </c>
    </row>
    <row r="12" spans="1:13" s="30" customFormat="1" ht="27.5" customHeight="1">
      <c r="A12" s="304">
        <v>168162626</v>
      </c>
      <c r="B12" s="305">
        <f t="shared" si="4"/>
        <v>27.74</v>
      </c>
      <c r="C12" s="266" t="s">
        <v>1255</v>
      </c>
      <c r="D12" s="315">
        <f>D13+D17+D19+D22+D24</f>
        <v>30203924</v>
      </c>
      <c r="E12" s="316">
        <f t="shared" ref="E12" si="8">ROUND(D12/$D$8*100,2)</f>
        <v>5.66</v>
      </c>
      <c r="F12" s="315">
        <f>F13+F17+F19+F22+F24</f>
        <v>27540638</v>
      </c>
      <c r="G12" s="305">
        <f t="shared" ref="G12:G77" si="9">ROUND(F12/$F$8*100,2)</f>
        <v>5.25</v>
      </c>
      <c r="H12" s="325">
        <f t="shared" si="0"/>
        <v>2663286</v>
      </c>
      <c r="I12" s="326">
        <f t="shared" si="1"/>
        <v>9.67</v>
      </c>
      <c r="K12" s="217">
        <f t="shared" si="2"/>
        <v>27.743179999999999</v>
      </c>
      <c r="L12" s="217">
        <f t="shared" si="3"/>
        <v>5.6590199999999999</v>
      </c>
      <c r="M12" s="217">
        <f t="shared" ref="M12:M130" si="10">ROUND(F12/$F$8*100,5)</f>
        <v>5.2504099999999996</v>
      </c>
    </row>
    <row r="13" spans="1:13" s="1010" customFormat="1" ht="27.5" customHeight="1">
      <c r="A13" s="306">
        <v>146490723</v>
      </c>
      <c r="B13" s="307">
        <f t="shared" si="4"/>
        <v>24.17</v>
      </c>
      <c r="C13" s="267" t="s">
        <v>1256</v>
      </c>
      <c r="D13" s="318">
        <f>SUM(D14:D16)</f>
        <v>28315665</v>
      </c>
      <c r="E13" s="319">
        <f>ROUND(D13/$D$8*100,2)</f>
        <v>5.31</v>
      </c>
      <c r="F13" s="318">
        <f>SUM(F14:F16)</f>
        <v>26002943</v>
      </c>
      <c r="G13" s="307">
        <f>ROUND(F13/$F$8*100,2)</f>
        <v>4.96</v>
      </c>
      <c r="H13" s="321">
        <f t="shared" si="0"/>
        <v>2312722</v>
      </c>
      <c r="I13" s="322">
        <f t="shared" si="1"/>
        <v>8.89</v>
      </c>
      <c r="K13" s="218">
        <f t="shared" si="2"/>
        <v>24.16779</v>
      </c>
      <c r="L13" s="218">
        <f t="shared" si="3"/>
        <v>5.3052299999999999</v>
      </c>
      <c r="M13" s="218">
        <f>ROUND(F13/$F$8*100,5)</f>
        <v>4.9572599999999998</v>
      </c>
    </row>
    <row r="14" spans="1:13" s="1010" customFormat="1" ht="27.5" customHeight="1">
      <c r="A14" s="306">
        <v>144560114</v>
      </c>
      <c r="B14" s="307">
        <f t="shared" si="4"/>
        <v>23.85</v>
      </c>
      <c r="C14" s="267" t="s">
        <v>1254</v>
      </c>
      <c r="D14" s="318">
        <v>26579869</v>
      </c>
      <c r="E14" s="319">
        <f>ROUND(D14/$D$8*100,2)</f>
        <v>4.9800000000000004</v>
      </c>
      <c r="F14" s="318">
        <v>24253998</v>
      </c>
      <c r="G14" s="307">
        <f>ROUND(F14/$F$8*100,2)</f>
        <v>4.62</v>
      </c>
      <c r="H14" s="321">
        <f t="shared" si="0"/>
        <v>2325871</v>
      </c>
      <c r="I14" s="322">
        <f t="shared" si="1"/>
        <v>9.59</v>
      </c>
      <c r="K14" s="218">
        <f t="shared" si="2"/>
        <v>23.84928</v>
      </c>
      <c r="L14" s="218">
        <f t="shared" si="3"/>
        <v>4.98001</v>
      </c>
      <c r="M14" s="218">
        <f>ROUND(F14/$F$8*100,5)</f>
        <v>4.6238400000000004</v>
      </c>
    </row>
    <row r="15" spans="1:13" s="1010" customFormat="1" ht="27.5" customHeight="1">
      <c r="A15" s="306">
        <v>53315</v>
      </c>
      <c r="B15" s="307">
        <f t="shared" si="4"/>
        <v>0.01</v>
      </c>
      <c r="C15" s="267" t="s">
        <v>1257</v>
      </c>
      <c r="D15" s="318">
        <v>40005</v>
      </c>
      <c r="E15" s="319">
        <f>ROUND(D15/$D$8*100,2)</f>
        <v>0.01</v>
      </c>
      <c r="F15" s="318">
        <v>48195</v>
      </c>
      <c r="G15" s="307">
        <f>ROUND(F15/$F$8*100,2)</f>
        <v>0.01</v>
      </c>
      <c r="H15" s="321">
        <f t="shared" si="0"/>
        <v>-8190</v>
      </c>
      <c r="I15" s="322">
        <f t="shared" si="1"/>
        <v>-16.989999999999998</v>
      </c>
      <c r="K15" s="218">
        <f t="shared" si="2"/>
        <v>8.8000000000000005E-3</v>
      </c>
      <c r="L15" s="218">
        <f t="shared" si="3"/>
        <v>7.4999999999999997E-3</v>
      </c>
      <c r="M15" s="218">
        <f>ROUND(F15/$F$8*100,5)</f>
        <v>9.1900000000000003E-3</v>
      </c>
    </row>
    <row r="16" spans="1:13" s="1010" customFormat="1" ht="27.5" customHeight="1">
      <c r="A16" s="306">
        <v>1877294</v>
      </c>
      <c r="B16" s="367">
        <f t="shared" si="4"/>
        <v>0.31</v>
      </c>
      <c r="C16" s="267" t="s">
        <v>1258</v>
      </c>
      <c r="D16" s="318">
        <v>1695791</v>
      </c>
      <c r="E16" s="319">
        <f>ROUND(D16/$D$8*100,2)</f>
        <v>0.32</v>
      </c>
      <c r="F16" s="318">
        <v>1700750</v>
      </c>
      <c r="G16" s="307">
        <f>ROUND(F16/$F$8*100,2)</f>
        <v>0.32</v>
      </c>
      <c r="H16" s="321">
        <f t="shared" si="0"/>
        <v>-4959</v>
      </c>
      <c r="I16" s="322">
        <f t="shared" si="1"/>
        <v>-0.28999999999999998</v>
      </c>
      <c r="K16" s="218">
        <f t="shared" si="2"/>
        <v>0.30970999999999999</v>
      </c>
      <c r="L16" s="218">
        <f t="shared" si="3"/>
        <v>0.31772</v>
      </c>
      <c r="M16" s="218">
        <f>ROUND(F16/$F$8*100,5)</f>
        <v>0.32423000000000002</v>
      </c>
    </row>
    <row r="17" spans="1:13" s="1010" customFormat="1" ht="27.5" customHeight="1">
      <c r="A17" s="306">
        <v>603679</v>
      </c>
      <c r="B17" s="307">
        <f t="shared" si="4"/>
        <v>0.1</v>
      </c>
      <c r="C17" s="267" t="s">
        <v>1259</v>
      </c>
      <c r="D17" s="318">
        <f>D18</f>
        <v>550450</v>
      </c>
      <c r="E17" s="319">
        <f t="shared" ref="E17:E80" si="11">ROUND(D17/$D$8*100,2)</f>
        <v>0.1</v>
      </c>
      <c r="F17" s="318">
        <f>F18</f>
        <v>548135</v>
      </c>
      <c r="G17" s="307">
        <f t="shared" si="9"/>
        <v>0.1</v>
      </c>
      <c r="H17" s="321">
        <f t="shared" si="0"/>
        <v>2315</v>
      </c>
      <c r="I17" s="322">
        <f t="shared" si="1"/>
        <v>0.42</v>
      </c>
      <c r="K17" s="218">
        <f t="shared" si="2"/>
        <v>9.9589999999999998E-2</v>
      </c>
      <c r="L17" s="218">
        <f t="shared" si="3"/>
        <v>0.10313</v>
      </c>
      <c r="M17" s="218">
        <f t="shared" si="10"/>
        <v>0.1045</v>
      </c>
    </row>
    <row r="18" spans="1:13" s="1010" customFormat="1" ht="27" customHeight="1">
      <c r="A18" s="306">
        <v>603679</v>
      </c>
      <c r="B18" s="307">
        <f t="shared" si="4"/>
        <v>0.1</v>
      </c>
      <c r="C18" s="267" t="s">
        <v>1254</v>
      </c>
      <c r="D18" s="318">
        <v>550450</v>
      </c>
      <c r="E18" s="319">
        <f t="shared" si="11"/>
        <v>0.1</v>
      </c>
      <c r="F18" s="318">
        <v>548135</v>
      </c>
      <c r="G18" s="307">
        <f t="shared" si="9"/>
        <v>0.1</v>
      </c>
      <c r="H18" s="321">
        <f t="shared" si="0"/>
        <v>2315</v>
      </c>
      <c r="I18" s="322">
        <f t="shared" si="1"/>
        <v>0.42</v>
      </c>
      <c r="K18" s="218">
        <f t="shared" si="2"/>
        <v>9.9589999999999998E-2</v>
      </c>
      <c r="L18" s="218">
        <f>ROUND(D18/$D$8*100,5)</f>
        <v>0.10313</v>
      </c>
      <c r="M18" s="218">
        <f>ROUND(F18/$F$8*100,5)</f>
        <v>0.1045</v>
      </c>
    </row>
    <row r="19" spans="1:13" s="1010" customFormat="1" ht="26.05" customHeight="1">
      <c r="A19" s="306">
        <v>19368616</v>
      </c>
      <c r="B19" s="307">
        <f t="shared" si="4"/>
        <v>3.2</v>
      </c>
      <c r="C19" s="267" t="s">
        <v>1260</v>
      </c>
      <c r="D19" s="318">
        <f>SUM(D20:D21)</f>
        <v>0</v>
      </c>
      <c r="E19" s="319">
        <f t="shared" si="11"/>
        <v>0</v>
      </c>
      <c r="F19" s="318">
        <f>SUM(F20:F21)</f>
        <v>0</v>
      </c>
      <c r="G19" s="307">
        <f t="shared" si="9"/>
        <v>0</v>
      </c>
      <c r="H19" s="318">
        <f>H20</f>
        <v>0</v>
      </c>
      <c r="I19" s="320">
        <v>0</v>
      </c>
      <c r="K19" s="218">
        <f t="shared" si="2"/>
        <v>3.1953999999999998</v>
      </c>
      <c r="L19" s="218">
        <f t="shared" si="3"/>
        <v>0</v>
      </c>
      <c r="M19" s="218">
        <f t="shared" si="10"/>
        <v>0</v>
      </c>
    </row>
    <row r="20" spans="1:13" s="1010" customFormat="1" ht="26.05" customHeight="1">
      <c r="A20" s="306">
        <v>18283631</v>
      </c>
      <c r="B20" s="307">
        <f t="shared" si="4"/>
        <v>3.02</v>
      </c>
      <c r="C20" s="267" t="s">
        <v>1261</v>
      </c>
      <c r="D20" s="318">
        <v>0</v>
      </c>
      <c r="E20" s="319">
        <f t="shared" si="11"/>
        <v>0</v>
      </c>
      <c r="F20" s="318">
        <v>0</v>
      </c>
      <c r="G20" s="307">
        <f t="shared" si="9"/>
        <v>0</v>
      </c>
      <c r="H20" s="318">
        <v>0</v>
      </c>
      <c r="I20" s="320">
        <v>0</v>
      </c>
      <c r="K20" s="218">
        <f t="shared" si="2"/>
        <v>3.0164</v>
      </c>
      <c r="L20" s="218">
        <f t="shared" si="3"/>
        <v>0</v>
      </c>
      <c r="M20" s="218">
        <f t="shared" si="10"/>
        <v>0</v>
      </c>
    </row>
    <row r="21" spans="1:13" s="1010" customFormat="1" ht="26.05" customHeight="1">
      <c r="A21" s="306">
        <v>1084986</v>
      </c>
      <c r="B21" s="307">
        <f t="shared" si="4"/>
        <v>0.18</v>
      </c>
      <c r="C21" s="267" t="s">
        <v>1262</v>
      </c>
      <c r="D21" s="318">
        <v>0</v>
      </c>
      <c r="E21" s="319">
        <f t="shared" si="11"/>
        <v>0</v>
      </c>
      <c r="F21" s="318">
        <v>0</v>
      </c>
      <c r="G21" s="307">
        <f t="shared" si="9"/>
        <v>0</v>
      </c>
      <c r="H21" s="318">
        <v>0</v>
      </c>
      <c r="I21" s="320">
        <v>0</v>
      </c>
      <c r="K21" s="218">
        <f t="shared" si="2"/>
        <v>0.17899999999999999</v>
      </c>
      <c r="L21" s="218">
        <f t="shared" si="3"/>
        <v>0</v>
      </c>
      <c r="M21" s="218">
        <f t="shared" si="10"/>
        <v>0</v>
      </c>
    </row>
    <row r="22" spans="1:13" s="1010" customFormat="1" ht="26.05" customHeight="1">
      <c r="A22" s="306">
        <v>123466</v>
      </c>
      <c r="B22" s="307">
        <f t="shared" si="4"/>
        <v>0.02</v>
      </c>
      <c r="C22" s="267" t="s">
        <v>1263</v>
      </c>
      <c r="D22" s="318">
        <f>D23</f>
        <v>0</v>
      </c>
      <c r="E22" s="319">
        <f t="shared" si="11"/>
        <v>0</v>
      </c>
      <c r="F22" s="318">
        <f>F23</f>
        <v>0</v>
      </c>
      <c r="G22" s="307">
        <f t="shared" si="9"/>
        <v>0</v>
      </c>
      <c r="H22" s="318">
        <f t="shared" ref="H22:H23" si="12">D22-F22</f>
        <v>0</v>
      </c>
      <c r="I22" s="320">
        <v>0</v>
      </c>
      <c r="K22" s="218">
        <f t="shared" si="2"/>
        <v>2.0369999999999999E-2</v>
      </c>
      <c r="L22" s="218">
        <f t="shared" si="3"/>
        <v>0</v>
      </c>
      <c r="M22" s="218">
        <f t="shared" si="10"/>
        <v>0</v>
      </c>
    </row>
    <row r="23" spans="1:13" s="1010" customFormat="1" ht="26.05" customHeight="1">
      <c r="A23" s="306">
        <v>123466</v>
      </c>
      <c r="B23" s="307">
        <f>ROUND(A23/$A$8*100,2)</f>
        <v>0.02</v>
      </c>
      <c r="C23" s="267" t="s">
        <v>1261</v>
      </c>
      <c r="D23" s="318">
        <v>0</v>
      </c>
      <c r="E23" s="319">
        <f t="shared" si="11"/>
        <v>0</v>
      </c>
      <c r="F23" s="318">
        <v>0</v>
      </c>
      <c r="G23" s="307">
        <f t="shared" si="9"/>
        <v>0</v>
      </c>
      <c r="H23" s="318">
        <f t="shared" si="12"/>
        <v>0</v>
      </c>
      <c r="I23" s="320">
        <v>0</v>
      </c>
      <c r="K23" s="218">
        <f t="shared" si="2"/>
        <v>2.0369999999999999E-2</v>
      </c>
      <c r="L23" s="218">
        <f t="shared" si="3"/>
        <v>0</v>
      </c>
      <c r="M23" s="218">
        <f t="shared" si="10"/>
        <v>0</v>
      </c>
    </row>
    <row r="24" spans="1:13" s="1010" customFormat="1" ht="27.5" customHeight="1">
      <c r="A24" s="306">
        <v>1576142</v>
      </c>
      <c r="B24" s="307">
        <f t="shared" si="4"/>
        <v>0.26</v>
      </c>
      <c r="C24" s="267" t="s">
        <v>1264</v>
      </c>
      <c r="D24" s="318">
        <f>SUM(D25:D31)</f>
        <v>1337809</v>
      </c>
      <c r="E24" s="319">
        <f t="shared" si="11"/>
        <v>0.25</v>
      </c>
      <c r="F24" s="318">
        <f>SUM(F25:F31)</f>
        <v>989560</v>
      </c>
      <c r="G24" s="307">
        <f t="shared" si="9"/>
        <v>0.19</v>
      </c>
      <c r="H24" s="321">
        <f t="shared" si="0"/>
        <v>348249</v>
      </c>
      <c r="I24" s="322">
        <f t="shared" si="1"/>
        <v>35.19</v>
      </c>
      <c r="K24" s="218">
        <f t="shared" si="2"/>
        <v>0.26002999999999998</v>
      </c>
      <c r="L24" s="218">
        <f t="shared" si="3"/>
        <v>0.25064999999999998</v>
      </c>
      <c r="M24" s="218">
        <f t="shared" si="10"/>
        <v>0.18865000000000001</v>
      </c>
    </row>
    <row r="25" spans="1:13" s="1010" customFormat="1" ht="30.8" customHeight="1">
      <c r="A25" s="306">
        <v>818779</v>
      </c>
      <c r="B25" s="307">
        <f t="shared" si="4"/>
        <v>0.14000000000000001</v>
      </c>
      <c r="C25" s="267" t="s">
        <v>1261</v>
      </c>
      <c r="D25" s="318">
        <v>821264</v>
      </c>
      <c r="E25" s="319">
        <f t="shared" si="11"/>
        <v>0.15</v>
      </c>
      <c r="F25" s="318">
        <v>489054</v>
      </c>
      <c r="G25" s="307">
        <f t="shared" si="9"/>
        <v>0.09</v>
      </c>
      <c r="H25" s="321">
        <f t="shared" si="0"/>
        <v>332210</v>
      </c>
      <c r="I25" s="322">
        <f t="shared" si="1"/>
        <v>67.930000000000007</v>
      </c>
      <c r="K25" s="218">
        <f t="shared" si="2"/>
        <v>0.13508000000000001</v>
      </c>
      <c r="L25" s="218">
        <f t="shared" si="3"/>
        <v>0.15387000000000001</v>
      </c>
      <c r="M25" s="218">
        <f t="shared" si="10"/>
        <v>9.3229999999999993E-2</v>
      </c>
    </row>
    <row r="26" spans="1:13" s="1010" customFormat="1" ht="29.95" customHeight="1">
      <c r="A26" s="306">
        <v>148078</v>
      </c>
      <c r="B26" s="307">
        <f t="shared" si="4"/>
        <v>0.02</v>
      </c>
      <c r="C26" s="267" t="s">
        <v>1265</v>
      </c>
      <c r="D26" s="318">
        <v>135350</v>
      </c>
      <c r="E26" s="319">
        <f t="shared" si="11"/>
        <v>0.03</v>
      </c>
      <c r="F26" s="318">
        <v>140629</v>
      </c>
      <c r="G26" s="307">
        <f t="shared" si="9"/>
        <v>0.03</v>
      </c>
      <c r="H26" s="321">
        <f t="shared" si="0"/>
        <v>-5279</v>
      </c>
      <c r="I26" s="322">
        <f t="shared" si="1"/>
        <v>-3.75</v>
      </c>
      <c r="K26" s="218">
        <f t="shared" si="2"/>
        <v>2.443E-2</v>
      </c>
      <c r="L26" s="218">
        <f t="shared" si="3"/>
        <v>2.5360000000000001E-2</v>
      </c>
      <c r="M26" s="218">
        <f t="shared" si="10"/>
        <v>2.681E-2</v>
      </c>
    </row>
    <row r="27" spans="1:13" s="1010" customFormat="1" ht="24.55" customHeight="1">
      <c r="A27" s="306">
        <v>506938</v>
      </c>
      <c r="B27" s="307">
        <f t="shared" si="4"/>
        <v>0.08</v>
      </c>
      <c r="C27" s="267" t="s">
        <v>1262</v>
      </c>
      <c r="D27" s="318">
        <v>308466</v>
      </c>
      <c r="E27" s="319">
        <f t="shared" si="11"/>
        <v>0.06</v>
      </c>
      <c r="F27" s="318">
        <v>290008</v>
      </c>
      <c r="G27" s="307">
        <f t="shared" si="9"/>
        <v>0.06</v>
      </c>
      <c r="H27" s="321">
        <f t="shared" si="0"/>
        <v>18458</v>
      </c>
      <c r="I27" s="322">
        <f t="shared" si="1"/>
        <v>6.36</v>
      </c>
      <c r="K27" s="218">
        <f t="shared" si="2"/>
        <v>8.3629999999999996E-2</v>
      </c>
      <c r="L27" s="218">
        <f t="shared" si="3"/>
        <v>5.7790000000000001E-2</v>
      </c>
      <c r="M27" s="218">
        <f t="shared" si="10"/>
        <v>5.5289999999999999E-2</v>
      </c>
    </row>
    <row r="28" spans="1:13" s="1010" customFormat="1" ht="25.2" customHeight="1">
      <c r="A28" s="306">
        <v>185</v>
      </c>
      <c r="B28" s="307">
        <f>ROUND(A28/$A$8*100,2)</f>
        <v>0</v>
      </c>
      <c r="C28" s="267" t="s">
        <v>1266</v>
      </c>
      <c r="D28" s="318">
        <v>184</v>
      </c>
      <c r="E28" s="319">
        <f>ROUND(D28/$D$8*100,2)</f>
        <v>0</v>
      </c>
      <c r="F28" s="318">
        <v>160</v>
      </c>
      <c r="G28" s="307">
        <f>ROUND(F28/$F$8*100,2)</f>
        <v>0</v>
      </c>
      <c r="H28" s="318">
        <f t="shared" si="0"/>
        <v>24</v>
      </c>
      <c r="I28" s="320">
        <f t="shared" si="1"/>
        <v>15</v>
      </c>
      <c r="K28" s="218">
        <f t="shared" si="2"/>
        <v>3.0000000000000001E-5</v>
      </c>
      <c r="L28" s="218">
        <f t="shared" si="3"/>
        <v>3.0000000000000001E-5</v>
      </c>
      <c r="M28" s="218">
        <f t="shared" si="10"/>
        <v>3.0000000000000001E-5</v>
      </c>
    </row>
    <row r="29" spans="1:13" s="1010" customFormat="1" ht="25.2" customHeight="1">
      <c r="A29" s="306">
        <v>0</v>
      </c>
      <c r="B29" s="307">
        <f>ROUND(A29/$A$8*100,2)</f>
        <v>0</v>
      </c>
      <c r="C29" s="267" t="s">
        <v>1267</v>
      </c>
      <c r="D29" s="318">
        <v>20</v>
      </c>
      <c r="E29" s="319">
        <f>ROUND(D29/$D$8*100,2)</f>
        <v>0</v>
      </c>
      <c r="F29" s="318">
        <v>20</v>
      </c>
      <c r="G29" s="307">
        <f>ROUND(F29/$F$8*100,2)</f>
        <v>0</v>
      </c>
      <c r="H29" s="318">
        <f t="shared" si="0"/>
        <v>0</v>
      </c>
      <c r="I29" s="320">
        <f t="shared" si="1"/>
        <v>0</v>
      </c>
      <c r="K29" s="218">
        <f t="shared" si="2"/>
        <v>0</v>
      </c>
      <c r="L29" s="218">
        <f t="shared" si="3"/>
        <v>0</v>
      </c>
      <c r="M29" s="218">
        <f t="shared" si="10"/>
        <v>0</v>
      </c>
    </row>
    <row r="30" spans="1:13" s="1010" customFormat="1" ht="32.25" customHeight="1" thickBot="1">
      <c r="A30" s="308">
        <v>101196</v>
      </c>
      <c r="B30" s="309">
        <f t="shared" si="4"/>
        <v>0.02</v>
      </c>
      <c r="C30" s="784" t="s">
        <v>1268</v>
      </c>
      <c r="D30" s="323">
        <v>72194</v>
      </c>
      <c r="E30" s="324">
        <f t="shared" si="11"/>
        <v>0.01</v>
      </c>
      <c r="F30" s="323">
        <v>68992</v>
      </c>
      <c r="G30" s="309">
        <f t="shared" si="9"/>
        <v>0.01</v>
      </c>
      <c r="H30" s="337">
        <f t="shared" si="0"/>
        <v>3202</v>
      </c>
      <c r="I30" s="338">
        <f t="shared" si="1"/>
        <v>4.6399999999999997</v>
      </c>
      <c r="K30" s="218">
        <f t="shared" si="2"/>
        <v>1.67E-2</v>
      </c>
      <c r="L30" s="218">
        <f t="shared" si="3"/>
        <v>1.353E-2</v>
      </c>
      <c r="M30" s="218">
        <f t="shared" si="10"/>
        <v>1.315E-2</v>
      </c>
    </row>
    <row r="31" spans="1:13" s="1010" customFormat="1" ht="20.45" customHeight="1">
      <c r="A31" s="306">
        <v>967</v>
      </c>
      <c r="B31" s="307">
        <f t="shared" si="4"/>
        <v>0</v>
      </c>
      <c r="C31" s="783" t="s">
        <v>1269</v>
      </c>
      <c r="D31" s="318">
        <v>331</v>
      </c>
      <c r="E31" s="319">
        <f t="shared" si="11"/>
        <v>0</v>
      </c>
      <c r="F31" s="318">
        <v>697</v>
      </c>
      <c r="G31" s="307">
        <f t="shared" si="9"/>
        <v>0</v>
      </c>
      <c r="H31" s="321">
        <f t="shared" si="0"/>
        <v>-366</v>
      </c>
      <c r="I31" s="322">
        <f t="shared" si="1"/>
        <v>-52.51</v>
      </c>
      <c r="K31" s="218">
        <f t="shared" si="2"/>
        <v>1.6000000000000001E-4</v>
      </c>
      <c r="L31" s="218">
        <f t="shared" si="3"/>
        <v>6.0000000000000002E-5</v>
      </c>
      <c r="M31" s="218">
        <f t="shared" si="10"/>
        <v>1.2999999999999999E-4</v>
      </c>
    </row>
    <row r="32" spans="1:13" s="30" customFormat="1" ht="22.6" customHeight="1">
      <c r="A32" s="304">
        <v>433531053</v>
      </c>
      <c r="B32" s="305">
        <f t="shared" si="4"/>
        <v>71.52</v>
      </c>
      <c r="C32" s="266" t="s">
        <v>1270</v>
      </c>
      <c r="D32" s="315">
        <f>D33+D39</f>
        <v>477611869</v>
      </c>
      <c r="E32" s="316">
        <f t="shared" si="11"/>
        <v>89.49</v>
      </c>
      <c r="F32" s="315">
        <f>F33+F39</f>
        <v>472984672</v>
      </c>
      <c r="G32" s="305">
        <f t="shared" si="9"/>
        <v>90.17</v>
      </c>
      <c r="H32" s="315">
        <f t="shared" si="0"/>
        <v>4627197</v>
      </c>
      <c r="I32" s="317">
        <f t="shared" si="1"/>
        <v>0.98</v>
      </c>
      <c r="K32" s="217">
        <f t="shared" si="2"/>
        <v>71.523210000000006</v>
      </c>
      <c r="L32" s="217">
        <f t="shared" si="3"/>
        <v>89.485510000000005</v>
      </c>
      <c r="M32" s="217">
        <f t="shared" si="10"/>
        <v>90.170869999999994</v>
      </c>
    </row>
    <row r="33" spans="1:13" s="1010" customFormat="1" ht="22.6" customHeight="1">
      <c r="A33" s="306">
        <v>433072348</v>
      </c>
      <c r="B33" s="307">
        <f t="shared" si="4"/>
        <v>71.45</v>
      </c>
      <c r="C33" s="267" t="s">
        <v>1271</v>
      </c>
      <c r="D33" s="318">
        <f>SUM(D34:D38)</f>
        <v>466231821</v>
      </c>
      <c r="E33" s="319">
        <f t="shared" si="11"/>
        <v>87.35</v>
      </c>
      <c r="F33" s="318">
        <f>SUM(F34:F38)</f>
        <v>433520866</v>
      </c>
      <c r="G33" s="307">
        <f t="shared" si="9"/>
        <v>82.65</v>
      </c>
      <c r="H33" s="318">
        <f t="shared" si="0"/>
        <v>32710955</v>
      </c>
      <c r="I33" s="320">
        <f t="shared" si="1"/>
        <v>7.55</v>
      </c>
      <c r="K33" s="218">
        <f t="shared" si="2"/>
        <v>71.44753</v>
      </c>
      <c r="L33" s="218">
        <f t="shared" si="3"/>
        <v>87.353340000000003</v>
      </c>
      <c r="M33" s="218">
        <f t="shared" si="10"/>
        <v>82.647400000000005</v>
      </c>
    </row>
    <row r="34" spans="1:13" s="1010" customFormat="1" ht="22.6" customHeight="1">
      <c r="A34" s="306">
        <v>393357303</v>
      </c>
      <c r="B34" s="307">
        <f t="shared" si="4"/>
        <v>64.900000000000006</v>
      </c>
      <c r="C34" s="267" t="s">
        <v>1254</v>
      </c>
      <c r="D34" s="318">
        <v>424680213</v>
      </c>
      <c r="E34" s="319">
        <f t="shared" si="11"/>
        <v>79.569999999999993</v>
      </c>
      <c r="F34" s="318">
        <v>392905112</v>
      </c>
      <c r="G34" s="307">
        <f t="shared" si="9"/>
        <v>74.900000000000006</v>
      </c>
      <c r="H34" s="318">
        <f t="shared" si="0"/>
        <v>31775101</v>
      </c>
      <c r="I34" s="320">
        <f t="shared" si="1"/>
        <v>8.09</v>
      </c>
      <c r="K34" s="218">
        <f t="shared" si="2"/>
        <v>64.895409999999998</v>
      </c>
      <c r="L34" s="218">
        <f t="shared" si="3"/>
        <v>79.568219999999997</v>
      </c>
      <c r="M34" s="218">
        <f t="shared" si="10"/>
        <v>74.904319999999998</v>
      </c>
    </row>
    <row r="35" spans="1:13" s="1010" customFormat="1" ht="24.55" customHeight="1">
      <c r="A35" s="306">
        <v>7897127</v>
      </c>
      <c r="B35" s="307">
        <f t="shared" si="4"/>
        <v>1.3</v>
      </c>
      <c r="C35" s="267" t="s">
        <v>1257</v>
      </c>
      <c r="D35" s="318">
        <v>8385038</v>
      </c>
      <c r="E35" s="319">
        <f t="shared" si="11"/>
        <v>1.57</v>
      </c>
      <c r="F35" s="318">
        <v>8507272</v>
      </c>
      <c r="G35" s="307">
        <f t="shared" si="9"/>
        <v>1.62</v>
      </c>
      <c r="H35" s="321">
        <f t="shared" si="0"/>
        <v>-122234</v>
      </c>
      <c r="I35" s="322">
        <f t="shared" si="1"/>
        <v>-1.44</v>
      </c>
      <c r="K35" s="218">
        <f t="shared" si="2"/>
        <v>1.3028500000000001</v>
      </c>
      <c r="L35" s="218">
        <f t="shared" si="3"/>
        <v>1.5710200000000001</v>
      </c>
      <c r="M35" s="218">
        <f t="shared" si="10"/>
        <v>1.62185</v>
      </c>
    </row>
    <row r="36" spans="1:13" s="1010" customFormat="1" ht="20.95" customHeight="1">
      <c r="A36" s="306">
        <v>28431913</v>
      </c>
      <c r="B36" s="307">
        <f t="shared" si="4"/>
        <v>4.6900000000000004</v>
      </c>
      <c r="C36" s="267" t="s">
        <v>1258</v>
      </c>
      <c r="D36" s="318">
        <v>29807684</v>
      </c>
      <c r="E36" s="319">
        <f t="shared" si="11"/>
        <v>5.58</v>
      </c>
      <c r="F36" s="318">
        <v>28626430</v>
      </c>
      <c r="G36" s="307">
        <f t="shared" si="9"/>
        <v>5.46</v>
      </c>
      <c r="H36" s="318">
        <f t="shared" si="0"/>
        <v>1181254</v>
      </c>
      <c r="I36" s="320">
        <f t="shared" si="1"/>
        <v>4.13</v>
      </c>
      <c r="K36" s="218">
        <f t="shared" si="2"/>
        <v>4.6906499999999998</v>
      </c>
      <c r="L36" s="218">
        <f t="shared" si="3"/>
        <v>5.5847800000000003</v>
      </c>
      <c r="M36" s="218">
        <f t="shared" si="10"/>
        <v>5.4574100000000003</v>
      </c>
    </row>
    <row r="37" spans="1:13" s="1010" customFormat="1" ht="20.95" customHeight="1">
      <c r="A37" s="306">
        <v>3386006</v>
      </c>
      <c r="B37" s="307">
        <f t="shared" si="4"/>
        <v>0.56000000000000005</v>
      </c>
      <c r="C37" s="267" t="s">
        <v>965</v>
      </c>
      <c r="D37" s="318">
        <v>3250886</v>
      </c>
      <c r="E37" s="319">
        <f t="shared" si="11"/>
        <v>0.61</v>
      </c>
      <c r="F37" s="318">
        <v>3392052</v>
      </c>
      <c r="G37" s="307">
        <f t="shared" si="9"/>
        <v>0.65</v>
      </c>
      <c r="H37" s="321">
        <f t="shared" si="0"/>
        <v>-141166</v>
      </c>
      <c r="I37" s="322">
        <f t="shared" si="1"/>
        <v>-4.16</v>
      </c>
      <c r="K37" s="218">
        <f t="shared" si="2"/>
        <v>0.55862000000000001</v>
      </c>
      <c r="L37" s="218">
        <f t="shared" si="3"/>
        <v>0.60909000000000002</v>
      </c>
      <c r="M37" s="218">
        <f t="shared" si="10"/>
        <v>0.64666999999999997</v>
      </c>
    </row>
    <row r="38" spans="1:13" s="1010" customFormat="1" ht="20.45" customHeight="1">
      <c r="A38" s="306">
        <v>0</v>
      </c>
      <c r="B38" s="307">
        <f t="shared" si="4"/>
        <v>0</v>
      </c>
      <c r="C38" s="267" t="s">
        <v>967</v>
      </c>
      <c r="D38" s="318">
        <v>108000</v>
      </c>
      <c r="E38" s="319">
        <f t="shared" si="11"/>
        <v>0.02</v>
      </c>
      <c r="F38" s="318">
        <v>90000</v>
      </c>
      <c r="G38" s="307">
        <f t="shared" si="9"/>
        <v>0.02</v>
      </c>
      <c r="H38" s="321">
        <f t="shared" si="0"/>
        <v>18000</v>
      </c>
      <c r="I38" s="322">
        <f t="shared" si="1"/>
        <v>20</v>
      </c>
      <c r="K38" s="218">
        <f t="shared" si="2"/>
        <v>0</v>
      </c>
      <c r="L38" s="218">
        <f t="shared" si="3"/>
        <v>2.0230000000000001E-2</v>
      </c>
      <c r="M38" s="218">
        <f t="shared" si="10"/>
        <v>1.7160000000000002E-2</v>
      </c>
    </row>
    <row r="39" spans="1:13" s="1010" customFormat="1" ht="22.6" customHeight="1">
      <c r="A39" s="306">
        <v>458704</v>
      </c>
      <c r="B39" s="307">
        <f t="shared" si="4"/>
        <v>0.08</v>
      </c>
      <c r="C39" s="268" t="s">
        <v>1272</v>
      </c>
      <c r="D39" s="318">
        <f>SUM(D40:D44)</f>
        <v>11380048</v>
      </c>
      <c r="E39" s="319">
        <f t="shared" si="11"/>
        <v>2.13</v>
      </c>
      <c r="F39" s="318">
        <f>SUM(F40:F44)</f>
        <v>39463806</v>
      </c>
      <c r="G39" s="307">
        <f t="shared" si="9"/>
        <v>7.52</v>
      </c>
      <c r="H39" s="318">
        <f>D39-F39</f>
        <v>-28083758</v>
      </c>
      <c r="I39" s="322">
        <f>ROUND(H39/F39*100,2)</f>
        <v>-71.16</v>
      </c>
      <c r="K39" s="218">
        <f t="shared" si="2"/>
        <v>7.5679999999999997E-2</v>
      </c>
      <c r="L39" s="218">
        <f t="shared" si="3"/>
        <v>2.1321699999999999</v>
      </c>
      <c r="M39" s="218">
        <f t="shared" si="10"/>
        <v>7.5234699999999997</v>
      </c>
    </row>
    <row r="40" spans="1:13" s="1010" customFormat="1" ht="20.95" customHeight="1">
      <c r="A40" s="306">
        <v>0</v>
      </c>
      <c r="B40" s="307">
        <f t="shared" si="4"/>
        <v>0</v>
      </c>
      <c r="C40" s="267" t="s">
        <v>1254</v>
      </c>
      <c r="D40" s="318">
        <v>10816936</v>
      </c>
      <c r="E40" s="319">
        <f t="shared" si="11"/>
        <v>2.0299999999999998</v>
      </c>
      <c r="F40" s="318">
        <v>38946193</v>
      </c>
      <c r="G40" s="307">
        <f t="shared" si="9"/>
        <v>7.42</v>
      </c>
      <c r="H40" s="318">
        <f>D40-F40</f>
        <v>-28129257</v>
      </c>
      <c r="I40" s="322">
        <f>ROUND(H40/F40*100,2)</f>
        <v>-72.23</v>
      </c>
      <c r="K40" s="218">
        <f t="shared" si="2"/>
        <v>0</v>
      </c>
      <c r="L40" s="218">
        <f t="shared" si="3"/>
        <v>2.0266600000000001</v>
      </c>
      <c r="M40" s="218">
        <f t="shared" si="10"/>
        <v>7.4247899999999998</v>
      </c>
    </row>
    <row r="41" spans="1:13" s="1010" customFormat="1" ht="22.6" hidden="1" customHeight="1">
      <c r="A41" s="306">
        <v>0</v>
      </c>
      <c r="B41" s="307">
        <f t="shared" si="4"/>
        <v>0</v>
      </c>
      <c r="C41" s="267" t="s">
        <v>1257</v>
      </c>
      <c r="D41" s="318">
        <v>0</v>
      </c>
      <c r="E41" s="319">
        <f t="shared" si="11"/>
        <v>0</v>
      </c>
      <c r="F41" s="318">
        <v>0</v>
      </c>
      <c r="G41" s="307">
        <f t="shared" si="9"/>
        <v>0</v>
      </c>
      <c r="H41" s="367">
        <f t="shared" si="0"/>
        <v>0</v>
      </c>
      <c r="I41" s="320">
        <v>0</v>
      </c>
      <c r="K41" s="218">
        <f t="shared" si="2"/>
        <v>0</v>
      </c>
      <c r="L41" s="218">
        <f t="shared" si="3"/>
        <v>0</v>
      </c>
      <c r="M41" s="218">
        <f t="shared" si="10"/>
        <v>0</v>
      </c>
    </row>
    <row r="42" spans="1:13" s="1010" customFormat="1" ht="22.6" hidden="1" customHeight="1">
      <c r="A42" s="306">
        <v>0</v>
      </c>
      <c r="B42" s="307">
        <f t="shared" si="4"/>
        <v>0</v>
      </c>
      <c r="C42" s="267" t="s">
        <v>1258</v>
      </c>
      <c r="D42" s="318">
        <v>0</v>
      </c>
      <c r="E42" s="319">
        <f t="shared" si="11"/>
        <v>0</v>
      </c>
      <c r="F42" s="318">
        <v>0</v>
      </c>
      <c r="G42" s="307">
        <f t="shared" si="9"/>
        <v>0</v>
      </c>
      <c r="H42" s="318">
        <v>0</v>
      </c>
      <c r="I42" s="320">
        <v>0</v>
      </c>
      <c r="K42" s="218">
        <f t="shared" si="2"/>
        <v>0</v>
      </c>
      <c r="L42" s="218">
        <f t="shared" si="3"/>
        <v>0</v>
      </c>
      <c r="M42" s="218">
        <f t="shared" si="10"/>
        <v>0</v>
      </c>
    </row>
    <row r="43" spans="1:13" s="1010" customFormat="1" ht="22.75" customHeight="1">
      <c r="A43" s="306">
        <v>430394</v>
      </c>
      <c r="B43" s="307">
        <f t="shared" si="4"/>
        <v>7.0000000000000007E-2</v>
      </c>
      <c r="C43" s="783" t="s">
        <v>1268</v>
      </c>
      <c r="D43" s="318">
        <f>555533-300</f>
        <v>555233</v>
      </c>
      <c r="E43" s="319">
        <f>ROUND(D43/$D$8*100,2)</f>
        <v>0.1</v>
      </c>
      <c r="F43" s="318">
        <v>493270</v>
      </c>
      <c r="G43" s="307">
        <f t="shared" si="9"/>
        <v>0.09</v>
      </c>
      <c r="H43" s="321">
        <f t="shared" si="0"/>
        <v>61963</v>
      </c>
      <c r="I43" s="322">
        <f t="shared" si="1"/>
        <v>12.56</v>
      </c>
      <c r="K43" s="218">
        <f t="shared" si="2"/>
        <v>7.1010000000000004E-2</v>
      </c>
      <c r="L43" s="218">
        <f t="shared" si="3"/>
        <v>0.10403</v>
      </c>
      <c r="M43" s="218">
        <f t="shared" si="10"/>
        <v>9.4039999999999999E-2</v>
      </c>
    </row>
    <row r="44" spans="1:13" s="1010" customFormat="1" ht="23.4" customHeight="1">
      <c r="A44" s="306">
        <v>28310</v>
      </c>
      <c r="B44" s="307">
        <f t="shared" si="4"/>
        <v>0</v>
      </c>
      <c r="C44" s="783" t="s">
        <v>1269</v>
      </c>
      <c r="D44" s="318">
        <v>7879</v>
      </c>
      <c r="E44" s="319">
        <f t="shared" si="11"/>
        <v>0</v>
      </c>
      <c r="F44" s="318">
        <v>24343</v>
      </c>
      <c r="G44" s="307">
        <f t="shared" si="9"/>
        <v>0</v>
      </c>
      <c r="H44" s="321">
        <f t="shared" si="0"/>
        <v>-16464</v>
      </c>
      <c r="I44" s="322">
        <f t="shared" si="1"/>
        <v>-67.63</v>
      </c>
      <c r="K44" s="218">
        <f t="shared" si="2"/>
        <v>4.6699999999999997E-3</v>
      </c>
      <c r="L44" s="218">
        <f t="shared" si="3"/>
        <v>1.48E-3</v>
      </c>
      <c r="M44" s="218">
        <f t="shared" si="10"/>
        <v>4.64E-3</v>
      </c>
    </row>
    <row r="45" spans="1:13" s="30" customFormat="1" ht="22.6" customHeight="1">
      <c r="A45" s="304">
        <v>4165807</v>
      </c>
      <c r="B45" s="305">
        <f t="shared" si="4"/>
        <v>0.69</v>
      </c>
      <c r="C45" s="266" t="s">
        <v>1273</v>
      </c>
      <c r="D45" s="315">
        <f>D46+D51</f>
        <v>25633493</v>
      </c>
      <c r="E45" s="316">
        <f t="shared" si="11"/>
        <v>4.8</v>
      </c>
      <c r="F45" s="315">
        <f>F46+F51</f>
        <v>23735509</v>
      </c>
      <c r="G45" s="305">
        <f t="shared" si="9"/>
        <v>4.5199999999999996</v>
      </c>
      <c r="H45" s="325">
        <f t="shared" si="0"/>
        <v>1897984</v>
      </c>
      <c r="I45" s="326">
        <f t="shared" si="1"/>
        <v>8</v>
      </c>
      <c r="K45" s="217">
        <f t="shared" si="2"/>
        <v>0.68727000000000005</v>
      </c>
      <c r="L45" s="217">
        <f t="shared" si="3"/>
        <v>4.8026999999999997</v>
      </c>
      <c r="M45" s="217">
        <f t="shared" si="10"/>
        <v>4.5249899999999998</v>
      </c>
    </row>
    <row r="46" spans="1:13" s="1010" customFormat="1" ht="23.4" customHeight="1">
      <c r="A46" s="306">
        <v>4096032</v>
      </c>
      <c r="B46" s="307">
        <f t="shared" si="4"/>
        <v>0.68</v>
      </c>
      <c r="C46" s="269" t="s">
        <v>1274</v>
      </c>
      <c r="D46" s="318">
        <f>SUM(D47:D50)</f>
        <v>25633493</v>
      </c>
      <c r="E46" s="319">
        <f t="shared" si="11"/>
        <v>4.8</v>
      </c>
      <c r="F46" s="318">
        <f>SUM(F47:F50)</f>
        <v>23735509</v>
      </c>
      <c r="G46" s="307">
        <f t="shared" si="9"/>
        <v>4.5199999999999996</v>
      </c>
      <c r="H46" s="321">
        <f>D46-F46</f>
        <v>1897984</v>
      </c>
      <c r="I46" s="322">
        <f t="shared" si="1"/>
        <v>8</v>
      </c>
      <c r="K46" s="218">
        <f t="shared" si="2"/>
        <v>0.67576000000000003</v>
      </c>
      <c r="L46" s="218">
        <f t="shared" si="3"/>
        <v>4.8026999999999997</v>
      </c>
      <c r="M46" s="218">
        <f t="shared" si="10"/>
        <v>4.5249899999999998</v>
      </c>
    </row>
    <row r="47" spans="1:13" s="1010" customFormat="1" ht="20" customHeight="1">
      <c r="A47" s="306">
        <v>0</v>
      </c>
      <c r="B47" s="307">
        <f t="shared" si="4"/>
        <v>0</v>
      </c>
      <c r="C47" s="267" t="s">
        <v>1275</v>
      </c>
      <c r="D47" s="318">
        <v>22000000</v>
      </c>
      <c r="E47" s="319">
        <f t="shared" si="11"/>
        <v>4.12</v>
      </c>
      <c r="F47" s="318">
        <v>20000000</v>
      </c>
      <c r="G47" s="307">
        <f t="shared" si="9"/>
        <v>3.81</v>
      </c>
      <c r="H47" s="321">
        <f t="shared" ref="H47" si="13">D47-F47</f>
        <v>2000000</v>
      </c>
      <c r="I47" s="322">
        <f t="shared" si="1"/>
        <v>10</v>
      </c>
      <c r="K47" s="218">
        <f t="shared" si="2"/>
        <v>0</v>
      </c>
      <c r="L47" s="218">
        <f t="shared" si="3"/>
        <v>4.1219299999999999</v>
      </c>
      <c r="M47" s="218">
        <f t="shared" si="10"/>
        <v>3.8128500000000001</v>
      </c>
    </row>
    <row r="48" spans="1:13" s="1010" customFormat="1" ht="24.05" customHeight="1">
      <c r="A48" s="306">
        <v>4076032</v>
      </c>
      <c r="B48" s="307">
        <f t="shared" si="4"/>
        <v>0.67</v>
      </c>
      <c r="C48" s="267" t="s">
        <v>965</v>
      </c>
      <c r="D48" s="318">
        <v>3579664</v>
      </c>
      <c r="E48" s="319">
        <f t="shared" si="11"/>
        <v>0.67</v>
      </c>
      <c r="F48" s="318">
        <v>3668635</v>
      </c>
      <c r="G48" s="307">
        <f t="shared" si="9"/>
        <v>0.7</v>
      </c>
      <c r="H48" s="321">
        <f t="shared" si="0"/>
        <v>-88971</v>
      </c>
      <c r="I48" s="322">
        <f t="shared" si="1"/>
        <v>-2.4300000000000002</v>
      </c>
      <c r="K48" s="218">
        <f t="shared" si="2"/>
        <v>0.67245999999999995</v>
      </c>
      <c r="L48" s="218">
        <f t="shared" si="3"/>
        <v>0.67069000000000001</v>
      </c>
      <c r="M48" s="218">
        <f t="shared" si="10"/>
        <v>0.69940000000000002</v>
      </c>
    </row>
    <row r="49" spans="1:13" s="1010" customFormat="1" ht="23.4" customHeight="1">
      <c r="A49" s="306">
        <v>0</v>
      </c>
      <c r="B49" s="307">
        <f t="shared" si="4"/>
        <v>0</v>
      </c>
      <c r="C49" s="267" t="s">
        <v>967</v>
      </c>
      <c r="D49" s="318">
        <v>13829</v>
      </c>
      <c r="E49" s="319">
        <f t="shared" si="11"/>
        <v>0</v>
      </c>
      <c r="F49" s="318">
        <v>46874</v>
      </c>
      <c r="G49" s="307">
        <f t="shared" si="9"/>
        <v>0.01</v>
      </c>
      <c r="H49" s="321">
        <f t="shared" si="0"/>
        <v>-33045</v>
      </c>
      <c r="I49" s="322">
        <f t="shared" si="1"/>
        <v>-70.5</v>
      </c>
      <c r="K49" s="218">
        <f t="shared" si="2"/>
        <v>0</v>
      </c>
      <c r="L49" s="218">
        <f t="shared" si="3"/>
        <v>2.5899999999999999E-3</v>
      </c>
      <c r="M49" s="218">
        <f t="shared" si="10"/>
        <v>8.94E-3</v>
      </c>
    </row>
    <row r="50" spans="1:13" s="1010" customFormat="1" ht="23.4" customHeight="1">
      <c r="A50" s="306">
        <v>20000</v>
      </c>
      <c r="B50" s="307">
        <f t="shared" si="4"/>
        <v>0</v>
      </c>
      <c r="C50" s="783" t="s">
        <v>1269</v>
      </c>
      <c r="D50" s="318">
        <v>40000</v>
      </c>
      <c r="E50" s="319">
        <f t="shared" si="11"/>
        <v>0.01</v>
      </c>
      <c r="F50" s="318">
        <v>20000</v>
      </c>
      <c r="G50" s="307">
        <f t="shared" si="9"/>
        <v>0</v>
      </c>
      <c r="H50" s="318">
        <f t="shared" si="0"/>
        <v>20000</v>
      </c>
      <c r="I50" s="320">
        <f t="shared" si="1"/>
        <v>100</v>
      </c>
      <c r="K50" s="218">
        <f t="shared" si="2"/>
        <v>3.3E-3</v>
      </c>
      <c r="L50" s="218">
        <f t="shared" si="3"/>
        <v>7.4900000000000001E-3</v>
      </c>
      <c r="M50" s="218">
        <f t="shared" si="10"/>
        <v>3.81E-3</v>
      </c>
    </row>
    <row r="51" spans="1:13" s="1010" customFormat="1" ht="21.6" customHeight="1">
      <c r="A51" s="306">
        <v>69775</v>
      </c>
      <c r="B51" s="307">
        <f t="shared" si="4"/>
        <v>0.01</v>
      </c>
      <c r="C51" s="269" t="s">
        <v>1276</v>
      </c>
      <c r="D51" s="318">
        <f>SUM(D52:D54)</f>
        <v>0</v>
      </c>
      <c r="E51" s="319">
        <f t="shared" si="11"/>
        <v>0</v>
      </c>
      <c r="F51" s="318">
        <f>SUM(F52:F54)</f>
        <v>0</v>
      </c>
      <c r="G51" s="307">
        <f t="shared" si="9"/>
        <v>0</v>
      </c>
      <c r="H51" s="318">
        <f t="shared" si="0"/>
        <v>0</v>
      </c>
      <c r="I51" s="320">
        <v>0</v>
      </c>
      <c r="K51" s="218">
        <f t="shared" si="2"/>
        <v>1.1509999999999999E-2</v>
      </c>
      <c r="L51" s="218">
        <f t="shared" si="3"/>
        <v>0</v>
      </c>
      <c r="M51" s="218">
        <f t="shared" si="10"/>
        <v>0</v>
      </c>
    </row>
    <row r="52" spans="1:13" s="1010" customFormat="1" ht="20.95" customHeight="1">
      <c r="A52" s="306">
        <v>69774</v>
      </c>
      <c r="B52" s="307">
        <f t="shared" si="4"/>
        <v>0.01</v>
      </c>
      <c r="C52" s="267" t="s">
        <v>1254</v>
      </c>
      <c r="D52" s="318">
        <v>0</v>
      </c>
      <c r="E52" s="319">
        <f t="shared" si="11"/>
        <v>0</v>
      </c>
      <c r="F52" s="318">
        <v>0</v>
      </c>
      <c r="G52" s="307">
        <f t="shared" si="9"/>
        <v>0</v>
      </c>
      <c r="H52" s="318">
        <f t="shared" si="0"/>
        <v>0</v>
      </c>
      <c r="I52" s="320" t="s">
        <v>1277</v>
      </c>
      <c r="K52" s="218">
        <f t="shared" si="2"/>
        <v>1.1509999999999999E-2</v>
      </c>
      <c r="L52" s="218">
        <f t="shared" si="3"/>
        <v>0</v>
      </c>
      <c r="M52" s="218">
        <f t="shared" si="10"/>
        <v>0</v>
      </c>
    </row>
    <row r="53" spans="1:13" s="1010" customFormat="1" ht="2.4500000000000002" hidden="1" customHeight="1">
      <c r="A53" s="306">
        <v>0</v>
      </c>
      <c r="B53" s="307">
        <f t="shared" si="4"/>
        <v>0</v>
      </c>
      <c r="C53" s="783" t="s">
        <v>1268</v>
      </c>
      <c r="D53" s="318">
        <v>0</v>
      </c>
      <c r="E53" s="319">
        <f t="shared" si="11"/>
        <v>0</v>
      </c>
      <c r="F53" s="318">
        <v>0</v>
      </c>
      <c r="G53" s="307">
        <f t="shared" si="9"/>
        <v>0</v>
      </c>
      <c r="H53" s="318">
        <f t="shared" si="0"/>
        <v>0</v>
      </c>
      <c r="I53" s="320" t="s">
        <v>1277</v>
      </c>
      <c r="K53" s="218">
        <f t="shared" si="2"/>
        <v>0</v>
      </c>
      <c r="L53" s="218">
        <f t="shared" si="3"/>
        <v>0</v>
      </c>
      <c r="M53" s="218">
        <f t="shared" si="10"/>
        <v>0</v>
      </c>
    </row>
    <row r="54" spans="1:13" s="1010" customFormat="1" ht="22.25" hidden="1" customHeight="1">
      <c r="A54" s="306">
        <v>0</v>
      </c>
      <c r="B54" s="307">
        <f t="shared" si="4"/>
        <v>0</v>
      </c>
      <c r="C54" s="783" t="s">
        <v>1269</v>
      </c>
      <c r="D54" s="318">
        <v>0</v>
      </c>
      <c r="E54" s="319">
        <f t="shared" si="11"/>
        <v>0</v>
      </c>
      <c r="F54" s="318">
        <v>0</v>
      </c>
      <c r="G54" s="307">
        <f t="shared" si="9"/>
        <v>0</v>
      </c>
      <c r="H54" s="315">
        <f t="shared" si="0"/>
        <v>0</v>
      </c>
      <c r="I54" s="320">
        <v>0</v>
      </c>
      <c r="K54" s="218">
        <f t="shared" si="2"/>
        <v>0</v>
      </c>
      <c r="L54" s="218">
        <f t="shared" si="3"/>
        <v>0</v>
      </c>
      <c r="M54" s="218">
        <f t="shared" si="10"/>
        <v>0</v>
      </c>
    </row>
    <row r="55" spans="1:13" s="30" customFormat="1" ht="24.05" customHeight="1">
      <c r="A55" s="304">
        <v>606448125</v>
      </c>
      <c r="B55" s="305">
        <f t="shared" si="4"/>
        <v>100.05</v>
      </c>
      <c r="C55" s="266" t="s">
        <v>1278</v>
      </c>
      <c r="D55" s="315">
        <f>D56+D59+D70+D90</f>
        <v>533964543</v>
      </c>
      <c r="E55" s="316">
        <f t="shared" si="11"/>
        <v>100.04</v>
      </c>
      <c r="F55" s="315">
        <f>F56+F59+F70+F90</f>
        <v>524651932</v>
      </c>
      <c r="G55" s="305">
        <f t="shared" si="9"/>
        <v>100.02</v>
      </c>
      <c r="H55" s="315">
        <f t="shared" si="0"/>
        <v>9312611</v>
      </c>
      <c r="I55" s="317">
        <f t="shared" si="1"/>
        <v>1.78</v>
      </c>
      <c r="K55" s="217">
        <f t="shared" si="2"/>
        <v>100.05077</v>
      </c>
      <c r="L55" s="217">
        <f t="shared" si="3"/>
        <v>100.04376999999999</v>
      </c>
      <c r="M55" s="217">
        <f t="shared" si="10"/>
        <v>100.02083</v>
      </c>
    </row>
    <row r="56" spans="1:13" s="30" customFormat="1" ht="26.2" customHeight="1">
      <c r="A56" s="304">
        <v>21985</v>
      </c>
      <c r="B56" s="305">
        <f t="shared" si="4"/>
        <v>0</v>
      </c>
      <c r="C56" s="266" t="s">
        <v>1279</v>
      </c>
      <c r="D56" s="315">
        <f>+D57</f>
        <v>21280</v>
      </c>
      <c r="E56" s="316">
        <f t="shared" si="11"/>
        <v>0</v>
      </c>
      <c r="F56" s="315">
        <f>+F57</f>
        <v>20072</v>
      </c>
      <c r="G56" s="305">
        <f t="shared" si="9"/>
        <v>0</v>
      </c>
      <c r="H56" s="325">
        <f t="shared" si="0"/>
        <v>1208</v>
      </c>
      <c r="I56" s="326">
        <f t="shared" si="1"/>
        <v>6.02</v>
      </c>
      <c r="K56" s="217">
        <f t="shared" si="2"/>
        <v>3.63E-3</v>
      </c>
      <c r="L56" s="217">
        <f t="shared" si="3"/>
        <v>3.9899999999999996E-3</v>
      </c>
      <c r="M56" s="217">
        <f t="shared" si="10"/>
        <v>3.8300000000000001E-3</v>
      </c>
    </row>
    <row r="57" spans="1:13" s="1010" customFormat="1" ht="24.75" customHeight="1">
      <c r="A57" s="306">
        <v>21985</v>
      </c>
      <c r="B57" s="307">
        <f>ROUND(A57/$A$8*100,2)</f>
        <v>0</v>
      </c>
      <c r="C57" s="267" t="s">
        <v>1280</v>
      </c>
      <c r="D57" s="318">
        <f>D58</f>
        <v>21280</v>
      </c>
      <c r="E57" s="319">
        <f>ROUND(D57/$D$8*100,2)</f>
        <v>0</v>
      </c>
      <c r="F57" s="318">
        <f>F58</f>
        <v>20072</v>
      </c>
      <c r="G57" s="307">
        <f>ROUND(F57/$F$8*100,2)</f>
        <v>0</v>
      </c>
      <c r="H57" s="321">
        <f>D57-F57</f>
        <v>1208</v>
      </c>
      <c r="I57" s="322">
        <f>ROUND(H57/F57*100,2)</f>
        <v>6.02</v>
      </c>
      <c r="K57" s="218">
        <f>ROUND(A57/$A$8*100,5)</f>
        <v>3.63E-3</v>
      </c>
      <c r="L57" s="218">
        <f>ROUND(D57/$D$8*100,5)</f>
        <v>3.9899999999999996E-3</v>
      </c>
      <c r="M57" s="218">
        <f>ROUND(F57/$F$8*100,5)</f>
        <v>3.8300000000000001E-3</v>
      </c>
    </row>
    <row r="58" spans="1:13" s="1010" customFormat="1" ht="24.05" customHeight="1">
      <c r="A58" s="306">
        <v>21985</v>
      </c>
      <c r="B58" s="307">
        <f>ROUND(A58/$A$8*100,2)</f>
        <v>0</v>
      </c>
      <c r="C58" s="267" t="s">
        <v>1254</v>
      </c>
      <c r="D58" s="318">
        <v>21280</v>
      </c>
      <c r="E58" s="319">
        <f>ROUND(D58/$D$8*100,2)</f>
        <v>0</v>
      </c>
      <c r="F58" s="318">
        <v>20072</v>
      </c>
      <c r="G58" s="307">
        <f>ROUND(F58/$F$8*100,2)</f>
        <v>0</v>
      </c>
      <c r="H58" s="321">
        <f>D58-F58</f>
        <v>1208</v>
      </c>
      <c r="I58" s="322">
        <f>ROUND(H58/F58*100,2)</f>
        <v>6.02</v>
      </c>
      <c r="K58" s="218">
        <f>ROUND(A58/$A$8*100,5)</f>
        <v>3.63E-3</v>
      </c>
      <c r="L58" s="218">
        <f>ROUND(D58/$D$8*100,5)</f>
        <v>3.9899999999999996E-3</v>
      </c>
      <c r="M58" s="218">
        <f>ROUND(F58/$F$8*100,5)</f>
        <v>3.8300000000000001E-3</v>
      </c>
    </row>
    <row r="59" spans="1:13" s="30" customFormat="1" ht="20.3" customHeight="1">
      <c r="A59" s="304">
        <v>76824865</v>
      </c>
      <c r="B59" s="305">
        <f t="shared" si="4"/>
        <v>12.67</v>
      </c>
      <c r="C59" s="266" t="s">
        <v>1281</v>
      </c>
      <c r="D59" s="315">
        <f>D60+D65+D67</f>
        <v>973763</v>
      </c>
      <c r="E59" s="316">
        <f t="shared" si="11"/>
        <v>0.18</v>
      </c>
      <c r="F59" s="315">
        <f>F60+F65+F67</f>
        <v>917871</v>
      </c>
      <c r="G59" s="305">
        <f t="shared" si="9"/>
        <v>0.17</v>
      </c>
      <c r="H59" s="325">
        <f t="shared" si="0"/>
        <v>55892</v>
      </c>
      <c r="I59" s="326">
        <f t="shared" si="1"/>
        <v>6.09</v>
      </c>
      <c r="K59" s="217">
        <f t="shared" si="2"/>
        <v>12.674429999999999</v>
      </c>
      <c r="L59" s="217">
        <f t="shared" si="3"/>
        <v>0.18243999999999999</v>
      </c>
      <c r="M59" s="217">
        <f t="shared" si="10"/>
        <v>0.17499000000000001</v>
      </c>
    </row>
    <row r="60" spans="1:13" s="1010" customFormat="1" ht="22.75" customHeight="1">
      <c r="A60" s="306">
        <v>46962749</v>
      </c>
      <c r="B60" s="307">
        <f>ROUND(A60/$A$8*100,2)</f>
        <v>7.75</v>
      </c>
      <c r="C60" s="267" t="s">
        <v>1282</v>
      </c>
      <c r="D60" s="318">
        <f>SUM(D61:D64)</f>
        <v>905763</v>
      </c>
      <c r="E60" s="319">
        <f>ROUND(D60/$D$8*100,2)</f>
        <v>0.17</v>
      </c>
      <c r="F60" s="318">
        <f>SUM(F61:F64)</f>
        <v>849871</v>
      </c>
      <c r="G60" s="307">
        <f>ROUND(F60/$F$8*100,2)</f>
        <v>0.16</v>
      </c>
      <c r="H60" s="321">
        <f>D60-F60</f>
        <v>55892</v>
      </c>
      <c r="I60" s="322">
        <f>ROUND(H60/F60*100,2)</f>
        <v>6.58</v>
      </c>
      <c r="K60" s="218">
        <f>ROUND(A60/$A$8*100,5)</f>
        <v>7.7478300000000004</v>
      </c>
      <c r="L60" s="218">
        <f>ROUND(D60/$D$8*100,5)</f>
        <v>0.16969999999999999</v>
      </c>
      <c r="M60" s="218">
        <f>ROUND(F60/$F$8*100,5)</f>
        <v>0.16202</v>
      </c>
    </row>
    <row r="61" spans="1:13" s="1010" customFormat="1" ht="24.05" customHeight="1">
      <c r="A61" s="306">
        <v>46958525</v>
      </c>
      <c r="B61" s="307">
        <f>ROUND(A61/$A$8*100,2)</f>
        <v>7.75</v>
      </c>
      <c r="C61" s="267" t="s">
        <v>1254</v>
      </c>
      <c r="D61" s="318">
        <v>904909</v>
      </c>
      <c r="E61" s="319">
        <f>ROUND(D61/$D$8*100,2)</f>
        <v>0.17</v>
      </c>
      <c r="F61" s="318">
        <v>849034</v>
      </c>
      <c r="G61" s="307">
        <f>ROUND(F61/$F$8*100,2)</f>
        <v>0.16</v>
      </c>
      <c r="H61" s="321">
        <f>D61-F61</f>
        <v>55875</v>
      </c>
      <c r="I61" s="322">
        <f>ROUND(H61/F61*100,2)</f>
        <v>6.58</v>
      </c>
      <c r="K61" s="218">
        <f>ROUND(A61/$A$8*100,5)</f>
        <v>7.7471399999999999</v>
      </c>
      <c r="L61" s="218">
        <f>ROUND(D61/$D$8*100,5)</f>
        <v>0.16954</v>
      </c>
      <c r="M61" s="218">
        <f>ROUND(F61/$F$8*100,5)</f>
        <v>0.16186</v>
      </c>
    </row>
    <row r="62" spans="1:13" s="1010" customFormat="1" ht="21.6" customHeight="1" thickBot="1">
      <c r="A62" s="308">
        <v>21</v>
      </c>
      <c r="B62" s="309">
        <f>ROUND(A62/$A$8*100,2)</f>
        <v>0</v>
      </c>
      <c r="C62" s="272" t="s">
        <v>1257</v>
      </c>
      <c r="D62" s="323">
        <v>0</v>
      </c>
      <c r="E62" s="324">
        <f>ROUND(D62/$D$8*100,2)</f>
        <v>0</v>
      </c>
      <c r="F62" s="323">
        <v>0</v>
      </c>
      <c r="G62" s="309">
        <f>ROUND(F62/$F$8*100,2)</f>
        <v>0</v>
      </c>
      <c r="H62" s="323">
        <f>D62-F62</f>
        <v>0</v>
      </c>
      <c r="I62" s="722">
        <v>0</v>
      </c>
      <c r="K62" s="218">
        <f>ROUND(A62/$A$8*100,5)</f>
        <v>0</v>
      </c>
      <c r="L62" s="218">
        <f>ROUND(D62/$D$8*100,5)</f>
        <v>0</v>
      </c>
      <c r="M62" s="218">
        <f>ROUND(F62/$F$8*100,5)</f>
        <v>0</v>
      </c>
    </row>
    <row r="63" spans="1:13" s="1010" customFormat="1" ht="20.95" customHeight="1">
      <c r="A63" s="306">
        <v>4173</v>
      </c>
      <c r="B63" s="307">
        <f>ROUND(A63/$A$8*100,2)</f>
        <v>0</v>
      </c>
      <c r="C63" s="267" t="s">
        <v>1258</v>
      </c>
      <c r="D63" s="318">
        <v>824</v>
      </c>
      <c r="E63" s="319">
        <f>ROUND(D63/$D$8*100,2)</f>
        <v>0</v>
      </c>
      <c r="F63" s="318">
        <v>807</v>
      </c>
      <c r="G63" s="307">
        <f>ROUND(F63/$F$8*100,2)</f>
        <v>0</v>
      </c>
      <c r="H63" s="321">
        <f>D63-F63</f>
        <v>17</v>
      </c>
      <c r="I63" s="322">
        <f>ROUND(H63/F63*100,2)</f>
        <v>2.11</v>
      </c>
      <c r="K63" s="218">
        <f>ROUND(A63/$A$8*100,5)</f>
        <v>6.8999999999999997E-4</v>
      </c>
      <c r="L63" s="218">
        <f>ROUND(D63/$D$8*100,5)</f>
        <v>1.4999999999999999E-4</v>
      </c>
      <c r="M63" s="218">
        <f>ROUND(F63/$F$8*100,5)</f>
        <v>1.4999999999999999E-4</v>
      </c>
    </row>
    <row r="64" spans="1:13" s="1010" customFormat="1" ht="20.95" customHeight="1">
      <c r="A64" s="306">
        <v>30</v>
      </c>
      <c r="B64" s="307">
        <f t="shared" ref="B64" si="14">ROUND(A64/$A$8*100,2)</f>
        <v>0</v>
      </c>
      <c r="C64" s="783" t="s">
        <v>1268</v>
      </c>
      <c r="D64" s="318">
        <v>30</v>
      </c>
      <c r="E64" s="319">
        <f t="shared" ref="E64" si="15">ROUND(D64/$D$8*100,2)</f>
        <v>0</v>
      </c>
      <c r="F64" s="318">
        <v>30</v>
      </c>
      <c r="G64" s="307">
        <f t="shared" ref="G64" si="16">ROUND(F64/$F$8*100,2)</f>
        <v>0</v>
      </c>
      <c r="H64" s="318">
        <f t="shared" ref="H64" si="17">D64-F64</f>
        <v>0</v>
      </c>
      <c r="I64" s="320">
        <f>ROUND(H64/F64*100,2)</f>
        <v>0</v>
      </c>
      <c r="K64" s="218">
        <f t="shared" ref="K64" si="18">ROUND(A64/$A$8*100,5)</f>
        <v>0</v>
      </c>
      <c r="L64" s="218">
        <f t="shared" ref="L64" si="19">ROUND(D64/$D$8*100,5)</f>
        <v>1.0000000000000001E-5</v>
      </c>
      <c r="M64" s="218">
        <f t="shared" ref="M64" si="20">ROUND(F64/$F$8*100,5)</f>
        <v>1.0000000000000001E-5</v>
      </c>
    </row>
    <row r="65" spans="1:13" s="1010" customFormat="1" ht="26.05" customHeight="1">
      <c r="A65" s="306">
        <v>49000</v>
      </c>
      <c r="B65" s="307">
        <f t="shared" si="4"/>
        <v>0.01</v>
      </c>
      <c r="C65" s="267" t="s">
        <v>1283</v>
      </c>
      <c r="D65" s="318">
        <f>D66</f>
        <v>68000</v>
      </c>
      <c r="E65" s="319">
        <f t="shared" si="11"/>
        <v>0.01</v>
      </c>
      <c r="F65" s="318">
        <f>F66</f>
        <v>68000</v>
      </c>
      <c r="G65" s="307">
        <f t="shared" si="9"/>
        <v>0.01</v>
      </c>
      <c r="H65" s="318">
        <f t="shared" si="0"/>
        <v>0</v>
      </c>
      <c r="I65" s="320">
        <f t="shared" si="1"/>
        <v>0</v>
      </c>
      <c r="K65" s="218">
        <f t="shared" si="2"/>
        <v>8.0800000000000004E-3</v>
      </c>
      <c r="L65" s="218">
        <f t="shared" si="3"/>
        <v>1.274E-2</v>
      </c>
      <c r="M65" s="218">
        <f t="shared" si="10"/>
        <v>1.2959999999999999E-2</v>
      </c>
    </row>
    <row r="66" spans="1:13" s="1010" customFormat="1" ht="25.2" customHeight="1">
      <c r="A66" s="306">
        <v>49000</v>
      </c>
      <c r="B66" s="367">
        <f t="shared" si="4"/>
        <v>0.01</v>
      </c>
      <c r="C66" s="267" t="s">
        <v>1254</v>
      </c>
      <c r="D66" s="318">
        <v>68000</v>
      </c>
      <c r="E66" s="319">
        <f t="shared" si="11"/>
        <v>0.01</v>
      </c>
      <c r="F66" s="318">
        <v>68000</v>
      </c>
      <c r="G66" s="307">
        <f t="shared" si="9"/>
        <v>0.01</v>
      </c>
      <c r="H66" s="318">
        <f t="shared" si="0"/>
        <v>0</v>
      </c>
      <c r="I66" s="320">
        <f t="shared" si="1"/>
        <v>0</v>
      </c>
      <c r="K66" s="218">
        <f t="shared" si="2"/>
        <v>8.0800000000000004E-3</v>
      </c>
      <c r="L66" s="218">
        <f t="shared" si="3"/>
        <v>1.274E-2</v>
      </c>
      <c r="M66" s="218">
        <f t="shared" si="10"/>
        <v>1.2959999999999999E-2</v>
      </c>
    </row>
    <row r="67" spans="1:13" s="1010" customFormat="1" ht="22.1" customHeight="1">
      <c r="A67" s="306">
        <v>29813116</v>
      </c>
      <c r="B67" s="307">
        <f t="shared" si="4"/>
        <v>4.92</v>
      </c>
      <c r="C67" s="267" t="s">
        <v>1284</v>
      </c>
      <c r="D67" s="318">
        <f>D68+D69</f>
        <v>0</v>
      </c>
      <c r="E67" s="319">
        <f t="shared" si="11"/>
        <v>0</v>
      </c>
      <c r="F67" s="318">
        <f>F68+F69</f>
        <v>0</v>
      </c>
      <c r="G67" s="307">
        <f t="shared" si="9"/>
        <v>0</v>
      </c>
      <c r="H67" s="318">
        <f>H68</f>
        <v>0</v>
      </c>
      <c r="I67" s="320">
        <v>0</v>
      </c>
      <c r="K67" s="218">
        <f t="shared" si="2"/>
        <v>4.91852</v>
      </c>
      <c r="L67" s="218">
        <f t="shared" si="3"/>
        <v>0</v>
      </c>
      <c r="M67" s="218">
        <f t="shared" si="10"/>
        <v>0</v>
      </c>
    </row>
    <row r="68" spans="1:13" s="1010" customFormat="1" ht="22.1" customHeight="1">
      <c r="A68" s="306">
        <v>28120486</v>
      </c>
      <c r="B68" s="307">
        <f t="shared" si="4"/>
        <v>4.6399999999999997</v>
      </c>
      <c r="C68" s="267" t="s">
        <v>1285</v>
      </c>
      <c r="D68" s="318">
        <v>0</v>
      </c>
      <c r="E68" s="319">
        <f t="shared" si="11"/>
        <v>0</v>
      </c>
      <c r="F68" s="318">
        <v>0</v>
      </c>
      <c r="G68" s="307">
        <f t="shared" si="9"/>
        <v>0</v>
      </c>
      <c r="H68" s="318">
        <v>0</v>
      </c>
      <c r="I68" s="320">
        <v>0</v>
      </c>
      <c r="K68" s="218">
        <f t="shared" si="2"/>
        <v>4.6392699999999998</v>
      </c>
      <c r="L68" s="218">
        <f t="shared" si="3"/>
        <v>0</v>
      </c>
      <c r="M68" s="218">
        <f t="shared" si="10"/>
        <v>0</v>
      </c>
    </row>
    <row r="69" spans="1:13" s="1010" customFormat="1" ht="22.1" customHeight="1">
      <c r="A69" s="306">
        <v>1692630</v>
      </c>
      <c r="B69" s="307">
        <f t="shared" si="4"/>
        <v>0.28000000000000003</v>
      </c>
      <c r="C69" s="267" t="s">
        <v>1286</v>
      </c>
      <c r="D69" s="318">
        <v>0</v>
      </c>
      <c r="E69" s="319">
        <f t="shared" si="11"/>
        <v>0</v>
      </c>
      <c r="F69" s="318">
        <v>0</v>
      </c>
      <c r="G69" s="307">
        <f t="shared" si="9"/>
        <v>0</v>
      </c>
      <c r="H69" s="318">
        <v>0</v>
      </c>
      <c r="I69" s="320">
        <v>0</v>
      </c>
      <c r="K69" s="218">
        <f t="shared" si="2"/>
        <v>0.27925</v>
      </c>
      <c r="L69" s="218">
        <f t="shared" si="3"/>
        <v>0</v>
      </c>
      <c r="M69" s="218">
        <f t="shared" si="10"/>
        <v>0</v>
      </c>
    </row>
    <row r="70" spans="1:13" s="30" customFormat="1" ht="25.2" customHeight="1">
      <c r="A70" s="304">
        <v>527335020</v>
      </c>
      <c r="B70" s="305">
        <f t="shared" si="4"/>
        <v>87</v>
      </c>
      <c r="C70" s="266" t="s">
        <v>1287</v>
      </c>
      <c r="D70" s="315">
        <f>D71+D78+D83</f>
        <v>529456737</v>
      </c>
      <c r="E70" s="316">
        <f t="shared" si="11"/>
        <v>99.2</v>
      </c>
      <c r="F70" s="315">
        <f>F71+F78+F83</f>
        <v>520731174</v>
      </c>
      <c r="G70" s="305">
        <f t="shared" si="9"/>
        <v>99.27</v>
      </c>
      <c r="H70" s="315">
        <f t="shared" si="0"/>
        <v>8725563</v>
      </c>
      <c r="I70" s="317">
        <f t="shared" si="1"/>
        <v>1.68</v>
      </c>
      <c r="K70" s="217">
        <f t="shared" si="2"/>
        <v>86.998819999999995</v>
      </c>
      <c r="L70" s="217">
        <f t="shared" si="3"/>
        <v>99.199179999999998</v>
      </c>
      <c r="M70" s="217">
        <f t="shared" si="10"/>
        <v>99.27337</v>
      </c>
    </row>
    <row r="71" spans="1:13" s="1010" customFormat="1" ht="25.2" customHeight="1">
      <c r="A71" s="306">
        <v>450783076</v>
      </c>
      <c r="B71" s="307">
        <f t="shared" si="4"/>
        <v>74.37</v>
      </c>
      <c r="C71" s="267" t="s">
        <v>1288</v>
      </c>
      <c r="D71" s="318">
        <f>SUM(D72:D77)</f>
        <v>522018918</v>
      </c>
      <c r="E71" s="319">
        <f t="shared" si="11"/>
        <v>97.81</v>
      </c>
      <c r="F71" s="318">
        <f>SUM(F72:F77)</f>
        <v>512331819</v>
      </c>
      <c r="G71" s="307">
        <f t="shared" si="9"/>
        <v>97.67</v>
      </c>
      <c r="H71" s="318">
        <f>D71-F71</f>
        <v>9687099</v>
      </c>
      <c r="I71" s="320">
        <f>ROUND(H71/F71*100,2)</f>
        <v>1.89</v>
      </c>
      <c r="K71" s="218">
        <f t="shared" si="2"/>
        <v>74.369420000000005</v>
      </c>
      <c r="L71" s="218">
        <f t="shared" si="3"/>
        <v>97.805629999999994</v>
      </c>
      <c r="M71" s="218">
        <f t="shared" si="10"/>
        <v>97.6721</v>
      </c>
    </row>
    <row r="72" spans="1:13" s="1010" customFormat="1" ht="25.2" customHeight="1">
      <c r="A72" s="306">
        <v>415611928</v>
      </c>
      <c r="B72" s="307">
        <f t="shared" si="4"/>
        <v>68.569999999999993</v>
      </c>
      <c r="C72" s="267" t="s">
        <v>1285</v>
      </c>
      <c r="D72" s="318">
        <v>484271046</v>
      </c>
      <c r="E72" s="319">
        <f t="shared" si="11"/>
        <v>90.73</v>
      </c>
      <c r="F72" s="318">
        <v>475901712</v>
      </c>
      <c r="G72" s="307">
        <f t="shared" si="9"/>
        <v>90.73</v>
      </c>
      <c r="H72" s="318">
        <f t="shared" ref="H72:H130" si="21">D72-F72</f>
        <v>8369334</v>
      </c>
      <c r="I72" s="320">
        <f t="shared" ref="I72:I130" si="22">ROUND(H72/F72*100,2)</f>
        <v>1.76</v>
      </c>
      <c r="K72" s="218">
        <f t="shared" ref="K72:K131" si="23">ROUND(A72/$A$8*100,5)</f>
        <v>68.566940000000002</v>
      </c>
      <c r="L72" s="218">
        <f t="shared" ref="L72:L131" si="24">ROUND(D72/$D$8*100,5)</f>
        <v>90.733180000000004</v>
      </c>
      <c r="M72" s="218">
        <f t="shared" si="10"/>
        <v>90.726979999999998</v>
      </c>
    </row>
    <row r="73" spans="1:13" s="1010" customFormat="1" ht="25.2" customHeight="1">
      <c r="A73" s="306">
        <v>6953913</v>
      </c>
      <c r="B73" s="307">
        <f t="shared" ref="B73:B131" si="25">ROUND(A73/$A$8*100,2)</f>
        <v>1.1499999999999999</v>
      </c>
      <c r="C73" s="267" t="s">
        <v>1289</v>
      </c>
      <c r="D73" s="318">
        <v>7380933</v>
      </c>
      <c r="E73" s="319">
        <f t="shared" si="11"/>
        <v>1.38</v>
      </c>
      <c r="F73" s="318">
        <v>7158295</v>
      </c>
      <c r="G73" s="307">
        <f t="shared" si="9"/>
        <v>1.36</v>
      </c>
      <c r="H73" s="321">
        <f t="shared" si="21"/>
        <v>222638</v>
      </c>
      <c r="I73" s="322">
        <f t="shared" si="22"/>
        <v>3.11</v>
      </c>
      <c r="K73" s="218">
        <f t="shared" si="23"/>
        <v>1.14724</v>
      </c>
      <c r="L73" s="218">
        <f t="shared" si="24"/>
        <v>1.38289</v>
      </c>
      <c r="M73" s="218">
        <f t="shared" si="10"/>
        <v>1.36467</v>
      </c>
    </row>
    <row r="74" spans="1:13" s="1010" customFormat="1" ht="25.2" customHeight="1">
      <c r="A74" s="306">
        <v>20300207</v>
      </c>
      <c r="B74" s="307">
        <f t="shared" si="25"/>
        <v>3.35</v>
      </c>
      <c r="C74" s="267" t="s">
        <v>1286</v>
      </c>
      <c r="D74" s="318">
        <v>22823256</v>
      </c>
      <c r="E74" s="319">
        <f t="shared" si="11"/>
        <v>4.28</v>
      </c>
      <c r="F74" s="318">
        <v>21553412</v>
      </c>
      <c r="G74" s="307">
        <f t="shared" si="9"/>
        <v>4.1100000000000003</v>
      </c>
      <c r="H74" s="318">
        <f t="shared" si="21"/>
        <v>1269844</v>
      </c>
      <c r="I74" s="320">
        <f t="shared" si="22"/>
        <v>5.89</v>
      </c>
      <c r="K74" s="218">
        <f t="shared" si="23"/>
        <v>3.3490899999999999</v>
      </c>
      <c r="L74" s="218">
        <f t="shared" si="24"/>
        <v>4.2761699999999996</v>
      </c>
      <c r="M74" s="218">
        <f t="shared" si="10"/>
        <v>4.1089900000000004</v>
      </c>
    </row>
    <row r="75" spans="1:13" s="1010" customFormat="1" ht="25.2" customHeight="1">
      <c r="A75" s="306">
        <v>7383282</v>
      </c>
      <c r="B75" s="307">
        <f t="shared" si="25"/>
        <v>1.22</v>
      </c>
      <c r="C75" s="267" t="s">
        <v>965</v>
      </c>
      <c r="D75" s="318">
        <v>6794437</v>
      </c>
      <c r="E75" s="319">
        <f t="shared" si="11"/>
        <v>1.27</v>
      </c>
      <c r="F75" s="318">
        <v>7019274</v>
      </c>
      <c r="G75" s="307">
        <f t="shared" si="9"/>
        <v>1.34</v>
      </c>
      <c r="H75" s="321">
        <f t="shared" si="21"/>
        <v>-224837</v>
      </c>
      <c r="I75" s="322">
        <f t="shared" si="22"/>
        <v>-3.2</v>
      </c>
      <c r="K75" s="218">
        <f t="shared" si="23"/>
        <v>1.2180800000000001</v>
      </c>
      <c r="L75" s="218">
        <f t="shared" si="24"/>
        <v>1.27301</v>
      </c>
      <c r="M75" s="218">
        <f t="shared" si="10"/>
        <v>1.3381700000000001</v>
      </c>
    </row>
    <row r="76" spans="1:13" s="1010" customFormat="1" ht="21.6" customHeight="1">
      <c r="A76" s="306">
        <v>0</v>
      </c>
      <c r="B76" s="307">
        <f t="shared" si="25"/>
        <v>0</v>
      </c>
      <c r="C76" s="267" t="s">
        <v>967</v>
      </c>
      <c r="D76" s="318">
        <v>121849</v>
      </c>
      <c r="E76" s="319">
        <f t="shared" si="11"/>
        <v>0.02</v>
      </c>
      <c r="F76" s="318">
        <v>136894</v>
      </c>
      <c r="G76" s="307">
        <f t="shared" si="9"/>
        <v>0.03</v>
      </c>
      <c r="H76" s="321">
        <f t="shared" si="21"/>
        <v>-15045</v>
      </c>
      <c r="I76" s="322">
        <f t="shared" si="22"/>
        <v>-10.99</v>
      </c>
      <c r="K76" s="218">
        <f t="shared" si="23"/>
        <v>0</v>
      </c>
      <c r="L76" s="218">
        <f t="shared" si="24"/>
        <v>2.283E-2</v>
      </c>
      <c r="M76" s="218">
        <f t="shared" si="10"/>
        <v>2.6100000000000002E-2</v>
      </c>
    </row>
    <row r="77" spans="1:13" s="1010" customFormat="1" ht="25.2" customHeight="1">
      <c r="A77" s="306">
        <v>533746</v>
      </c>
      <c r="B77" s="307">
        <f t="shared" si="25"/>
        <v>0.09</v>
      </c>
      <c r="C77" s="783" t="s">
        <v>1290</v>
      </c>
      <c r="D77" s="318">
        <f>627697-300</f>
        <v>627397</v>
      </c>
      <c r="E77" s="319">
        <f t="shared" si="11"/>
        <v>0.12</v>
      </c>
      <c r="F77" s="318">
        <v>562232</v>
      </c>
      <c r="G77" s="307">
        <f t="shared" si="9"/>
        <v>0.11</v>
      </c>
      <c r="H77" s="321">
        <f>D77-F77</f>
        <v>65165</v>
      </c>
      <c r="I77" s="322">
        <f>ROUND(H77/F77*100,2)</f>
        <v>11.59</v>
      </c>
      <c r="K77" s="218">
        <f>ROUND(A77/$A$8*100,5)</f>
        <v>8.8059999999999999E-2</v>
      </c>
      <c r="L77" s="218">
        <f>ROUND(D77/$D$8*100,5)</f>
        <v>0.11755</v>
      </c>
      <c r="M77" s="218">
        <f>ROUND(F77/$F$8*100,5)</f>
        <v>0.10718999999999999</v>
      </c>
    </row>
    <row r="78" spans="1:13" s="1010" customFormat="1" ht="22.95" customHeight="1">
      <c r="A78" s="306">
        <v>76072861</v>
      </c>
      <c r="B78" s="307">
        <f t="shared" si="25"/>
        <v>12.55</v>
      </c>
      <c r="C78" s="267" t="s">
        <v>1291</v>
      </c>
      <c r="D78" s="318">
        <f>SUM(D79:D82)</f>
        <v>6687325</v>
      </c>
      <c r="E78" s="319">
        <f t="shared" si="11"/>
        <v>1.25</v>
      </c>
      <c r="F78" s="318">
        <f>SUM(F79:F82)</f>
        <v>7632570</v>
      </c>
      <c r="G78" s="307">
        <f t="shared" ref="G78:G131" si="26">ROUND(F78/$F$8*100,2)</f>
        <v>1.46</v>
      </c>
      <c r="H78" s="321">
        <f t="shared" si="21"/>
        <v>-945245</v>
      </c>
      <c r="I78" s="322">
        <f t="shared" si="22"/>
        <v>-12.38</v>
      </c>
      <c r="K78" s="218">
        <f t="shared" si="23"/>
        <v>12.550369999999999</v>
      </c>
      <c r="L78" s="218">
        <f t="shared" si="24"/>
        <v>1.2529399999999999</v>
      </c>
      <c r="M78" s="218">
        <f t="shared" si="10"/>
        <v>1.45509</v>
      </c>
    </row>
    <row r="79" spans="1:13" s="1010" customFormat="1" ht="21.6" customHeight="1">
      <c r="A79" s="306">
        <v>67181736</v>
      </c>
      <c r="B79" s="307">
        <f t="shared" si="25"/>
        <v>11.08</v>
      </c>
      <c r="C79" s="267" t="s">
        <v>1254</v>
      </c>
      <c r="D79" s="318">
        <v>0</v>
      </c>
      <c r="E79" s="319">
        <f t="shared" si="11"/>
        <v>0</v>
      </c>
      <c r="F79" s="318">
        <v>0</v>
      </c>
      <c r="G79" s="307">
        <f t="shared" si="26"/>
        <v>0</v>
      </c>
      <c r="H79" s="318">
        <f t="shared" si="21"/>
        <v>0</v>
      </c>
      <c r="I79" s="320">
        <v>0</v>
      </c>
      <c r="K79" s="218">
        <f t="shared" si="23"/>
        <v>11.08353</v>
      </c>
      <c r="L79" s="218">
        <f t="shared" si="24"/>
        <v>0</v>
      </c>
      <c r="M79" s="218">
        <f t="shared" si="10"/>
        <v>0</v>
      </c>
    </row>
    <row r="80" spans="1:13" s="1010" customFormat="1" ht="23.4" customHeight="1">
      <c r="A80" s="306">
        <v>1132056</v>
      </c>
      <c r="B80" s="307">
        <f t="shared" si="25"/>
        <v>0.19</v>
      </c>
      <c r="C80" s="267" t="s">
        <v>1257</v>
      </c>
      <c r="D80" s="318">
        <v>1159558</v>
      </c>
      <c r="E80" s="319">
        <f t="shared" si="11"/>
        <v>0.22</v>
      </c>
      <c r="F80" s="318">
        <v>1507257</v>
      </c>
      <c r="G80" s="307">
        <f t="shared" si="26"/>
        <v>0.28999999999999998</v>
      </c>
      <c r="H80" s="321">
        <f t="shared" si="21"/>
        <v>-347699</v>
      </c>
      <c r="I80" s="322">
        <f t="shared" si="22"/>
        <v>-23.07</v>
      </c>
      <c r="K80" s="218">
        <f t="shared" si="23"/>
        <v>0.18676000000000001</v>
      </c>
      <c r="L80" s="218">
        <f t="shared" si="24"/>
        <v>0.21726000000000001</v>
      </c>
      <c r="M80" s="218">
        <f t="shared" si="10"/>
        <v>0.28734999999999999</v>
      </c>
    </row>
    <row r="81" spans="1:16" s="1010" customFormat="1" ht="22.25" customHeight="1">
      <c r="A81" s="306">
        <v>7759070</v>
      </c>
      <c r="B81" s="307">
        <f t="shared" si="25"/>
        <v>1.28</v>
      </c>
      <c r="C81" s="267" t="s">
        <v>1258</v>
      </c>
      <c r="D81" s="318">
        <v>5527767</v>
      </c>
      <c r="E81" s="319">
        <f t="shared" ref="E81:E131" si="27">ROUND(D81/$D$8*100,2)</f>
        <v>1.04</v>
      </c>
      <c r="F81" s="318">
        <v>6125313</v>
      </c>
      <c r="G81" s="307">
        <f t="shared" si="26"/>
        <v>1.17</v>
      </c>
      <c r="H81" s="321">
        <f t="shared" si="21"/>
        <v>-597546</v>
      </c>
      <c r="I81" s="322">
        <f t="shared" si="22"/>
        <v>-9.76</v>
      </c>
      <c r="K81" s="218">
        <f t="shared" si="23"/>
        <v>1.2800800000000001</v>
      </c>
      <c r="L81" s="218">
        <f t="shared" si="24"/>
        <v>1.0356799999999999</v>
      </c>
      <c r="M81" s="218">
        <f t="shared" si="10"/>
        <v>1.16774</v>
      </c>
    </row>
    <row r="82" spans="1:16" s="1010" customFormat="1" ht="25.2" hidden="1" customHeight="1">
      <c r="A82" s="306">
        <v>0</v>
      </c>
      <c r="B82" s="367">
        <f t="shared" si="25"/>
        <v>0</v>
      </c>
      <c r="C82" s="267" t="s">
        <v>1292</v>
      </c>
      <c r="D82" s="318">
        <v>0</v>
      </c>
      <c r="E82" s="319">
        <f t="shared" si="27"/>
        <v>0</v>
      </c>
      <c r="F82" s="318">
        <v>0</v>
      </c>
      <c r="G82" s="307">
        <f t="shared" si="26"/>
        <v>0</v>
      </c>
      <c r="H82" s="318">
        <f t="shared" si="21"/>
        <v>0</v>
      </c>
      <c r="I82" s="320">
        <v>0</v>
      </c>
      <c r="K82" s="218">
        <f t="shared" si="23"/>
        <v>0</v>
      </c>
      <c r="L82" s="218">
        <f t="shared" si="24"/>
        <v>0</v>
      </c>
      <c r="M82" s="218">
        <f t="shared" si="10"/>
        <v>0</v>
      </c>
    </row>
    <row r="83" spans="1:16" s="1010" customFormat="1" ht="23.25" customHeight="1">
      <c r="A83" s="306">
        <v>479083</v>
      </c>
      <c r="B83" s="307">
        <f t="shared" si="25"/>
        <v>0.08</v>
      </c>
      <c r="C83" s="267" t="s">
        <v>1293</v>
      </c>
      <c r="D83" s="318">
        <f>SUM(D84:D89)</f>
        <v>750494</v>
      </c>
      <c r="E83" s="319">
        <f t="shared" si="27"/>
        <v>0.14000000000000001</v>
      </c>
      <c r="F83" s="318">
        <f>SUM(F84:F89)</f>
        <v>766785</v>
      </c>
      <c r="G83" s="307">
        <f t="shared" si="26"/>
        <v>0.15</v>
      </c>
      <c r="H83" s="321">
        <f t="shared" si="21"/>
        <v>-16291</v>
      </c>
      <c r="I83" s="322">
        <f t="shared" si="22"/>
        <v>-2.12</v>
      </c>
      <c r="K83" s="218">
        <f t="shared" si="23"/>
        <v>7.9039999999999999E-2</v>
      </c>
      <c r="L83" s="218">
        <f t="shared" si="24"/>
        <v>0.14061000000000001</v>
      </c>
      <c r="M83" s="218">
        <f t="shared" si="10"/>
        <v>0.14618</v>
      </c>
    </row>
    <row r="84" spans="1:16" s="1010" customFormat="1" ht="22.95" customHeight="1">
      <c r="A84" s="306">
        <v>441160</v>
      </c>
      <c r="B84" s="307">
        <f t="shared" si="25"/>
        <v>7.0000000000000007E-2</v>
      </c>
      <c r="C84" s="267" t="s">
        <v>1294</v>
      </c>
      <c r="D84" s="318">
        <v>681537</v>
      </c>
      <c r="E84" s="319">
        <f t="shared" si="27"/>
        <v>0.13</v>
      </c>
      <c r="F84" s="318">
        <v>679718</v>
      </c>
      <c r="G84" s="307">
        <f t="shared" si="26"/>
        <v>0.13</v>
      </c>
      <c r="H84" s="321">
        <f t="shared" si="21"/>
        <v>1819</v>
      </c>
      <c r="I84" s="322">
        <f t="shared" si="22"/>
        <v>0.27</v>
      </c>
      <c r="K84" s="218">
        <f t="shared" si="23"/>
        <v>7.2779999999999997E-2</v>
      </c>
      <c r="L84" s="218">
        <f t="shared" si="24"/>
        <v>0.12769</v>
      </c>
      <c r="M84" s="218">
        <f t="shared" si="10"/>
        <v>0.12958</v>
      </c>
    </row>
    <row r="85" spans="1:16" s="1010" customFormat="1" ht="25.55" customHeight="1">
      <c r="A85" s="306">
        <v>13150</v>
      </c>
      <c r="B85" s="307">
        <f t="shared" si="25"/>
        <v>0</v>
      </c>
      <c r="C85" s="267" t="s">
        <v>1295</v>
      </c>
      <c r="D85" s="318">
        <v>19994</v>
      </c>
      <c r="E85" s="319">
        <f t="shared" si="27"/>
        <v>0</v>
      </c>
      <c r="F85" s="318">
        <v>30661</v>
      </c>
      <c r="G85" s="307">
        <f t="shared" si="26"/>
        <v>0.01</v>
      </c>
      <c r="H85" s="321">
        <f t="shared" si="21"/>
        <v>-10667</v>
      </c>
      <c r="I85" s="322">
        <f t="shared" si="22"/>
        <v>-34.79</v>
      </c>
      <c r="K85" s="218">
        <f t="shared" si="23"/>
        <v>2.1700000000000001E-3</v>
      </c>
      <c r="L85" s="218">
        <f t="shared" si="24"/>
        <v>3.7499999999999999E-3</v>
      </c>
      <c r="M85" s="218">
        <f t="shared" si="10"/>
        <v>5.8500000000000002E-3</v>
      </c>
    </row>
    <row r="86" spans="1:16" s="1010" customFormat="1" ht="20.95" customHeight="1">
      <c r="A86" s="306">
        <v>15789</v>
      </c>
      <c r="B86" s="307">
        <f t="shared" si="25"/>
        <v>0</v>
      </c>
      <c r="C86" s="267" t="s">
        <v>1296</v>
      </c>
      <c r="D86" s="318">
        <v>40128</v>
      </c>
      <c r="E86" s="319">
        <f t="shared" si="27"/>
        <v>0.01</v>
      </c>
      <c r="F86" s="318">
        <v>45368</v>
      </c>
      <c r="G86" s="307">
        <f t="shared" si="26"/>
        <v>0.01</v>
      </c>
      <c r="H86" s="321">
        <f t="shared" si="21"/>
        <v>-5240</v>
      </c>
      <c r="I86" s="322">
        <f t="shared" si="22"/>
        <v>-11.55</v>
      </c>
      <c r="K86" s="218">
        <f t="shared" si="23"/>
        <v>2.5999999999999999E-3</v>
      </c>
      <c r="L86" s="218">
        <f t="shared" si="24"/>
        <v>7.5199999999999998E-3</v>
      </c>
      <c r="M86" s="218">
        <f t="shared" si="10"/>
        <v>8.6499999999999997E-3</v>
      </c>
    </row>
    <row r="87" spans="1:16" s="1010" customFormat="1" ht="19.149999999999999" customHeight="1">
      <c r="A87" s="306">
        <v>8196</v>
      </c>
      <c r="B87" s="307">
        <f t="shared" si="25"/>
        <v>0</v>
      </c>
      <c r="C87" s="267" t="s">
        <v>965</v>
      </c>
      <c r="D87" s="318">
        <v>8835</v>
      </c>
      <c r="E87" s="319">
        <f t="shared" si="27"/>
        <v>0</v>
      </c>
      <c r="F87" s="318">
        <v>11038</v>
      </c>
      <c r="G87" s="307">
        <f t="shared" si="26"/>
        <v>0</v>
      </c>
      <c r="H87" s="321">
        <f t="shared" si="21"/>
        <v>-2203</v>
      </c>
      <c r="I87" s="322">
        <f t="shared" si="22"/>
        <v>-19.96</v>
      </c>
      <c r="K87" s="218">
        <f t="shared" si="23"/>
        <v>1.3500000000000001E-3</v>
      </c>
      <c r="L87" s="218">
        <f t="shared" si="24"/>
        <v>1.66E-3</v>
      </c>
      <c r="M87" s="218">
        <f t="shared" si="10"/>
        <v>2.0999999999999999E-3</v>
      </c>
    </row>
    <row r="88" spans="1:16" s="1010" customFormat="1" ht="24.55" hidden="1" customHeight="1">
      <c r="A88" s="306">
        <v>0</v>
      </c>
      <c r="B88" s="307">
        <f t="shared" si="25"/>
        <v>0</v>
      </c>
      <c r="C88" s="267" t="s">
        <v>1297</v>
      </c>
      <c r="D88" s="318">
        <v>0</v>
      </c>
      <c r="E88" s="319">
        <f t="shared" si="27"/>
        <v>0</v>
      </c>
      <c r="F88" s="318">
        <v>0</v>
      </c>
      <c r="G88" s="307">
        <f t="shared" si="26"/>
        <v>0</v>
      </c>
      <c r="H88" s="318">
        <v>0</v>
      </c>
      <c r="I88" s="320">
        <v>0</v>
      </c>
      <c r="K88" s="218">
        <f t="shared" si="23"/>
        <v>0</v>
      </c>
      <c r="L88" s="218">
        <f t="shared" si="24"/>
        <v>0</v>
      </c>
      <c r="M88" s="218">
        <f t="shared" si="10"/>
        <v>0</v>
      </c>
    </row>
    <row r="89" spans="1:16" s="1010" customFormat="1" ht="22.6" customHeight="1">
      <c r="A89" s="306">
        <v>788</v>
      </c>
      <c r="B89" s="307">
        <f t="shared" si="25"/>
        <v>0</v>
      </c>
      <c r="C89" s="783" t="s">
        <v>1298</v>
      </c>
      <c r="D89" s="318">
        <v>0</v>
      </c>
      <c r="E89" s="319">
        <f t="shared" si="27"/>
        <v>0</v>
      </c>
      <c r="F89" s="318">
        <v>0</v>
      </c>
      <c r="G89" s="307">
        <f t="shared" si="26"/>
        <v>0</v>
      </c>
      <c r="H89" s="571">
        <f t="shared" si="21"/>
        <v>0</v>
      </c>
      <c r="I89" s="572">
        <v>0</v>
      </c>
      <c r="K89" s="218">
        <f t="shared" si="23"/>
        <v>1.2999999999999999E-4</v>
      </c>
      <c r="L89" s="218">
        <f t="shared" si="24"/>
        <v>0</v>
      </c>
      <c r="M89" s="218">
        <f t="shared" si="10"/>
        <v>0</v>
      </c>
    </row>
    <row r="90" spans="1:16" s="30" customFormat="1" ht="24.05" customHeight="1">
      <c r="A90" s="304">
        <v>2266255</v>
      </c>
      <c r="B90" s="305">
        <f t="shared" si="25"/>
        <v>0.37</v>
      </c>
      <c r="C90" s="266" t="s">
        <v>1299</v>
      </c>
      <c r="D90" s="315">
        <f>SUM(D91:D91)</f>
        <v>3512763</v>
      </c>
      <c r="E90" s="316">
        <f t="shared" si="27"/>
        <v>0.66</v>
      </c>
      <c r="F90" s="315">
        <f>SUM(F91:F91)</f>
        <v>2982815</v>
      </c>
      <c r="G90" s="305">
        <f t="shared" si="26"/>
        <v>0.56999999999999995</v>
      </c>
      <c r="H90" s="325">
        <f t="shared" si="21"/>
        <v>529948</v>
      </c>
      <c r="I90" s="326">
        <f t="shared" si="22"/>
        <v>17.77</v>
      </c>
      <c r="K90" s="217">
        <f t="shared" si="23"/>
        <v>0.37387999999999999</v>
      </c>
      <c r="L90" s="217">
        <f t="shared" si="24"/>
        <v>0.65815000000000001</v>
      </c>
      <c r="M90" s="217">
        <f t="shared" si="10"/>
        <v>0.56864999999999999</v>
      </c>
    </row>
    <row r="91" spans="1:16" s="1010" customFormat="1" ht="23.4" customHeight="1" thickBot="1">
      <c r="A91" s="308">
        <v>2266255</v>
      </c>
      <c r="B91" s="309">
        <f t="shared" si="25"/>
        <v>0.37</v>
      </c>
      <c r="C91" s="272" t="s">
        <v>1300</v>
      </c>
      <c r="D91" s="323">
        <f>SUM(D92:D95)</f>
        <v>3512763</v>
      </c>
      <c r="E91" s="324">
        <f t="shared" si="27"/>
        <v>0.66</v>
      </c>
      <c r="F91" s="323">
        <f>SUM(F92:F95)</f>
        <v>2982815</v>
      </c>
      <c r="G91" s="309">
        <f t="shared" si="26"/>
        <v>0.56999999999999995</v>
      </c>
      <c r="H91" s="337">
        <f t="shared" si="21"/>
        <v>529948</v>
      </c>
      <c r="I91" s="338">
        <f t="shared" si="22"/>
        <v>17.77</v>
      </c>
      <c r="K91" s="218">
        <f t="shared" si="23"/>
        <v>0.37387999999999999</v>
      </c>
      <c r="L91" s="218">
        <f t="shared" si="24"/>
        <v>0.65815000000000001</v>
      </c>
      <c r="M91" s="218">
        <f t="shared" si="10"/>
        <v>0.56864999999999999</v>
      </c>
    </row>
    <row r="92" spans="1:16" s="1010" customFormat="1" ht="22.95" customHeight="1">
      <c r="A92" s="306">
        <v>8</v>
      </c>
      <c r="B92" s="307">
        <f t="shared" si="25"/>
        <v>0</v>
      </c>
      <c r="C92" s="267" t="s">
        <v>1301</v>
      </c>
      <c r="D92" s="318">
        <v>0</v>
      </c>
      <c r="E92" s="319">
        <f t="shared" si="27"/>
        <v>0</v>
      </c>
      <c r="F92" s="318">
        <v>0</v>
      </c>
      <c r="G92" s="307">
        <f t="shared" si="26"/>
        <v>0</v>
      </c>
      <c r="H92" s="318">
        <f t="shared" si="21"/>
        <v>0</v>
      </c>
      <c r="I92" s="320">
        <v>0</v>
      </c>
      <c r="K92" s="218">
        <f t="shared" si="23"/>
        <v>0</v>
      </c>
      <c r="L92" s="218">
        <f t="shared" si="24"/>
        <v>0</v>
      </c>
      <c r="M92" s="218">
        <f t="shared" si="10"/>
        <v>0</v>
      </c>
      <c r="P92" s="887"/>
    </row>
    <row r="93" spans="1:16" s="1010" customFormat="1" ht="22.95" customHeight="1">
      <c r="A93" s="306">
        <v>2139186</v>
      </c>
      <c r="B93" s="307">
        <f t="shared" si="25"/>
        <v>0.35</v>
      </c>
      <c r="C93" s="267" t="s">
        <v>1296</v>
      </c>
      <c r="D93" s="318">
        <v>3428053</v>
      </c>
      <c r="E93" s="319">
        <f t="shared" si="27"/>
        <v>0.64</v>
      </c>
      <c r="F93" s="318">
        <v>2897500</v>
      </c>
      <c r="G93" s="307">
        <f t="shared" si="26"/>
        <v>0.55000000000000004</v>
      </c>
      <c r="H93" s="318">
        <f t="shared" si="21"/>
        <v>530553</v>
      </c>
      <c r="I93" s="320">
        <f t="shared" si="22"/>
        <v>18.309999999999999</v>
      </c>
      <c r="K93" s="218">
        <f t="shared" si="23"/>
        <v>0.35292000000000001</v>
      </c>
      <c r="L93" s="218">
        <f t="shared" si="24"/>
        <v>0.64227999999999996</v>
      </c>
      <c r="M93" s="218">
        <f t="shared" si="10"/>
        <v>0.55239000000000005</v>
      </c>
      <c r="P93" s="887"/>
    </row>
    <row r="94" spans="1:16" s="1010" customFormat="1" ht="22.25" customHeight="1">
      <c r="A94" s="306">
        <v>75521</v>
      </c>
      <c r="B94" s="307">
        <f t="shared" si="25"/>
        <v>0.01</v>
      </c>
      <c r="C94" s="267" t="s">
        <v>1302</v>
      </c>
      <c r="D94" s="318">
        <v>32750</v>
      </c>
      <c r="E94" s="319">
        <f t="shared" si="27"/>
        <v>0.01</v>
      </c>
      <c r="F94" s="318">
        <v>36635</v>
      </c>
      <c r="G94" s="307">
        <f t="shared" si="26"/>
        <v>0.01</v>
      </c>
      <c r="H94" s="321">
        <f t="shared" si="21"/>
        <v>-3885</v>
      </c>
      <c r="I94" s="322">
        <f t="shared" si="22"/>
        <v>-10.6</v>
      </c>
      <c r="K94" s="218">
        <f t="shared" si="23"/>
        <v>1.2460000000000001E-2</v>
      </c>
      <c r="L94" s="218">
        <f t="shared" si="24"/>
        <v>6.1399999999999996E-3</v>
      </c>
      <c r="M94" s="218">
        <f t="shared" si="10"/>
        <v>6.9800000000000001E-3</v>
      </c>
    </row>
    <row r="95" spans="1:16" s="1010" customFormat="1" ht="24.25" customHeight="1">
      <c r="A95" s="306">
        <v>51540</v>
      </c>
      <c r="B95" s="307">
        <f t="shared" si="25"/>
        <v>0.01</v>
      </c>
      <c r="C95" s="783" t="s">
        <v>1298</v>
      </c>
      <c r="D95" s="318">
        <v>51960</v>
      </c>
      <c r="E95" s="319">
        <f t="shared" si="27"/>
        <v>0.01</v>
      </c>
      <c r="F95" s="318">
        <v>48680</v>
      </c>
      <c r="G95" s="307">
        <f t="shared" si="26"/>
        <v>0.01</v>
      </c>
      <c r="H95" s="321">
        <f t="shared" si="21"/>
        <v>3280</v>
      </c>
      <c r="I95" s="322">
        <f t="shared" si="22"/>
        <v>6.74</v>
      </c>
      <c r="K95" s="218">
        <f t="shared" si="23"/>
        <v>8.5000000000000006E-3</v>
      </c>
      <c r="L95" s="218">
        <f t="shared" si="24"/>
        <v>9.7400000000000004E-3</v>
      </c>
      <c r="M95" s="218">
        <f t="shared" si="10"/>
        <v>9.2800000000000001E-3</v>
      </c>
    </row>
    <row r="96" spans="1:16" s="30" customFormat="1" ht="24.25" customHeight="1">
      <c r="A96" s="311">
        <v>-307729</v>
      </c>
      <c r="B96" s="312">
        <f t="shared" si="25"/>
        <v>-0.05</v>
      </c>
      <c r="C96" s="266" t="s">
        <v>1303</v>
      </c>
      <c r="D96" s="325">
        <f>+D8-D55</f>
        <v>-233594</v>
      </c>
      <c r="E96" s="312">
        <f t="shared" si="27"/>
        <v>-0.04</v>
      </c>
      <c r="F96" s="325">
        <f>+F8-F55</f>
        <v>-109282</v>
      </c>
      <c r="G96" s="312">
        <f t="shared" si="26"/>
        <v>-0.02</v>
      </c>
      <c r="H96" s="325">
        <f t="shared" si="21"/>
        <v>-124312</v>
      </c>
      <c r="I96" s="326">
        <f t="shared" si="22"/>
        <v>113.75</v>
      </c>
      <c r="K96" s="217">
        <f t="shared" si="23"/>
        <v>-5.0770000000000003E-2</v>
      </c>
      <c r="L96" s="217">
        <f t="shared" si="24"/>
        <v>-4.3770000000000003E-2</v>
      </c>
      <c r="M96" s="217">
        <f t="shared" si="10"/>
        <v>-2.0830000000000001E-2</v>
      </c>
    </row>
    <row r="97" spans="1:13" s="30" customFormat="1" ht="24.25" customHeight="1">
      <c r="A97" s="313">
        <v>309485</v>
      </c>
      <c r="B97" s="305">
        <f t="shared" si="25"/>
        <v>0.05</v>
      </c>
      <c r="C97" s="266" t="s">
        <v>1304</v>
      </c>
      <c r="D97" s="329">
        <f>D98+D104</f>
        <v>233631</v>
      </c>
      <c r="E97" s="316">
        <f t="shared" si="27"/>
        <v>0.04</v>
      </c>
      <c r="F97" s="329">
        <f>F98+F104</f>
        <v>109365</v>
      </c>
      <c r="G97" s="305">
        <f t="shared" si="26"/>
        <v>0.02</v>
      </c>
      <c r="H97" s="325">
        <f t="shared" si="21"/>
        <v>124266</v>
      </c>
      <c r="I97" s="326">
        <f t="shared" si="22"/>
        <v>113.63</v>
      </c>
      <c r="K97" s="217">
        <f t="shared" si="23"/>
        <v>5.1060000000000001E-2</v>
      </c>
      <c r="L97" s="217">
        <f t="shared" si="24"/>
        <v>4.3770000000000003E-2</v>
      </c>
      <c r="M97" s="217">
        <f t="shared" si="10"/>
        <v>2.085E-2</v>
      </c>
    </row>
    <row r="98" spans="1:13" s="30" customFormat="1" ht="22.25" customHeight="1">
      <c r="A98" s="304">
        <v>574</v>
      </c>
      <c r="B98" s="307">
        <f t="shared" si="25"/>
        <v>0</v>
      </c>
      <c r="C98" s="266" t="s">
        <v>1305</v>
      </c>
      <c r="D98" s="315">
        <f>D99</f>
        <v>387</v>
      </c>
      <c r="E98" s="319">
        <f t="shared" si="27"/>
        <v>0</v>
      </c>
      <c r="F98" s="315">
        <f>F99</f>
        <v>385</v>
      </c>
      <c r="G98" s="307">
        <f t="shared" si="26"/>
        <v>0</v>
      </c>
      <c r="H98" s="325">
        <f t="shared" si="21"/>
        <v>2</v>
      </c>
      <c r="I98" s="326">
        <f t="shared" si="22"/>
        <v>0.52</v>
      </c>
      <c r="K98" s="217">
        <f t="shared" si="23"/>
        <v>9.0000000000000006E-5</v>
      </c>
      <c r="L98" s="217">
        <f t="shared" si="24"/>
        <v>6.9999999999999994E-5</v>
      </c>
      <c r="M98" s="217">
        <f t="shared" si="10"/>
        <v>6.9999999999999994E-5</v>
      </c>
    </row>
    <row r="99" spans="1:13" s="1010" customFormat="1" ht="24.25" customHeight="1">
      <c r="A99" s="306">
        <v>574</v>
      </c>
      <c r="B99" s="307">
        <f t="shared" si="25"/>
        <v>0</v>
      </c>
      <c r="C99" s="267" t="s">
        <v>1306</v>
      </c>
      <c r="D99" s="318">
        <f>SUM(D100:D103)</f>
        <v>387</v>
      </c>
      <c r="E99" s="319">
        <f t="shared" si="27"/>
        <v>0</v>
      </c>
      <c r="F99" s="318">
        <f>SUM(F100:F103)</f>
        <v>385</v>
      </c>
      <c r="G99" s="307">
        <f t="shared" si="26"/>
        <v>0</v>
      </c>
      <c r="H99" s="321">
        <f t="shared" si="21"/>
        <v>2</v>
      </c>
      <c r="I99" s="322">
        <f t="shared" si="22"/>
        <v>0.52</v>
      </c>
      <c r="K99" s="218">
        <f t="shared" si="23"/>
        <v>9.0000000000000006E-5</v>
      </c>
      <c r="L99" s="218">
        <f t="shared" si="24"/>
        <v>6.9999999999999994E-5</v>
      </c>
      <c r="M99" s="218">
        <f t="shared" si="10"/>
        <v>6.9999999999999994E-5</v>
      </c>
    </row>
    <row r="100" spans="1:13" s="1010" customFormat="1" ht="24.25" customHeight="1">
      <c r="A100" s="306">
        <v>426</v>
      </c>
      <c r="B100" s="307">
        <f t="shared" si="25"/>
        <v>0</v>
      </c>
      <c r="C100" s="267" t="s">
        <v>1254</v>
      </c>
      <c r="D100" s="318">
        <v>320</v>
      </c>
      <c r="E100" s="319">
        <f t="shared" si="27"/>
        <v>0</v>
      </c>
      <c r="F100" s="318">
        <v>313</v>
      </c>
      <c r="G100" s="307">
        <f t="shared" si="26"/>
        <v>0</v>
      </c>
      <c r="H100" s="321">
        <f t="shared" si="21"/>
        <v>7</v>
      </c>
      <c r="I100" s="322">
        <f t="shared" si="22"/>
        <v>2.2400000000000002</v>
      </c>
      <c r="K100" s="218">
        <f t="shared" si="23"/>
        <v>6.9999999999999994E-5</v>
      </c>
      <c r="L100" s="218">
        <f t="shared" si="24"/>
        <v>6.0000000000000002E-5</v>
      </c>
      <c r="M100" s="218">
        <f t="shared" si="10"/>
        <v>6.0000000000000002E-5</v>
      </c>
    </row>
    <row r="101" spans="1:13" s="1010" customFormat="1" ht="24.25" customHeight="1">
      <c r="A101" s="306">
        <v>36</v>
      </c>
      <c r="B101" s="307">
        <f t="shared" si="25"/>
        <v>0</v>
      </c>
      <c r="C101" s="267" t="s">
        <v>1257</v>
      </c>
      <c r="D101" s="318">
        <v>21</v>
      </c>
      <c r="E101" s="319">
        <f t="shared" si="27"/>
        <v>0</v>
      </c>
      <c r="F101" s="318">
        <v>27</v>
      </c>
      <c r="G101" s="307">
        <f t="shared" si="26"/>
        <v>0</v>
      </c>
      <c r="H101" s="321">
        <f t="shared" si="21"/>
        <v>-6</v>
      </c>
      <c r="I101" s="322">
        <f t="shared" si="22"/>
        <v>-22.22</v>
      </c>
      <c r="K101" s="218">
        <f t="shared" si="23"/>
        <v>1.0000000000000001E-5</v>
      </c>
      <c r="L101" s="218">
        <f t="shared" si="24"/>
        <v>0</v>
      </c>
      <c r="M101" s="218">
        <f t="shared" si="10"/>
        <v>1.0000000000000001E-5</v>
      </c>
    </row>
    <row r="102" spans="1:13" s="1010" customFormat="1" ht="24.25" customHeight="1">
      <c r="A102" s="306">
        <v>110</v>
      </c>
      <c r="B102" s="307">
        <f t="shared" si="25"/>
        <v>0</v>
      </c>
      <c r="C102" s="267" t="s">
        <v>1258</v>
      </c>
      <c r="D102" s="318">
        <v>42</v>
      </c>
      <c r="E102" s="319">
        <f t="shared" si="27"/>
        <v>0</v>
      </c>
      <c r="F102" s="318">
        <v>35</v>
      </c>
      <c r="G102" s="307">
        <f t="shared" si="26"/>
        <v>0</v>
      </c>
      <c r="H102" s="321">
        <f t="shared" si="21"/>
        <v>7</v>
      </c>
      <c r="I102" s="322">
        <f t="shared" si="22"/>
        <v>20</v>
      </c>
      <c r="K102" s="218">
        <f t="shared" si="23"/>
        <v>2.0000000000000002E-5</v>
      </c>
      <c r="L102" s="218">
        <f t="shared" si="24"/>
        <v>1.0000000000000001E-5</v>
      </c>
      <c r="M102" s="218">
        <f t="shared" si="10"/>
        <v>1.0000000000000001E-5</v>
      </c>
    </row>
    <row r="103" spans="1:13" s="1010" customFormat="1" ht="24.25" customHeight="1">
      <c r="A103" s="306">
        <v>2</v>
      </c>
      <c r="B103" s="307">
        <f t="shared" si="25"/>
        <v>0</v>
      </c>
      <c r="C103" s="267" t="s">
        <v>965</v>
      </c>
      <c r="D103" s="318">
        <v>4</v>
      </c>
      <c r="E103" s="319">
        <f t="shared" si="27"/>
        <v>0</v>
      </c>
      <c r="F103" s="318">
        <v>10</v>
      </c>
      <c r="G103" s="307">
        <f t="shared" si="26"/>
        <v>0</v>
      </c>
      <c r="H103" s="321">
        <f t="shared" si="21"/>
        <v>-6</v>
      </c>
      <c r="I103" s="322">
        <f>ROUND(H103/F103*100,2)</f>
        <v>-60</v>
      </c>
      <c r="K103" s="218">
        <f t="shared" si="23"/>
        <v>0</v>
      </c>
      <c r="L103" s="218">
        <f t="shared" si="24"/>
        <v>0</v>
      </c>
      <c r="M103" s="218">
        <f t="shared" si="10"/>
        <v>0</v>
      </c>
    </row>
    <row r="104" spans="1:13" s="30" customFormat="1" ht="24.25" customHeight="1">
      <c r="A104" s="304">
        <v>308911</v>
      </c>
      <c r="B104" s="305">
        <f t="shared" si="25"/>
        <v>0.05</v>
      </c>
      <c r="C104" s="266" t="s">
        <v>1307</v>
      </c>
      <c r="D104" s="315">
        <f>D105+D110+D116</f>
        <v>233244</v>
      </c>
      <c r="E104" s="316">
        <f t="shared" si="27"/>
        <v>0.04</v>
      </c>
      <c r="F104" s="315">
        <f>F105+F110+F116</f>
        <v>108980</v>
      </c>
      <c r="G104" s="305">
        <f t="shared" si="26"/>
        <v>0.02</v>
      </c>
      <c r="H104" s="325">
        <f t="shared" si="21"/>
        <v>124264</v>
      </c>
      <c r="I104" s="326">
        <f t="shared" si="22"/>
        <v>114.02</v>
      </c>
      <c r="K104" s="217">
        <f t="shared" si="23"/>
        <v>5.0959999999999998E-2</v>
      </c>
      <c r="L104" s="217">
        <f t="shared" si="24"/>
        <v>4.3700000000000003E-2</v>
      </c>
      <c r="M104" s="217">
        <f t="shared" si="10"/>
        <v>2.078E-2</v>
      </c>
    </row>
    <row r="105" spans="1:13" s="1010" customFormat="1" ht="24.25" customHeight="1">
      <c r="A105" s="306">
        <v>3794</v>
      </c>
      <c r="B105" s="307">
        <f t="shared" si="25"/>
        <v>0</v>
      </c>
      <c r="C105" s="267" t="s">
        <v>1308</v>
      </c>
      <c r="D105" s="318">
        <f>D106+D107+D108+D109</f>
        <v>4450</v>
      </c>
      <c r="E105" s="319">
        <f t="shared" si="27"/>
        <v>0</v>
      </c>
      <c r="F105" s="318">
        <f>F106+F107+F108+F109</f>
        <v>4340</v>
      </c>
      <c r="G105" s="307">
        <f t="shared" si="26"/>
        <v>0</v>
      </c>
      <c r="H105" s="318">
        <f>H106+H107+H108+H109</f>
        <v>110</v>
      </c>
      <c r="I105" s="322">
        <f t="shared" si="22"/>
        <v>2.5299999999999998</v>
      </c>
      <c r="K105" s="218">
        <f t="shared" si="23"/>
        <v>6.3000000000000003E-4</v>
      </c>
      <c r="L105" s="218">
        <f t="shared" si="24"/>
        <v>8.3000000000000001E-4</v>
      </c>
      <c r="M105" s="218">
        <f t="shared" si="10"/>
        <v>8.3000000000000001E-4</v>
      </c>
    </row>
    <row r="106" spans="1:13" s="1010" customFormat="1" ht="22.25" customHeight="1">
      <c r="A106" s="306">
        <v>611</v>
      </c>
      <c r="B106" s="367">
        <f t="shared" si="25"/>
        <v>0</v>
      </c>
      <c r="C106" s="267" t="s">
        <v>1254</v>
      </c>
      <c r="D106" s="318">
        <v>700</v>
      </c>
      <c r="E106" s="319">
        <f t="shared" si="27"/>
        <v>0</v>
      </c>
      <c r="F106" s="318">
        <v>700</v>
      </c>
      <c r="G106" s="307">
        <f t="shared" si="26"/>
        <v>0</v>
      </c>
      <c r="H106" s="318">
        <f t="shared" si="21"/>
        <v>0</v>
      </c>
      <c r="I106" s="320">
        <v>0</v>
      </c>
      <c r="K106" s="218">
        <f t="shared" si="23"/>
        <v>1E-4</v>
      </c>
      <c r="L106" s="218">
        <f t="shared" si="24"/>
        <v>1.2999999999999999E-4</v>
      </c>
      <c r="M106" s="218">
        <f t="shared" si="10"/>
        <v>1.2999999999999999E-4</v>
      </c>
    </row>
    <row r="107" spans="1:13" s="1010" customFormat="1" ht="24.25" hidden="1" customHeight="1">
      <c r="A107" s="306">
        <v>0</v>
      </c>
      <c r="B107" s="367">
        <f t="shared" si="25"/>
        <v>0</v>
      </c>
      <c r="C107" s="267" t="s">
        <v>1258</v>
      </c>
      <c r="D107" s="318">
        <v>0</v>
      </c>
      <c r="E107" s="319">
        <f t="shared" si="27"/>
        <v>0</v>
      </c>
      <c r="F107" s="318">
        <v>0</v>
      </c>
      <c r="G107" s="307">
        <f t="shared" si="26"/>
        <v>0</v>
      </c>
      <c r="H107" s="318">
        <f t="shared" si="21"/>
        <v>0</v>
      </c>
      <c r="I107" s="320">
        <v>0</v>
      </c>
      <c r="K107" s="218">
        <f t="shared" si="23"/>
        <v>0</v>
      </c>
      <c r="L107" s="218">
        <f t="shared" si="24"/>
        <v>0</v>
      </c>
      <c r="M107" s="218">
        <f t="shared" si="10"/>
        <v>0</v>
      </c>
    </row>
    <row r="108" spans="1:13" s="1010" customFormat="1" ht="25.2" customHeight="1">
      <c r="A108" s="306">
        <v>1</v>
      </c>
      <c r="B108" s="367">
        <f t="shared" si="25"/>
        <v>0</v>
      </c>
      <c r="C108" s="783" t="s">
        <v>1309</v>
      </c>
      <c r="D108" s="318">
        <v>0</v>
      </c>
      <c r="E108" s="319">
        <f t="shared" si="27"/>
        <v>0</v>
      </c>
      <c r="F108" s="318">
        <v>0</v>
      </c>
      <c r="G108" s="307">
        <f t="shared" si="26"/>
        <v>0</v>
      </c>
      <c r="H108" s="318">
        <f t="shared" si="21"/>
        <v>0</v>
      </c>
      <c r="I108" s="320">
        <v>0</v>
      </c>
      <c r="K108" s="218">
        <f t="shared" si="23"/>
        <v>0</v>
      </c>
      <c r="L108" s="218">
        <f t="shared" si="24"/>
        <v>0</v>
      </c>
      <c r="M108" s="218">
        <f t="shared" si="10"/>
        <v>0</v>
      </c>
    </row>
    <row r="109" spans="1:13" s="781" customFormat="1" ht="26.05" customHeight="1">
      <c r="A109" s="306">
        <v>3183</v>
      </c>
      <c r="B109" s="780">
        <f t="shared" si="25"/>
        <v>0</v>
      </c>
      <c r="C109" s="783" t="s">
        <v>1298</v>
      </c>
      <c r="D109" s="318">
        <v>3750</v>
      </c>
      <c r="E109" s="1004">
        <f t="shared" si="27"/>
        <v>0</v>
      </c>
      <c r="F109" s="318">
        <v>3640</v>
      </c>
      <c r="G109" s="1005">
        <f t="shared" si="26"/>
        <v>0</v>
      </c>
      <c r="H109" s="318">
        <f t="shared" si="21"/>
        <v>110</v>
      </c>
      <c r="I109" s="320">
        <f t="shared" si="22"/>
        <v>3.02</v>
      </c>
      <c r="K109" s="782">
        <f t="shared" si="23"/>
        <v>5.2999999999999998E-4</v>
      </c>
      <c r="L109" s="782">
        <f t="shared" si="24"/>
        <v>6.9999999999999999E-4</v>
      </c>
      <c r="M109" s="782">
        <f t="shared" si="10"/>
        <v>6.8999999999999997E-4</v>
      </c>
    </row>
    <row r="110" spans="1:13" s="1010" customFormat="1" ht="26.2" customHeight="1">
      <c r="A110" s="306">
        <v>277127</v>
      </c>
      <c r="B110" s="307">
        <f t="shared" si="25"/>
        <v>0.05</v>
      </c>
      <c r="C110" s="267" t="s">
        <v>1310</v>
      </c>
      <c r="D110" s="318">
        <f>SUM(D111:D115)</f>
        <v>223634</v>
      </c>
      <c r="E110" s="319">
        <f t="shared" si="27"/>
        <v>0.04</v>
      </c>
      <c r="F110" s="318">
        <f>SUM(F111:F115)</f>
        <v>99661</v>
      </c>
      <c r="G110" s="307">
        <f t="shared" si="26"/>
        <v>0.02</v>
      </c>
      <c r="H110" s="321">
        <f t="shared" si="21"/>
        <v>123973</v>
      </c>
      <c r="I110" s="322">
        <f t="shared" si="22"/>
        <v>124.39</v>
      </c>
      <c r="K110" s="218">
        <f t="shared" si="23"/>
        <v>4.5719999999999997E-2</v>
      </c>
      <c r="L110" s="218">
        <f t="shared" si="24"/>
        <v>4.19E-2</v>
      </c>
      <c r="M110" s="218">
        <f t="shared" si="10"/>
        <v>1.9E-2</v>
      </c>
    </row>
    <row r="111" spans="1:13" s="1010" customFormat="1" ht="25.2" customHeight="1">
      <c r="A111" s="306">
        <v>262272</v>
      </c>
      <c r="B111" s="307">
        <f t="shared" si="25"/>
        <v>0.04</v>
      </c>
      <c r="C111" s="267" t="s">
        <v>1294</v>
      </c>
      <c r="D111" s="318">
        <v>210435</v>
      </c>
      <c r="E111" s="319">
        <f t="shared" si="27"/>
        <v>0.04</v>
      </c>
      <c r="F111" s="318">
        <v>88401</v>
      </c>
      <c r="G111" s="307">
        <f t="shared" si="26"/>
        <v>0.02</v>
      </c>
      <c r="H111" s="321">
        <f t="shared" si="21"/>
        <v>122034</v>
      </c>
      <c r="I111" s="320">
        <f t="shared" si="22"/>
        <v>138.05000000000001</v>
      </c>
      <c r="K111" s="218">
        <f t="shared" si="23"/>
        <v>4.3270000000000003E-2</v>
      </c>
      <c r="L111" s="218">
        <f t="shared" si="24"/>
        <v>3.943E-2</v>
      </c>
      <c r="M111" s="218">
        <f t="shared" si="10"/>
        <v>1.685E-2</v>
      </c>
    </row>
    <row r="112" spans="1:13" s="1010" customFormat="1" ht="26.05" customHeight="1">
      <c r="A112" s="306">
        <v>528</v>
      </c>
      <c r="B112" s="307">
        <f t="shared" si="25"/>
        <v>0</v>
      </c>
      <c r="C112" s="267" t="s">
        <v>1295</v>
      </c>
      <c r="D112" s="318">
        <v>70</v>
      </c>
      <c r="E112" s="319">
        <f t="shared" si="27"/>
        <v>0</v>
      </c>
      <c r="F112" s="318">
        <v>91</v>
      </c>
      <c r="G112" s="307">
        <f t="shared" si="26"/>
        <v>0</v>
      </c>
      <c r="H112" s="321">
        <f t="shared" si="21"/>
        <v>-21</v>
      </c>
      <c r="I112" s="322">
        <f t="shared" si="22"/>
        <v>-23.08</v>
      </c>
      <c r="K112" s="218">
        <f t="shared" si="23"/>
        <v>9.0000000000000006E-5</v>
      </c>
      <c r="L112" s="218">
        <f t="shared" si="24"/>
        <v>1.0000000000000001E-5</v>
      </c>
      <c r="M112" s="218">
        <f t="shared" si="10"/>
        <v>2.0000000000000002E-5</v>
      </c>
    </row>
    <row r="113" spans="1:13" s="1010" customFormat="1" ht="28.5" customHeight="1">
      <c r="A113" s="306">
        <v>9554</v>
      </c>
      <c r="B113" s="307">
        <f t="shared" si="25"/>
        <v>0</v>
      </c>
      <c r="C113" s="267" t="s">
        <v>1296</v>
      </c>
      <c r="D113" s="318">
        <v>7845</v>
      </c>
      <c r="E113" s="319">
        <f t="shared" si="27"/>
        <v>0</v>
      </c>
      <c r="F113" s="318">
        <v>5079</v>
      </c>
      <c r="G113" s="307">
        <f t="shared" si="26"/>
        <v>0</v>
      </c>
      <c r="H113" s="321">
        <f t="shared" si="21"/>
        <v>2766</v>
      </c>
      <c r="I113" s="322">
        <f t="shared" si="22"/>
        <v>54.46</v>
      </c>
      <c r="K113" s="218">
        <f t="shared" si="23"/>
        <v>1.58E-3</v>
      </c>
      <c r="L113" s="218">
        <f t="shared" si="24"/>
        <v>1.47E-3</v>
      </c>
      <c r="M113" s="218">
        <f t="shared" si="10"/>
        <v>9.7000000000000005E-4</v>
      </c>
    </row>
    <row r="114" spans="1:13" s="1010" customFormat="1" ht="22.6" customHeight="1">
      <c r="A114" s="306">
        <v>4773</v>
      </c>
      <c r="B114" s="307">
        <f t="shared" si="25"/>
        <v>0</v>
      </c>
      <c r="C114" s="267" t="s">
        <v>965</v>
      </c>
      <c r="D114" s="318">
        <v>5284</v>
      </c>
      <c r="E114" s="319">
        <f t="shared" si="27"/>
        <v>0</v>
      </c>
      <c r="F114" s="318">
        <v>6090</v>
      </c>
      <c r="G114" s="307">
        <f t="shared" si="26"/>
        <v>0</v>
      </c>
      <c r="H114" s="321">
        <f t="shared" si="21"/>
        <v>-806</v>
      </c>
      <c r="I114" s="322">
        <f t="shared" si="22"/>
        <v>-13.23</v>
      </c>
      <c r="K114" s="218">
        <f t="shared" si="23"/>
        <v>7.9000000000000001E-4</v>
      </c>
      <c r="L114" s="218">
        <f t="shared" si="24"/>
        <v>9.8999999999999999E-4</v>
      </c>
      <c r="M114" s="218">
        <f t="shared" si="10"/>
        <v>1.16E-3</v>
      </c>
    </row>
    <row r="115" spans="1:13" s="1010" customFormat="1" ht="27" hidden="1" customHeight="1">
      <c r="A115" s="306">
        <v>0</v>
      </c>
      <c r="B115" s="367">
        <f t="shared" si="25"/>
        <v>0</v>
      </c>
      <c r="C115" s="783" t="s">
        <v>1311</v>
      </c>
      <c r="D115" s="318">
        <v>0</v>
      </c>
      <c r="E115" s="319">
        <f t="shared" si="27"/>
        <v>0</v>
      </c>
      <c r="F115" s="318">
        <v>0</v>
      </c>
      <c r="G115" s="307">
        <f t="shared" si="26"/>
        <v>0</v>
      </c>
      <c r="H115" s="318">
        <f t="shared" si="21"/>
        <v>0</v>
      </c>
      <c r="I115" s="320">
        <v>0</v>
      </c>
      <c r="K115" s="218">
        <f t="shared" si="23"/>
        <v>0</v>
      </c>
      <c r="L115" s="218">
        <f t="shared" si="24"/>
        <v>0</v>
      </c>
      <c r="M115" s="218">
        <f t="shared" si="10"/>
        <v>0</v>
      </c>
    </row>
    <row r="116" spans="1:13" s="1010" customFormat="1" ht="24.05" customHeight="1">
      <c r="A116" s="306">
        <v>27990</v>
      </c>
      <c r="B116" s="307">
        <f t="shared" si="25"/>
        <v>0</v>
      </c>
      <c r="C116" s="267" t="s">
        <v>1312</v>
      </c>
      <c r="D116" s="318">
        <f>SUM(D117:D122)</f>
        <v>5160</v>
      </c>
      <c r="E116" s="319">
        <f t="shared" si="27"/>
        <v>0</v>
      </c>
      <c r="F116" s="318">
        <f>SUM(F117:F122)</f>
        <v>4979</v>
      </c>
      <c r="G116" s="307">
        <f t="shared" si="26"/>
        <v>0</v>
      </c>
      <c r="H116" s="321">
        <f t="shared" si="21"/>
        <v>181</v>
      </c>
      <c r="I116" s="322">
        <f t="shared" si="22"/>
        <v>3.64</v>
      </c>
      <c r="K116" s="218">
        <f t="shared" si="23"/>
        <v>4.62E-3</v>
      </c>
      <c r="L116" s="218">
        <f t="shared" si="24"/>
        <v>9.7000000000000005E-4</v>
      </c>
      <c r="M116" s="218">
        <f t="shared" si="10"/>
        <v>9.5E-4</v>
      </c>
    </row>
    <row r="117" spans="1:13" s="1010" customFormat="1" ht="24.75" customHeight="1">
      <c r="A117" s="306">
        <v>25459</v>
      </c>
      <c r="B117" s="307">
        <f t="shared" si="25"/>
        <v>0</v>
      </c>
      <c r="C117" s="267" t="s">
        <v>1294</v>
      </c>
      <c r="D117" s="318">
        <v>4936</v>
      </c>
      <c r="E117" s="319">
        <f t="shared" si="27"/>
        <v>0</v>
      </c>
      <c r="F117" s="318">
        <v>4861</v>
      </c>
      <c r="G117" s="307">
        <f t="shared" si="26"/>
        <v>0</v>
      </c>
      <c r="H117" s="321">
        <f t="shared" si="21"/>
        <v>75</v>
      </c>
      <c r="I117" s="322">
        <f t="shared" si="22"/>
        <v>1.54</v>
      </c>
      <c r="K117" s="218">
        <f t="shared" si="23"/>
        <v>4.1999999999999997E-3</v>
      </c>
      <c r="L117" s="218">
        <f t="shared" si="24"/>
        <v>9.2000000000000003E-4</v>
      </c>
      <c r="M117" s="218">
        <f t="shared" si="10"/>
        <v>9.3000000000000005E-4</v>
      </c>
    </row>
    <row r="118" spans="1:13" s="1010" customFormat="1" ht="24.75" customHeight="1">
      <c r="A118" s="306">
        <v>68</v>
      </c>
      <c r="B118" s="307">
        <f t="shared" si="25"/>
        <v>0</v>
      </c>
      <c r="C118" s="267" t="s">
        <v>1295</v>
      </c>
      <c r="D118" s="318">
        <v>13</v>
      </c>
      <c r="E118" s="319">
        <f t="shared" si="27"/>
        <v>0</v>
      </c>
      <c r="F118" s="318">
        <v>9</v>
      </c>
      <c r="G118" s="307">
        <f t="shared" si="26"/>
        <v>0</v>
      </c>
      <c r="H118" s="321">
        <f t="shared" si="21"/>
        <v>4</v>
      </c>
      <c r="I118" s="322">
        <f t="shared" si="22"/>
        <v>44.44</v>
      </c>
      <c r="K118" s="218">
        <f t="shared" si="23"/>
        <v>1.0000000000000001E-5</v>
      </c>
      <c r="L118" s="218">
        <f t="shared" si="24"/>
        <v>0</v>
      </c>
      <c r="M118" s="218">
        <f t="shared" si="10"/>
        <v>0</v>
      </c>
    </row>
    <row r="119" spans="1:13" s="1010" customFormat="1" ht="20.45" customHeight="1" thickBot="1">
      <c r="A119" s="308">
        <v>276</v>
      </c>
      <c r="B119" s="309">
        <f t="shared" si="25"/>
        <v>0</v>
      </c>
      <c r="C119" s="272" t="s">
        <v>1296</v>
      </c>
      <c r="D119" s="323">
        <v>211</v>
      </c>
      <c r="E119" s="324">
        <f t="shared" si="27"/>
        <v>0</v>
      </c>
      <c r="F119" s="323">
        <v>109</v>
      </c>
      <c r="G119" s="309">
        <f t="shared" si="26"/>
        <v>0</v>
      </c>
      <c r="H119" s="337">
        <f t="shared" si="21"/>
        <v>102</v>
      </c>
      <c r="I119" s="338">
        <f t="shared" si="22"/>
        <v>93.58</v>
      </c>
      <c r="K119" s="218">
        <f t="shared" si="23"/>
        <v>5.0000000000000002E-5</v>
      </c>
      <c r="L119" s="218">
        <f t="shared" si="24"/>
        <v>4.0000000000000003E-5</v>
      </c>
      <c r="M119" s="218">
        <f t="shared" si="10"/>
        <v>2.0000000000000002E-5</v>
      </c>
    </row>
    <row r="120" spans="1:13" s="1010" customFormat="1" ht="2" hidden="1" customHeight="1">
      <c r="A120" s="306">
        <v>0</v>
      </c>
      <c r="B120" s="307">
        <f t="shared" si="25"/>
        <v>0</v>
      </c>
      <c r="C120" s="267" t="s">
        <v>1313</v>
      </c>
      <c r="D120" s="318">
        <v>0</v>
      </c>
      <c r="E120" s="319">
        <f t="shared" si="27"/>
        <v>0</v>
      </c>
      <c r="F120" s="318">
        <v>0</v>
      </c>
      <c r="G120" s="307">
        <f t="shared" si="26"/>
        <v>0</v>
      </c>
      <c r="H120" s="571">
        <f t="shared" si="21"/>
        <v>0</v>
      </c>
      <c r="I120" s="572">
        <v>0</v>
      </c>
      <c r="K120" s="218">
        <f t="shared" si="23"/>
        <v>0</v>
      </c>
      <c r="L120" s="218">
        <f t="shared" si="24"/>
        <v>0</v>
      </c>
      <c r="M120" s="218">
        <f t="shared" si="10"/>
        <v>0</v>
      </c>
    </row>
    <row r="121" spans="1:13" s="1010" customFormat="1" ht="20.45" customHeight="1">
      <c r="A121" s="306">
        <v>2185</v>
      </c>
      <c r="B121" s="307">
        <f t="shared" si="25"/>
        <v>0</v>
      </c>
      <c r="C121" s="783" t="s">
        <v>1314</v>
      </c>
      <c r="D121" s="318">
        <v>0</v>
      </c>
      <c r="E121" s="319">
        <f t="shared" si="27"/>
        <v>0</v>
      </c>
      <c r="F121" s="318">
        <v>0</v>
      </c>
      <c r="G121" s="307">
        <f t="shared" si="26"/>
        <v>0</v>
      </c>
      <c r="H121" s="318">
        <f t="shared" si="21"/>
        <v>0</v>
      </c>
      <c r="I121" s="320">
        <v>0</v>
      </c>
      <c r="K121" s="218">
        <f t="shared" si="23"/>
        <v>3.6000000000000002E-4</v>
      </c>
      <c r="L121" s="218">
        <f t="shared" si="24"/>
        <v>0</v>
      </c>
      <c r="M121" s="218">
        <f t="shared" si="10"/>
        <v>0</v>
      </c>
    </row>
    <row r="122" spans="1:13" s="1010" customFormat="1" ht="18.649999999999999" customHeight="1">
      <c r="A122" s="306">
        <v>1</v>
      </c>
      <c r="B122" s="307">
        <f t="shared" si="25"/>
        <v>0</v>
      </c>
      <c r="C122" s="783" t="s">
        <v>1311</v>
      </c>
      <c r="D122" s="318">
        <v>0</v>
      </c>
      <c r="E122" s="319">
        <f t="shared" si="27"/>
        <v>0</v>
      </c>
      <c r="F122" s="318">
        <v>0</v>
      </c>
      <c r="G122" s="307">
        <f t="shared" si="26"/>
        <v>0</v>
      </c>
      <c r="H122" s="318">
        <f t="shared" si="21"/>
        <v>0</v>
      </c>
      <c r="I122" s="320">
        <v>0</v>
      </c>
      <c r="K122" s="218">
        <f t="shared" si="23"/>
        <v>0</v>
      </c>
      <c r="L122" s="218">
        <f t="shared" si="24"/>
        <v>0</v>
      </c>
      <c r="M122" s="218">
        <f t="shared" si="10"/>
        <v>0</v>
      </c>
    </row>
    <row r="123" spans="1:13" s="30" customFormat="1" ht="23.4" customHeight="1">
      <c r="A123" s="313">
        <v>1756</v>
      </c>
      <c r="B123" s="305">
        <f t="shared" si="25"/>
        <v>0</v>
      </c>
      <c r="C123" s="266" t="s">
        <v>1315</v>
      </c>
      <c r="D123" s="329">
        <f t="shared" ref="D123:F124" si="28">D124</f>
        <v>37</v>
      </c>
      <c r="E123" s="319">
        <f t="shared" si="27"/>
        <v>0</v>
      </c>
      <c r="F123" s="329">
        <f t="shared" si="28"/>
        <v>83</v>
      </c>
      <c r="G123" s="307">
        <f t="shared" si="26"/>
        <v>0</v>
      </c>
      <c r="H123" s="325">
        <f t="shared" si="21"/>
        <v>-46</v>
      </c>
      <c r="I123" s="326">
        <f t="shared" si="22"/>
        <v>-55.42</v>
      </c>
      <c r="K123" s="217">
        <f t="shared" si="23"/>
        <v>2.9E-4</v>
      </c>
      <c r="L123" s="217">
        <f t="shared" si="24"/>
        <v>1.0000000000000001E-5</v>
      </c>
      <c r="M123" s="217">
        <f t="shared" si="10"/>
        <v>2.0000000000000002E-5</v>
      </c>
    </row>
    <row r="124" spans="1:13" s="30" customFormat="1" ht="22.95" customHeight="1">
      <c r="A124" s="304">
        <v>1756</v>
      </c>
      <c r="B124" s="305">
        <f t="shared" si="25"/>
        <v>0</v>
      </c>
      <c r="C124" s="266" t="s">
        <v>1316</v>
      </c>
      <c r="D124" s="315">
        <f t="shared" si="28"/>
        <v>37</v>
      </c>
      <c r="E124" s="319">
        <f t="shared" si="27"/>
        <v>0</v>
      </c>
      <c r="F124" s="315">
        <f t="shared" si="28"/>
        <v>83</v>
      </c>
      <c r="G124" s="307">
        <f t="shared" si="26"/>
        <v>0</v>
      </c>
      <c r="H124" s="325">
        <f t="shared" si="21"/>
        <v>-46</v>
      </c>
      <c r="I124" s="326">
        <f t="shared" si="22"/>
        <v>-55.42</v>
      </c>
      <c r="K124" s="217">
        <f t="shared" si="23"/>
        <v>2.9E-4</v>
      </c>
      <c r="L124" s="217">
        <f t="shared" si="24"/>
        <v>1.0000000000000001E-5</v>
      </c>
      <c r="M124" s="217">
        <f t="shared" si="10"/>
        <v>2.0000000000000002E-5</v>
      </c>
    </row>
    <row r="125" spans="1:13" s="1010" customFormat="1" ht="26.35" customHeight="1">
      <c r="A125" s="306">
        <v>1756</v>
      </c>
      <c r="B125" s="307">
        <f t="shared" si="25"/>
        <v>0</v>
      </c>
      <c r="C125" s="267" t="s">
        <v>1317</v>
      </c>
      <c r="D125" s="318">
        <f>SUM(D126:D129)</f>
        <v>37</v>
      </c>
      <c r="E125" s="319">
        <f t="shared" si="27"/>
        <v>0</v>
      </c>
      <c r="F125" s="318">
        <f>SUM(F126:F129)</f>
        <v>83</v>
      </c>
      <c r="G125" s="307">
        <f t="shared" si="26"/>
        <v>0</v>
      </c>
      <c r="H125" s="321">
        <f t="shared" si="21"/>
        <v>-46</v>
      </c>
      <c r="I125" s="322">
        <f t="shared" si="22"/>
        <v>-55.42</v>
      </c>
      <c r="K125" s="218">
        <f t="shared" si="23"/>
        <v>2.9E-4</v>
      </c>
      <c r="L125" s="218">
        <f t="shared" si="24"/>
        <v>1.0000000000000001E-5</v>
      </c>
      <c r="M125" s="218">
        <f t="shared" si="10"/>
        <v>2.0000000000000002E-5</v>
      </c>
    </row>
    <row r="126" spans="1:13" s="1010" customFormat="1" ht="26.35" customHeight="1">
      <c r="A126" s="306">
        <v>1596</v>
      </c>
      <c r="B126" s="307">
        <f t="shared" si="25"/>
        <v>0</v>
      </c>
      <c r="C126" s="267" t="s">
        <v>1254</v>
      </c>
      <c r="D126" s="318">
        <v>14</v>
      </c>
      <c r="E126" s="319">
        <f t="shared" si="27"/>
        <v>0</v>
      </c>
      <c r="F126" s="318">
        <v>62</v>
      </c>
      <c r="G126" s="307">
        <f t="shared" si="26"/>
        <v>0</v>
      </c>
      <c r="H126" s="321">
        <f t="shared" si="21"/>
        <v>-48</v>
      </c>
      <c r="I126" s="322">
        <f t="shared" si="22"/>
        <v>-77.42</v>
      </c>
      <c r="K126" s="218">
        <f t="shared" si="23"/>
        <v>2.5999999999999998E-4</v>
      </c>
      <c r="L126" s="218">
        <f t="shared" si="24"/>
        <v>0</v>
      </c>
      <c r="M126" s="218">
        <f t="shared" si="10"/>
        <v>1.0000000000000001E-5</v>
      </c>
    </row>
    <row r="127" spans="1:13" s="1010" customFormat="1" ht="26.35" customHeight="1">
      <c r="A127" s="306">
        <v>12</v>
      </c>
      <c r="B127" s="307">
        <f t="shared" si="25"/>
        <v>0</v>
      </c>
      <c r="C127" s="267" t="s">
        <v>1257</v>
      </c>
      <c r="D127" s="318">
        <v>12</v>
      </c>
      <c r="E127" s="319">
        <f t="shared" si="27"/>
        <v>0</v>
      </c>
      <c r="F127" s="318">
        <v>10</v>
      </c>
      <c r="G127" s="307">
        <f t="shared" si="26"/>
        <v>0</v>
      </c>
      <c r="H127" s="318">
        <f t="shared" si="21"/>
        <v>2</v>
      </c>
      <c r="I127" s="320">
        <f t="shared" si="22"/>
        <v>20</v>
      </c>
      <c r="K127" s="218">
        <f t="shared" si="23"/>
        <v>0</v>
      </c>
      <c r="L127" s="218">
        <f t="shared" si="24"/>
        <v>0</v>
      </c>
      <c r="M127" s="218">
        <f t="shared" si="10"/>
        <v>0</v>
      </c>
    </row>
    <row r="128" spans="1:13" s="1010" customFormat="1" ht="26.35" customHeight="1">
      <c r="A128" s="306">
        <v>15</v>
      </c>
      <c r="B128" s="307">
        <f t="shared" si="25"/>
        <v>0</v>
      </c>
      <c r="C128" s="267" t="s">
        <v>1258</v>
      </c>
      <c r="D128" s="318">
        <v>11</v>
      </c>
      <c r="E128" s="319">
        <f t="shared" si="27"/>
        <v>0</v>
      </c>
      <c r="F128" s="318">
        <v>11</v>
      </c>
      <c r="G128" s="307">
        <f t="shared" si="26"/>
        <v>0</v>
      </c>
      <c r="H128" s="318">
        <f t="shared" si="21"/>
        <v>0</v>
      </c>
      <c r="I128" s="320">
        <v>0</v>
      </c>
      <c r="K128" s="218">
        <f t="shared" si="23"/>
        <v>0</v>
      </c>
      <c r="L128" s="218">
        <f t="shared" si="24"/>
        <v>0</v>
      </c>
      <c r="M128" s="218">
        <f t="shared" si="10"/>
        <v>0</v>
      </c>
    </row>
    <row r="129" spans="1:13" s="1010" customFormat="1" ht="26.35" customHeight="1">
      <c r="A129" s="306">
        <v>132</v>
      </c>
      <c r="B129" s="307">
        <f t="shared" si="25"/>
        <v>0</v>
      </c>
      <c r="C129" s="783" t="s">
        <v>1318</v>
      </c>
      <c r="D129" s="318">
        <v>0</v>
      </c>
      <c r="E129" s="319">
        <f t="shared" si="27"/>
        <v>0</v>
      </c>
      <c r="F129" s="318">
        <v>0</v>
      </c>
      <c r="G129" s="307">
        <f t="shared" si="26"/>
        <v>0</v>
      </c>
      <c r="H129" s="318">
        <f t="shared" si="21"/>
        <v>0</v>
      </c>
      <c r="I129" s="320">
        <v>0</v>
      </c>
      <c r="K129" s="218">
        <f t="shared" si="23"/>
        <v>2.0000000000000002E-5</v>
      </c>
      <c r="L129" s="218">
        <f t="shared" si="24"/>
        <v>0</v>
      </c>
      <c r="M129" s="218">
        <f t="shared" si="10"/>
        <v>0</v>
      </c>
    </row>
    <row r="130" spans="1:13" s="30" customFormat="1" ht="26.35" customHeight="1">
      <c r="A130" s="313">
        <v>307729</v>
      </c>
      <c r="B130" s="305">
        <f t="shared" si="25"/>
        <v>0.05</v>
      </c>
      <c r="C130" s="266" t="s">
        <v>1319</v>
      </c>
      <c r="D130" s="329">
        <f>+D97-D123</f>
        <v>233594</v>
      </c>
      <c r="E130" s="316">
        <f t="shared" si="27"/>
        <v>0.04</v>
      </c>
      <c r="F130" s="329">
        <f>+F97-F123</f>
        <v>109282</v>
      </c>
      <c r="G130" s="305">
        <f t="shared" si="26"/>
        <v>0.02</v>
      </c>
      <c r="H130" s="325">
        <f t="shared" si="21"/>
        <v>124312</v>
      </c>
      <c r="I130" s="326">
        <f t="shared" si="22"/>
        <v>113.75</v>
      </c>
      <c r="K130" s="217">
        <f t="shared" si="23"/>
        <v>5.0770000000000003E-2</v>
      </c>
      <c r="L130" s="217">
        <f t="shared" si="24"/>
        <v>4.3770000000000003E-2</v>
      </c>
      <c r="M130" s="217">
        <f t="shared" si="10"/>
        <v>2.0830000000000001E-2</v>
      </c>
    </row>
    <row r="131" spans="1:13" s="30" customFormat="1" ht="26.35" customHeight="1">
      <c r="A131" s="313">
        <f>+A96+A130</f>
        <v>0</v>
      </c>
      <c r="B131" s="305">
        <f t="shared" si="25"/>
        <v>0</v>
      </c>
      <c r="C131" s="266" t="s">
        <v>1320</v>
      </c>
      <c r="D131" s="329">
        <f>+D96+D130</f>
        <v>0</v>
      </c>
      <c r="E131" s="316">
        <f t="shared" si="27"/>
        <v>0</v>
      </c>
      <c r="F131" s="329">
        <f>+F96+F130</f>
        <v>0</v>
      </c>
      <c r="G131" s="305">
        <f t="shared" si="26"/>
        <v>0</v>
      </c>
      <c r="H131" s="315">
        <f>D131-F131</f>
        <v>0</v>
      </c>
      <c r="I131" s="317">
        <f>ROUND(H131/$D$8*100,2)</f>
        <v>0</v>
      </c>
      <c r="K131" s="217">
        <f t="shared" si="23"/>
        <v>0</v>
      </c>
      <c r="L131" s="217">
        <f t="shared" si="24"/>
        <v>0</v>
      </c>
      <c r="M131" s="217">
        <f>ROUND(F131/$F$8*100,5)</f>
        <v>0</v>
      </c>
    </row>
    <row r="132" spans="1:13" s="30" customFormat="1" ht="26.35" customHeight="1">
      <c r="A132" s="313"/>
      <c r="B132" s="305"/>
      <c r="C132" s="266"/>
      <c r="D132" s="329"/>
      <c r="E132" s="316"/>
      <c r="F132" s="329"/>
      <c r="G132" s="316"/>
      <c r="H132" s="315"/>
      <c r="I132" s="317"/>
      <c r="K132" s="217"/>
      <c r="L132" s="217"/>
      <c r="M132" s="217"/>
    </row>
    <row r="133" spans="1:13" s="30" customFormat="1" ht="105.55" customHeight="1">
      <c r="A133" s="313"/>
      <c r="B133" s="305"/>
      <c r="C133" s="266"/>
      <c r="D133" s="329"/>
      <c r="E133" s="316"/>
      <c r="F133" s="329"/>
      <c r="G133" s="316"/>
      <c r="H133" s="315"/>
      <c r="I133" s="317"/>
      <c r="K133" s="217"/>
      <c r="L133" s="217"/>
      <c r="M133" s="217"/>
    </row>
    <row r="134" spans="1:13" s="30" customFormat="1" ht="130.6" customHeight="1">
      <c r="A134" s="313"/>
      <c r="B134" s="305"/>
      <c r="C134" s="266"/>
      <c r="D134" s="329"/>
      <c r="E134" s="316"/>
      <c r="F134" s="329"/>
      <c r="G134" s="316"/>
      <c r="H134" s="315"/>
      <c r="I134" s="317"/>
      <c r="K134" s="217"/>
      <c r="L134" s="217"/>
      <c r="M134" s="217"/>
    </row>
    <row r="135" spans="1:13" s="30" customFormat="1" ht="40.950000000000003" customHeight="1">
      <c r="A135" s="313"/>
      <c r="B135" s="305"/>
      <c r="C135" s="266"/>
      <c r="D135" s="329"/>
      <c r="E135" s="316"/>
      <c r="F135" s="329"/>
      <c r="G135" s="316"/>
      <c r="H135" s="315"/>
      <c r="I135" s="317"/>
      <c r="K135" s="217"/>
      <c r="L135" s="217"/>
      <c r="M135" s="217"/>
    </row>
    <row r="136" spans="1:13" s="30" customFormat="1" ht="38.950000000000003" customHeight="1" thickBot="1">
      <c r="A136" s="314"/>
      <c r="B136" s="310"/>
      <c r="C136" s="273"/>
      <c r="D136" s="330"/>
      <c r="E136" s="328"/>
      <c r="F136" s="330"/>
      <c r="G136" s="328"/>
      <c r="H136" s="327"/>
      <c r="I136" s="712"/>
      <c r="K136" s="217">
        <f t="shared" ref="K136" si="29">ROUND(A136/$A$8*100,5)</f>
        <v>0</v>
      </c>
      <c r="L136" s="217">
        <f t="shared" ref="L136" si="30">ROUND(D136/$D$8*100,5)</f>
        <v>0</v>
      </c>
      <c r="M136" s="217">
        <f>ROUND(F136/$F$8*100,5)</f>
        <v>0</v>
      </c>
    </row>
    <row r="137" spans="1:13" ht="18.649999999999999" customHeight="1">
      <c r="A137" s="1044" t="s">
        <v>1321</v>
      </c>
      <c r="B137" s="1045"/>
      <c r="C137" s="1045"/>
      <c r="D137" s="1045"/>
      <c r="E137" s="1045"/>
      <c r="F137" s="1045"/>
      <c r="G137" s="1045"/>
      <c r="H137" s="1045"/>
      <c r="I137" s="1045"/>
      <c r="J137" s="2"/>
      <c r="K137" s="2"/>
      <c r="L137" s="2"/>
      <c r="M137" s="2"/>
    </row>
    <row r="138" spans="1:13">
      <c r="A138" s="2"/>
      <c r="B138" s="2"/>
      <c r="C138" s="158"/>
      <c r="D138" s="157"/>
      <c r="E138" s="288"/>
      <c r="F138" s="2"/>
      <c r="G138" s="2"/>
      <c r="H138" s="2"/>
      <c r="I138" s="2"/>
      <c r="J138" s="2"/>
      <c r="K138" s="2"/>
      <c r="L138" s="2"/>
      <c r="M138" s="2"/>
    </row>
    <row r="139" spans="1:13" hidden="1">
      <c r="A139" s="2"/>
      <c r="B139" s="1046" t="s">
        <v>1322</v>
      </c>
      <c r="C139" s="1047"/>
      <c r="D139" s="1048" t="s">
        <v>1323</v>
      </c>
      <c r="E139" s="1048"/>
      <c r="F139" s="1049" t="s">
        <v>1324</v>
      </c>
      <c r="G139" s="1049"/>
      <c r="H139" s="1049" t="s">
        <v>1325</v>
      </c>
      <c r="I139" s="1049"/>
      <c r="J139" s="2"/>
      <c r="K139" s="2"/>
      <c r="L139" s="2"/>
      <c r="M139" s="2"/>
    </row>
    <row r="140" spans="1:13" ht="17.2" hidden="1" customHeight="1">
      <c r="A140" s="2"/>
      <c r="B140" s="1040" t="s">
        <v>1326</v>
      </c>
      <c r="C140" s="289" t="s">
        <v>1327</v>
      </c>
      <c r="D140" s="290" t="e">
        <f>#REF!+A18+A20+A11+#REF!+A25+A14+A34+A40+A52+A106+A111+A117+A100</f>
        <v>#REF!</v>
      </c>
      <c r="E140" s="291" t="e">
        <f>#REF!+B18+B20+B11+#REF!+B25+B14+B34+B40+B52+B106+B111+B117+B100</f>
        <v>#REF!</v>
      </c>
      <c r="F140" s="290" t="e">
        <f>A72+A79+A84+A126+A66+A68+A58+#REF!+A61+#REF!</f>
        <v>#REF!</v>
      </c>
      <c r="G140" s="291" t="e">
        <f>B72+B79+B84+B126+B66+B68+B58+#REF!+B61</f>
        <v>#REF!</v>
      </c>
      <c r="H140" s="297" t="e">
        <f>D140-F140</f>
        <v>#REF!</v>
      </c>
      <c r="I140" s="297" t="e">
        <f t="shared" ref="H140:I153" si="31">E140-G140</f>
        <v>#REF!</v>
      </c>
      <c r="J140" s="2"/>
      <c r="K140" s="2"/>
      <c r="L140" s="2"/>
      <c r="M140" s="2"/>
    </row>
    <row r="141" spans="1:13" ht="17.2" hidden="1" customHeight="1">
      <c r="A141" s="2"/>
      <c r="B141" s="1041"/>
      <c r="C141" s="289" t="s">
        <v>1328</v>
      </c>
      <c r="D141" s="290">
        <f>A26+A15+A35+A41+A101+A112+A118</f>
        <v>8099152</v>
      </c>
      <c r="E141" s="291">
        <f>B26+B15+B35+B41+B101+B112+B118</f>
        <v>1.33</v>
      </c>
      <c r="F141" s="290">
        <f>A62+A73+A80+A85+A127</f>
        <v>8099152</v>
      </c>
      <c r="G141" s="291">
        <f>B62+B73+B80+B85+B127</f>
        <v>1.3399999999999999</v>
      </c>
      <c r="H141" s="297">
        <f t="shared" si="31"/>
        <v>0</v>
      </c>
      <c r="I141" s="297">
        <f t="shared" si="31"/>
        <v>-9.9999999999997868E-3</v>
      </c>
      <c r="J141" s="2"/>
      <c r="K141" s="2"/>
      <c r="L141" s="2"/>
      <c r="M141" s="2"/>
    </row>
    <row r="142" spans="1:13" ht="17.2" hidden="1" customHeight="1">
      <c r="A142" s="2"/>
      <c r="B142" s="1041"/>
      <c r="C142" s="289" t="s">
        <v>1329</v>
      </c>
      <c r="D142" s="290">
        <f>A27+A16+A36+A42+A102+A113+A119</f>
        <v>30826085</v>
      </c>
      <c r="E142" s="291">
        <f>B27+B16+B36+B42+B102+B113+B119</f>
        <v>5.08</v>
      </c>
      <c r="F142" s="290">
        <f>A63+A74+A81+A86+A93+A129</f>
        <v>30218557</v>
      </c>
      <c r="G142" s="291">
        <f>B63+B74+B81+B86+B93+B129</f>
        <v>4.9799999999999995</v>
      </c>
      <c r="H142" s="297">
        <f t="shared" si="31"/>
        <v>607528</v>
      </c>
      <c r="I142" s="297">
        <f t="shared" si="31"/>
        <v>0.10000000000000053</v>
      </c>
      <c r="J142" s="2"/>
      <c r="K142" s="2"/>
      <c r="L142" s="2"/>
      <c r="M142" s="2"/>
    </row>
    <row r="143" spans="1:13" ht="17.2" hidden="1" customHeight="1">
      <c r="A143" s="2"/>
      <c r="B143" s="1041"/>
      <c r="C143" s="289" t="s">
        <v>1330</v>
      </c>
      <c r="D143" s="290">
        <f>A37+A48+A114+A120+A103</f>
        <v>7466813</v>
      </c>
      <c r="E143" s="291">
        <f>B37+B48+B114+B120+B103</f>
        <v>1.23</v>
      </c>
      <c r="F143" s="290">
        <f>A75+A87+A94</f>
        <v>7466999</v>
      </c>
      <c r="G143" s="291">
        <f>B75+B87+B94</f>
        <v>1.23</v>
      </c>
      <c r="H143" s="297">
        <f t="shared" si="31"/>
        <v>-186</v>
      </c>
      <c r="I143" s="297">
        <f t="shared" si="31"/>
        <v>0</v>
      </c>
      <c r="J143" s="2"/>
      <c r="K143" s="2"/>
      <c r="L143" s="2"/>
      <c r="M143" s="2"/>
    </row>
    <row r="144" spans="1:13" ht="17.2" hidden="1" customHeight="1">
      <c r="A144" s="2"/>
      <c r="B144" s="1041"/>
      <c r="C144" s="289" t="s">
        <v>1331</v>
      </c>
      <c r="D144" s="290">
        <f>A30+A43+A53</f>
        <v>531590</v>
      </c>
      <c r="E144" s="291">
        <f>B30+B43+B53</f>
        <v>9.0000000000000011E-2</v>
      </c>
      <c r="F144" s="290">
        <f>A88+A77</f>
        <v>533746</v>
      </c>
      <c r="G144" s="291">
        <f>B88+B77</f>
        <v>0.09</v>
      </c>
      <c r="H144" s="297">
        <f t="shared" si="31"/>
        <v>-2156</v>
      </c>
      <c r="I144" s="297">
        <f t="shared" si="31"/>
        <v>0</v>
      </c>
      <c r="J144" s="2"/>
      <c r="K144" s="2"/>
      <c r="L144" s="2"/>
      <c r="M144" s="2"/>
    </row>
    <row r="145" spans="2:10" ht="17.2" hidden="1" customHeight="1">
      <c r="B145" s="1041"/>
      <c r="C145" s="289" t="s">
        <v>1332</v>
      </c>
      <c r="D145" s="290">
        <f>A31+A44+A50+A54</f>
        <v>49277</v>
      </c>
      <c r="E145" s="292">
        <f>B31+B44+B50+B54</f>
        <v>0</v>
      </c>
      <c r="F145" s="290">
        <f>A82+A89+A95</f>
        <v>52328</v>
      </c>
      <c r="G145" s="291">
        <f>B82+B89+B95</f>
        <v>0.01</v>
      </c>
      <c r="H145" s="297">
        <f t="shared" si="31"/>
        <v>-3051</v>
      </c>
      <c r="I145" s="297">
        <f t="shared" si="31"/>
        <v>-0.01</v>
      </c>
      <c r="J145" s="2"/>
    </row>
    <row r="146" spans="2:10" ht="17.2" hidden="1" customHeight="1">
      <c r="B146" s="1042"/>
      <c r="C146" s="289" t="s">
        <v>1333</v>
      </c>
      <c r="D146" s="290" t="e">
        <f>SUM(D140:D145)</f>
        <v>#REF!</v>
      </c>
      <c r="E146" s="291" t="e">
        <f>SUM(E140:E145)</f>
        <v>#REF!</v>
      </c>
      <c r="F146" s="290" t="e">
        <f>SUM(F140:F145)</f>
        <v>#REF!</v>
      </c>
      <c r="G146" s="291" t="e">
        <f>SUM(G140:G145)</f>
        <v>#REF!</v>
      </c>
      <c r="H146" s="297" t="e">
        <f t="shared" si="31"/>
        <v>#REF!</v>
      </c>
      <c r="I146" s="297" t="e">
        <f t="shared" si="31"/>
        <v>#REF!</v>
      </c>
      <c r="J146" s="2"/>
    </row>
    <row r="147" spans="2:10" ht="15.75" hidden="1" customHeight="1">
      <c r="B147" s="1040" t="s">
        <v>1334</v>
      </c>
      <c r="C147" s="289" t="s">
        <v>1327</v>
      </c>
      <c r="D147" s="290" t="e">
        <f>#REF!+D18+D20+D11+#REF!+D25+D14+D34+D40+D52+D106+D111+D117+D100</f>
        <v>#REF!</v>
      </c>
      <c r="E147" s="292" t="e">
        <f>#REF!+E18+E20+E11+#REF!+E25+E14+E34+E40+E52+E106+E111+E117+E100</f>
        <v>#REF!</v>
      </c>
      <c r="F147" s="293" t="e">
        <f>D72+D79+D84+D126+D66+D68+D58+#REF!+D61</f>
        <v>#REF!</v>
      </c>
      <c r="G147" s="294" t="e">
        <f>E72+E79+E84+E126+E66+E68+E58+#REF!+E61</f>
        <v>#REF!</v>
      </c>
      <c r="H147" s="297" t="e">
        <f t="shared" si="31"/>
        <v>#REF!</v>
      </c>
      <c r="I147" s="297" t="e">
        <f t="shared" si="31"/>
        <v>#REF!</v>
      </c>
      <c r="J147" s="2"/>
    </row>
    <row r="148" spans="2:10" hidden="1">
      <c r="B148" s="1041"/>
      <c r="C148" s="289" t="s">
        <v>1328</v>
      </c>
      <c r="D148" s="290">
        <f>D26+D15+D35+D41+D101+D112+D118</f>
        <v>8560497</v>
      </c>
      <c r="E148" s="292">
        <f>E26+E15+E35+E41+E101+E112+E118</f>
        <v>1.61</v>
      </c>
      <c r="F148" s="293">
        <f>D62+D73+D80+D85+D127</f>
        <v>8560497</v>
      </c>
      <c r="G148" s="294">
        <f>E62+E73+E80+E85+E127</f>
        <v>1.5999999999999999</v>
      </c>
      <c r="H148" s="297">
        <f t="shared" si="31"/>
        <v>0</v>
      </c>
      <c r="I148" s="297">
        <f t="shared" si="31"/>
        <v>1.0000000000000231E-2</v>
      </c>
      <c r="J148" s="270"/>
    </row>
    <row r="149" spans="2:10" hidden="1">
      <c r="B149" s="1041"/>
      <c r="C149" s="289" t="s">
        <v>1329</v>
      </c>
      <c r="D149" s="290">
        <f>D27+D16+D36+D42+D102+D113+D119</f>
        <v>31820039</v>
      </c>
      <c r="E149" s="292">
        <f>E27+E16+E36+E42+E102+E113+E119</f>
        <v>5.96</v>
      </c>
      <c r="F149" s="293">
        <f>D63+D74+D81+D86+D93+D129</f>
        <v>31820028</v>
      </c>
      <c r="G149" s="294">
        <f>E63+E74+E81+E86+E93+E129</f>
        <v>5.97</v>
      </c>
      <c r="H149" s="297">
        <f t="shared" si="31"/>
        <v>11</v>
      </c>
      <c r="I149" s="297">
        <f t="shared" si="31"/>
        <v>-9.9999999999997868E-3</v>
      </c>
      <c r="J149" s="270"/>
    </row>
    <row r="150" spans="2:10" hidden="1">
      <c r="B150" s="1041"/>
      <c r="C150" s="289" t="s">
        <v>1330</v>
      </c>
      <c r="D150" s="290">
        <f>D37+D48+D114+D120+D103</f>
        <v>6835838</v>
      </c>
      <c r="E150" s="292">
        <f>E37+E48+E114+E120+E103</f>
        <v>1.28</v>
      </c>
      <c r="F150" s="293">
        <f>D75+D87+D94</f>
        <v>6836022</v>
      </c>
      <c r="G150" s="294">
        <f>E75+E87+E94</f>
        <v>1.28</v>
      </c>
      <c r="H150" s="297">
        <f t="shared" si="31"/>
        <v>-184</v>
      </c>
      <c r="I150" s="297">
        <f t="shared" si="31"/>
        <v>0</v>
      </c>
      <c r="J150" s="270"/>
    </row>
    <row r="151" spans="2:10" ht="27.5" hidden="1">
      <c r="B151" s="1041"/>
      <c r="C151" s="289" t="s">
        <v>1331</v>
      </c>
      <c r="D151" s="290">
        <f>D30+D43+D53</f>
        <v>627427</v>
      </c>
      <c r="E151" s="292">
        <f>E30+E43+E53</f>
        <v>0.11</v>
      </c>
      <c r="F151" s="293">
        <f>D88+D77</f>
        <v>627397</v>
      </c>
      <c r="G151" s="294">
        <f>E88+E77</f>
        <v>0.12</v>
      </c>
      <c r="H151" s="297">
        <f t="shared" si="31"/>
        <v>30</v>
      </c>
      <c r="I151" s="297">
        <f t="shared" si="31"/>
        <v>-9.999999999999995E-3</v>
      </c>
      <c r="J151" s="270"/>
    </row>
    <row r="152" spans="2:10" ht="27.5" hidden="1">
      <c r="B152" s="1041"/>
      <c r="C152" s="289" t="s">
        <v>1332</v>
      </c>
      <c r="D152" s="290">
        <f>D31+D44+D50+D54</f>
        <v>48210</v>
      </c>
      <c r="E152" s="292">
        <f>E31+E44+E50+E54</f>
        <v>0.01</v>
      </c>
      <c r="F152" s="293">
        <f>D82+D89+D95</f>
        <v>51960</v>
      </c>
      <c r="G152" s="294">
        <f>E82+E89+E95</f>
        <v>0.01</v>
      </c>
      <c r="H152" s="297">
        <f t="shared" si="31"/>
        <v>-3750</v>
      </c>
      <c r="I152" s="297">
        <f t="shared" si="31"/>
        <v>0</v>
      </c>
      <c r="J152" s="270"/>
    </row>
    <row r="153" spans="2:10" hidden="1">
      <c r="B153" s="1042"/>
      <c r="C153" s="289" t="s">
        <v>1333</v>
      </c>
      <c r="D153" s="290" t="e">
        <f>SUM(D147:D152)</f>
        <v>#REF!</v>
      </c>
      <c r="E153" s="291" t="e">
        <f>SUM(E147:E152)</f>
        <v>#REF!</v>
      </c>
      <c r="F153" s="290" t="e">
        <f>SUM(F147:F152)</f>
        <v>#REF!</v>
      </c>
      <c r="G153" s="291" t="e">
        <f>SUM(G147:G152)</f>
        <v>#REF!</v>
      </c>
      <c r="H153" s="297" t="e">
        <f t="shared" si="31"/>
        <v>#REF!</v>
      </c>
      <c r="I153" s="297" t="e">
        <f t="shared" si="31"/>
        <v>#REF!</v>
      </c>
      <c r="J153" s="270"/>
    </row>
    <row r="154" spans="2:10" ht="16.55" hidden="1" customHeight="1">
      <c r="B154" s="1043" t="s">
        <v>1335</v>
      </c>
      <c r="C154" s="289" t="s">
        <v>1327</v>
      </c>
      <c r="D154" s="290" t="e">
        <f>#REF!+F18+F20+F11+#REF!+F25+F14+F34+F40+F52+F106+F111+F117+F100</f>
        <v>#REF!</v>
      </c>
      <c r="E154" s="292" t="e">
        <f>#REF!+G18+G20+G11+#REF!+G25+G14+G34+G40+G52+G106+G111+G117+G100</f>
        <v>#REF!</v>
      </c>
      <c r="F154" s="293" t="e">
        <f>F72+F79+F84+F126+F66+F68+F58+#REF!+F61</f>
        <v>#REF!</v>
      </c>
      <c r="G154" s="294" t="e">
        <f>G72+G79+G84+G126+G66+G68+G58+#REF!+G61</f>
        <v>#REF!</v>
      </c>
      <c r="H154" s="297" t="e">
        <f>D154-F154</f>
        <v>#REF!</v>
      </c>
      <c r="I154" s="297" t="e">
        <f>E154-G154</f>
        <v>#REF!</v>
      </c>
      <c r="J154" s="271"/>
    </row>
    <row r="155" spans="2:10" hidden="1">
      <c r="B155" s="1043"/>
      <c r="C155" s="289" t="s">
        <v>1328</v>
      </c>
      <c r="D155" s="290">
        <f>F26+F15+F35+F41+F101+F112+F118</f>
        <v>8696223</v>
      </c>
      <c r="E155" s="292">
        <f>G26+G15+G35+G41+G101+G112+G118</f>
        <v>1.6600000000000001</v>
      </c>
      <c r="F155" s="293">
        <f>F62+F73+F80+F85+F127</f>
        <v>8696223</v>
      </c>
      <c r="G155" s="294">
        <f>G62+G73+G80+G85+G127</f>
        <v>1.6600000000000001</v>
      </c>
      <c r="H155" s="297">
        <f t="shared" ref="H155:I160" si="32">D155-F155</f>
        <v>0</v>
      </c>
      <c r="I155" s="297">
        <f t="shared" si="32"/>
        <v>0</v>
      </c>
      <c r="J155" s="271"/>
    </row>
    <row r="156" spans="2:10" hidden="1">
      <c r="B156" s="1043"/>
      <c r="C156" s="289" t="s">
        <v>1329</v>
      </c>
      <c r="D156" s="290">
        <f>F27+F16+F36+F42+F102+F113+F119</f>
        <v>30622411</v>
      </c>
      <c r="E156" s="292">
        <f>G27+G16+G36+G42+G102+G113+G119</f>
        <v>5.84</v>
      </c>
      <c r="F156" s="293">
        <f>F63+F74+F81+F86+F93+F129</f>
        <v>30622400</v>
      </c>
      <c r="G156" s="294">
        <f>G63+G74+G81+G86+G93+G129</f>
        <v>5.84</v>
      </c>
      <c r="H156" s="297">
        <f t="shared" si="32"/>
        <v>11</v>
      </c>
      <c r="I156" s="297">
        <f t="shared" si="32"/>
        <v>0</v>
      </c>
      <c r="J156" s="271"/>
    </row>
    <row r="157" spans="2:10" hidden="1">
      <c r="B157" s="1043"/>
      <c r="C157" s="289" t="s">
        <v>1330</v>
      </c>
      <c r="D157" s="290">
        <f>F37+F48+F114+F120+F103</f>
        <v>7066787</v>
      </c>
      <c r="E157" s="292">
        <f>G37+G48+G114+G120+G103</f>
        <v>1.35</v>
      </c>
      <c r="F157" s="293">
        <f>F75+F87+F94</f>
        <v>7066947</v>
      </c>
      <c r="G157" s="294">
        <f>G75+G87+G94</f>
        <v>1.35</v>
      </c>
      <c r="H157" s="297">
        <f t="shared" si="32"/>
        <v>-160</v>
      </c>
      <c r="I157" s="297">
        <f t="shared" si="32"/>
        <v>0</v>
      </c>
      <c r="J157" s="271"/>
    </row>
    <row r="158" spans="2:10" ht="27.5" hidden="1">
      <c r="B158" s="1043"/>
      <c r="C158" s="289" t="s">
        <v>1331</v>
      </c>
      <c r="D158" s="290">
        <f>F30+F43+F53</f>
        <v>562262</v>
      </c>
      <c r="E158" s="292">
        <f>G30+G43+G53</f>
        <v>9.9999999999999992E-2</v>
      </c>
      <c r="F158" s="293">
        <f>F88+F77</f>
        <v>562232</v>
      </c>
      <c r="G158" s="294">
        <f>G88+G77</f>
        <v>0.11</v>
      </c>
      <c r="H158" s="297">
        <f t="shared" si="32"/>
        <v>30</v>
      </c>
      <c r="I158" s="297">
        <f t="shared" si="32"/>
        <v>-1.0000000000000009E-2</v>
      </c>
      <c r="J158" s="271"/>
    </row>
    <row r="159" spans="2:10" ht="27.5" hidden="1">
      <c r="B159" s="1043"/>
      <c r="C159" s="289" t="s">
        <v>1332</v>
      </c>
      <c r="D159" s="290">
        <f>F31+F44+F50+F54</f>
        <v>45040</v>
      </c>
      <c r="E159" s="292">
        <f>G31+G44+G50+G54</f>
        <v>0</v>
      </c>
      <c r="F159" s="293">
        <f>F82+F89+F95</f>
        <v>48680</v>
      </c>
      <c r="G159" s="294">
        <f>G82+G89+G95</f>
        <v>0.01</v>
      </c>
      <c r="H159" s="297">
        <f t="shared" si="32"/>
        <v>-3640</v>
      </c>
      <c r="I159" s="297">
        <f t="shared" si="32"/>
        <v>-0.01</v>
      </c>
      <c r="J159" s="271"/>
    </row>
    <row r="160" spans="2:10" hidden="1">
      <c r="B160" s="1043"/>
      <c r="C160" s="295" t="s">
        <v>1333</v>
      </c>
      <c r="D160" s="290" t="e">
        <f>SUM(D154:D159)</f>
        <v>#REF!</v>
      </c>
      <c r="E160" s="291" t="e">
        <f>SUM(E154:E159)</f>
        <v>#REF!</v>
      </c>
      <c r="F160" s="290" t="e">
        <f>SUM(F154:F159)</f>
        <v>#REF!</v>
      </c>
      <c r="G160" s="291" t="e">
        <f>SUM(G154:G159)</f>
        <v>#REF!</v>
      </c>
      <c r="H160" s="297" t="e">
        <f t="shared" si="32"/>
        <v>#REF!</v>
      </c>
      <c r="I160" s="297" t="e">
        <f t="shared" si="32"/>
        <v>#REF!</v>
      </c>
      <c r="J160" s="2"/>
    </row>
  </sheetData>
  <mergeCells count="17">
    <mergeCell ref="A1:I1"/>
    <mergeCell ref="A2:I2"/>
    <mergeCell ref="A3:I3"/>
    <mergeCell ref="A4:I4"/>
    <mergeCell ref="A5:B5"/>
    <mergeCell ref="C5:C6"/>
    <mergeCell ref="D5:E5"/>
    <mergeCell ref="F5:G5"/>
    <mergeCell ref="H5:I5"/>
    <mergeCell ref="B147:B153"/>
    <mergeCell ref="B154:B160"/>
    <mergeCell ref="A137:I137"/>
    <mergeCell ref="B139:C139"/>
    <mergeCell ref="D139:E139"/>
    <mergeCell ref="F139:G139"/>
    <mergeCell ref="H139:I139"/>
    <mergeCell ref="B140:B146"/>
  </mergeCells>
  <phoneticPr fontId="4" type="noConversion"/>
  <printOptions horizontalCentered="1"/>
  <pageMargins left="0.59055118110236227" right="0.59055118110236227" top="0.59055118110236227" bottom="0.78740157480314965" header="0.51181102362204722" footer="0.51181102362204722"/>
  <pageSetup paperSize="9" firstPageNumber="11" orientation="portrait" useFirstPageNumber="1" r:id="rId1"/>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3"/>
  <sheetViews>
    <sheetView view="pageBreakPreview" topLeftCell="A13" zoomScaleNormal="100" zoomScaleSheetLayoutView="100" workbookViewId="0">
      <selection activeCell="A14" sqref="A14:C14"/>
    </sheetView>
  </sheetViews>
  <sheetFormatPr defaultColWidth="9" defaultRowHeight="15.05"/>
  <cols>
    <col min="1" max="1" width="4.375" style="2" customWidth="1"/>
    <col min="2" max="2" width="6.375" style="2" customWidth="1"/>
    <col min="3" max="3" width="79.5" style="2" customWidth="1"/>
    <col min="4" max="16384" width="9" style="2"/>
  </cols>
  <sheetData>
    <row r="1" spans="1:9" ht="20.95" customHeight="1">
      <c r="A1" s="1051" t="s">
        <v>62</v>
      </c>
      <c r="B1" s="1051"/>
      <c r="C1" s="1051"/>
      <c r="D1" s="146"/>
      <c r="E1" s="146"/>
      <c r="F1" s="146"/>
      <c r="G1" s="146"/>
      <c r="H1" s="146"/>
      <c r="I1" s="146"/>
    </row>
    <row r="2" spans="1:9" ht="20.95" customHeight="1">
      <c r="A2" s="1051" t="s">
        <v>63</v>
      </c>
      <c r="B2" s="1051"/>
      <c r="C2" s="1051"/>
      <c r="D2" s="146"/>
      <c r="E2" s="146"/>
      <c r="F2" s="146"/>
      <c r="G2" s="146"/>
      <c r="H2" s="146"/>
      <c r="I2" s="146"/>
    </row>
    <row r="3" spans="1:9" ht="24.9" customHeight="1">
      <c r="A3" s="1053" t="s">
        <v>79</v>
      </c>
      <c r="B3" s="1053"/>
      <c r="C3" s="1053"/>
      <c r="D3" s="147"/>
      <c r="E3" s="147"/>
      <c r="F3" s="147"/>
      <c r="G3" s="147"/>
      <c r="H3" s="147"/>
      <c r="I3" s="147"/>
    </row>
    <row r="4" spans="1:9" ht="24.9" customHeight="1" thickBot="1">
      <c r="A4" s="1067" t="s">
        <v>1099</v>
      </c>
      <c r="B4" s="1067"/>
      <c r="C4" s="1067"/>
      <c r="D4" s="4"/>
      <c r="E4" s="4"/>
      <c r="F4" s="4"/>
      <c r="G4" s="4"/>
      <c r="H4" s="4"/>
      <c r="I4" s="4"/>
    </row>
    <row r="5" spans="1:9" s="351" customFormat="1" ht="8.1999999999999993" customHeight="1">
      <c r="A5" s="347"/>
      <c r="B5" s="348"/>
      <c r="C5" s="349"/>
      <c r="D5" s="350"/>
      <c r="E5" s="350"/>
      <c r="F5" s="350"/>
      <c r="G5" s="350"/>
      <c r="H5" s="350"/>
      <c r="I5" s="350"/>
    </row>
    <row r="6" spans="1:9" s="352" customFormat="1" ht="29.95" customHeight="1">
      <c r="A6" s="1061" t="s">
        <v>1424</v>
      </c>
      <c r="B6" s="1070"/>
      <c r="C6" s="1071"/>
    </row>
    <row r="7" spans="1:9" s="777" customFormat="1" ht="29.95" customHeight="1">
      <c r="A7" s="1061" t="s">
        <v>1340</v>
      </c>
      <c r="B7" s="1072"/>
      <c r="C7" s="1073"/>
    </row>
    <row r="8" spans="1:9" s="777" customFormat="1" ht="45" customHeight="1">
      <c r="A8" s="1061" t="s">
        <v>1341</v>
      </c>
      <c r="B8" s="1072"/>
      <c r="C8" s="1073"/>
    </row>
    <row r="9" spans="1:9" s="352" customFormat="1" ht="45" customHeight="1">
      <c r="A9" s="1061" t="s">
        <v>1425</v>
      </c>
      <c r="B9" s="1074"/>
      <c r="C9" s="1075"/>
    </row>
    <row r="10" spans="1:9" s="352" customFormat="1" ht="65" customHeight="1">
      <c r="A10" s="1061" t="s">
        <v>1384</v>
      </c>
      <c r="B10" s="1074"/>
      <c r="C10" s="1075"/>
    </row>
    <row r="11" spans="1:9" s="352" customFormat="1" ht="29.95" customHeight="1">
      <c r="A11" s="1061" t="s">
        <v>1426</v>
      </c>
      <c r="B11" s="1062"/>
      <c r="C11" s="1063"/>
    </row>
    <row r="12" spans="1:9" s="777" customFormat="1" ht="45" customHeight="1">
      <c r="A12" s="1061" t="s">
        <v>1342</v>
      </c>
      <c r="B12" s="1065"/>
      <c r="C12" s="1066"/>
    </row>
    <row r="13" spans="1:9" s="777" customFormat="1" ht="45" customHeight="1">
      <c r="A13" s="1061" t="s">
        <v>1343</v>
      </c>
      <c r="B13" s="1065"/>
      <c r="C13" s="1066"/>
    </row>
    <row r="14" spans="1:9" s="354" customFormat="1" ht="45" customHeight="1">
      <c r="A14" s="1061" t="s">
        <v>1427</v>
      </c>
      <c r="B14" s="1062"/>
      <c r="C14" s="1063"/>
    </row>
    <row r="15" spans="1:9" s="354" customFormat="1" ht="76.95" customHeight="1">
      <c r="A15" s="1061" t="s">
        <v>1344</v>
      </c>
      <c r="B15" s="1062"/>
      <c r="C15" s="1063"/>
    </row>
    <row r="16" spans="1:9" s="352" customFormat="1" ht="29.95" customHeight="1">
      <c r="A16" s="353" t="s">
        <v>78</v>
      </c>
      <c r="B16" s="1068" t="s">
        <v>1347</v>
      </c>
      <c r="C16" s="1069"/>
    </row>
    <row r="17" spans="1:3" s="352" customFormat="1" ht="29.95" customHeight="1">
      <c r="A17" s="1061" t="s">
        <v>1345</v>
      </c>
      <c r="B17" s="1062"/>
      <c r="C17" s="1063"/>
    </row>
    <row r="18" spans="1:3" s="352" customFormat="1" ht="41.4" customHeight="1">
      <c r="A18" s="1061" t="s">
        <v>1348</v>
      </c>
      <c r="B18" s="1062"/>
      <c r="C18" s="1063"/>
    </row>
    <row r="19" spans="1:3" s="352" customFormat="1" ht="29.95" customHeight="1">
      <c r="A19" s="1061" t="s">
        <v>1346</v>
      </c>
      <c r="B19" s="1062"/>
      <c r="C19" s="1063"/>
    </row>
    <row r="20" spans="1:3" s="352" customFormat="1" ht="23.4" customHeight="1">
      <c r="A20" s="1064" t="s">
        <v>1416</v>
      </c>
      <c r="B20" s="1062"/>
      <c r="C20" s="1063"/>
    </row>
    <row r="21" spans="1:3" s="351" customFormat="1" ht="17.350000000000001" customHeight="1">
      <c r="A21" s="355"/>
      <c r="B21" s="356"/>
      <c r="C21" s="357"/>
    </row>
    <row r="22" spans="1:3" s="351" customFormat="1" ht="16.850000000000001" customHeight="1">
      <c r="A22" s="355"/>
      <c r="B22" s="356"/>
      <c r="C22" s="357"/>
    </row>
    <row r="23" spans="1:3" ht="24.55" customHeight="1" thickBot="1">
      <c r="A23" s="358"/>
      <c r="B23" s="359"/>
      <c r="C23" s="360"/>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4"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32"/>
  <sheetViews>
    <sheetView view="pageBreakPreview" topLeftCell="A13" zoomScale="60" zoomScaleNormal="100" workbookViewId="0">
      <selection activeCell="A5" sqref="A5:B5"/>
    </sheetView>
  </sheetViews>
  <sheetFormatPr defaultColWidth="9" defaultRowHeight="15.05"/>
  <cols>
    <col min="1" max="1" width="15.625" style="12" customWidth="1"/>
    <col min="2" max="2" width="7.125" style="12" customWidth="1"/>
    <col min="3" max="3" width="19.375" style="12" customWidth="1"/>
    <col min="4" max="4" width="15.625" style="12" customWidth="1"/>
    <col min="5" max="5" width="7.125" style="111" customWidth="1"/>
    <col min="6" max="6" width="25.25" style="12" customWidth="1"/>
    <col min="7" max="16384" width="9" style="12"/>
  </cols>
  <sheetData>
    <row r="1" spans="1:9" ht="22.25">
      <c r="A1" s="1076" t="s">
        <v>62</v>
      </c>
      <c r="B1" s="1076"/>
      <c r="C1" s="1076"/>
      <c r="D1" s="1076"/>
      <c r="E1" s="1076"/>
      <c r="F1" s="1076"/>
      <c r="G1" s="11"/>
      <c r="H1" s="11"/>
      <c r="I1" s="11"/>
    </row>
    <row r="2" spans="1:9" ht="22.25">
      <c r="A2" s="1076" t="s">
        <v>63</v>
      </c>
      <c r="B2" s="1076"/>
      <c r="C2" s="1076"/>
      <c r="D2" s="1076"/>
      <c r="E2" s="1076"/>
      <c r="F2" s="1076"/>
      <c r="G2" s="11"/>
      <c r="H2" s="11"/>
      <c r="I2" s="11"/>
    </row>
    <row r="3" spans="1:9" ht="24.9" customHeight="1">
      <c r="A3" s="1077" t="s">
        <v>80</v>
      </c>
      <c r="B3" s="1077"/>
      <c r="C3" s="1077"/>
      <c r="D3" s="1077"/>
      <c r="E3" s="1077"/>
      <c r="F3" s="1077"/>
    </row>
    <row r="4" spans="1:9" ht="24.9" customHeight="1" thickBot="1">
      <c r="A4" s="1078" t="s">
        <v>1100</v>
      </c>
      <c r="B4" s="1078"/>
      <c r="C4" s="1078"/>
      <c r="D4" s="1078"/>
      <c r="E4" s="1078"/>
      <c r="F4" s="1078"/>
    </row>
    <row r="5" spans="1:9" ht="20.95" customHeight="1">
      <c r="A5" s="1079" t="s">
        <v>81</v>
      </c>
      <c r="B5" s="1080"/>
      <c r="C5" s="1080" t="s">
        <v>64</v>
      </c>
      <c r="D5" s="1080" t="s">
        <v>82</v>
      </c>
      <c r="E5" s="1080"/>
      <c r="F5" s="1082" t="s">
        <v>83</v>
      </c>
    </row>
    <row r="6" spans="1:9" ht="20.95" customHeight="1">
      <c r="A6" s="400" t="s">
        <v>84</v>
      </c>
      <c r="B6" s="449" t="s">
        <v>85</v>
      </c>
      <c r="C6" s="1081"/>
      <c r="D6" s="449" t="s">
        <v>84</v>
      </c>
      <c r="E6" s="449" t="s">
        <v>85</v>
      </c>
      <c r="F6" s="1083"/>
    </row>
    <row r="7" spans="1:9" ht="8.1999999999999993" customHeight="1">
      <c r="A7" s="401"/>
      <c r="B7" s="163"/>
      <c r="C7" s="163"/>
      <c r="D7" s="163"/>
      <c r="E7" s="163"/>
      <c r="F7" s="164"/>
    </row>
    <row r="8" spans="1:9" s="21" customFormat="1" ht="29.95" customHeight="1">
      <c r="A8" s="169" t="s">
        <v>10</v>
      </c>
      <c r="B8" s="170" t="s">
        <v>10</v>
      </c>
      <c r="C8" s="104" t="s">
        <v>86</v>
      </c>
      <c r="D8" s="170" t="s">
        <v>10</v>
      </c>
      <c r="E8" s="170" t="s">
        <v>10</v>
      </c>
      <c r="F8" s="150"/>
    </row>
    <row r="9" spans="1:9" s="21" customFormat="1" ht="29.95" customHeight="1">
      <c r="A9" s="169" t="s">
        <v>10</v>
      </c>
      <c r="B9" s="170" t="s">
        <v>10</v>
      </c>
      <c r="C9" s="402" t="s">
        <v>196</v>
      </c>
      <c r="D9" s="170" t="s">
        <v>10</v>
      </c>
      <c r="E9" s="170" t="s">
        <v>10</v>
      </c>
      <c r="F9" s="150"/>
    </row>
    <row r="10" spans="1:9" s="21" customFormat="1" ht="29.95" customHeight="1">
      <c r="A10" s="169" t="s">
        <v>10</v>
      </c>
      <c r="B10" s="170" t="s">
        <v>10</v>
      </c>
      <c r="C10" s="104" t="s">
        <v>87</v>
      </c>
      <c r="D10" s="170" t="s">
        <v>10</v>
      </c>
      <c r="E10" s="170" t="s">
        <v>10</v>
      </c>
      <c r="F10" s="150"/>
    </row>
    <row r="11" spans="1:9" ht="22.25" customHeight="1">
      <c r="A11" s="103"/>
      <c r="B11" s="104"/>
      <c r="C11" s="105" t="s">
        <v>11</v>
      </c>
      <c r="D11" s="105"/>
      <c r="E11" s="105"/>
      <c r="F11" s="102"/>
    </row>
    <row r="12" spans="1:9" ht="24.9" customHeight="1">
      <c r="A12" s="103"/>
      <c r="B12" s="104"/>
      <c r="C12" s="105" t="s">
        <v>11</v>
      </c>
      <c r="D12" s="105"/>
      <c r="E12" s="105"/>
      <c r="F12" s="102"/>
    </row>
    <row r="13" spans="1:9" ht="24.9" customHeight="1">
      <c r="A13" s="103"/>
      <c r="B13" s="104"/>
      <c r="C13" s="105" t="s">
        <v>11</v>
      </c>
      <c r="D13" s="105"/>
      <c r="E13" s="105"/>
      <c r="F13" s="102"/>
    </row>
    <row r="14" spans="1:9" ht="24.9" customHeight="1">
      <c r="A14" s="103"/>
      <c r="B14" s="104"/>
      <c r="C14" s="105" t="s">
        <v>11</v>
      </c>
      <c r="D14" s="105"/>
      <c r="E14" s="105"/>
      <c r="F14" s="102"/>
    </row>
    <row r="15" spans="1:9" ht="24.9" customHeight="1">
      <c r="A15" s="103"/>
      <c r="B15" s="104"/>
      <c r="C15" s="105" t="s">
        <v>11</v>
      </c>
      <c r="D15" s="105"/>
      <c r="E15" s="105"/>
      <c r="F15" s="102"/>
    </row>
    <row r="16" spans="1:9" ht="24.9" customHeight="1">
      <c r="A16" s="103"/>
      <c r="B16" s="104"/>
      <c r="C16" s="105" t="s">
        <v>11</v>
      </c>
      <c r="D16" s="105"/>
      <c r="E16" s="105"/>
      <c r="F16" s="102"/>
    </row>
    <row r="17" spans="1:6" ht="24.9" customHeight="1">
      <c r="A17" s="103"/>
      <c r="B17" s="104" t="s">
        <v>11</v>
      </c>
      <c r="C17" s="105" t="s">
        <v>88</v>
      </c>
      <c r="D17" s="105"/>
      <c r="E17" s="105"/>
      <c r="F17" s="102"/>
    </row>
    <row r="18" spans="1:6" ht="24.9" customHeight="1">
      <c r="A18" s="103"/>
      <c r="B18" s="104"/>
      <c r="C18" s="105" t="s">
        <v>11</v>
      </c>
      <c r="D18" s="105"/>
      <c r="E18" s="105"/>
      <c r="F18" s="102"/>
    </row>
    <row r="19" spans="1:6" ht="24.9" customHeight="1">
      <c r="A19" s="103"/>
      <c r="B19" s="104"/>
      <c r="C19" s="106" t="s">
        <v>11</v>
      </c>
      <c r="D19" s="105"/>
      <c r="E19" s="105"/>
      <c r="F19" s="102"/>
    </row>
    <row r="20" spans="1:6" ht="24.9" customHeight="1">
      <c r="A20" s="103"/>
      <c r="B20" s="104"/>
      <c r="C20" s="106" t="s">
        <v>11</v>
      </c>
      <c r="D20" s="105"/>
      <c r="E20" s="105"/>
      <c r="F20" s="102"/>
    </row>
    <row r="21" spans="1:6" ht="24.9" customHeight="1">
      <c r="A21" s="103"/>
      <c r="B21" s="104"/>
      <c r="C21" s="106" t="s">
        <v>11</v>
      </c>
      <c r="D21" s="105"/>
      <c r="E21" s="105"/>
      <c r="F21" s="102"/>
    </row>
    <row r="22" spans="1:6" ht="24.9" customHeight="1">
      <c r="A22" s="103"/>
      <c r="B22" s="104"/>
      <c r="C22" s="106" t="s">
        <v>11</v>
      </c>
      <c r="D22" s="105"/>
      <c r="E22" s="105"/>
      <c r="F22" s="102"/>
    </row>
    <row r="23" spans="1:6" ht="24.9" customHeight="1">
      <c r="A23" s="103"/>
      <c r="B23" s="104"/>
      <c r="C23" s="106"/>
      <c r="D23" s="105"/>
      <c r="E23" s="105"/>
      <c r="F23" s="102"/>
    </row>
    <row r="24" spans="1:6" ht="24.9" customHeight="1">
      <c r="A24" s="103"/>
      <c r="B24" s="104"/>
      <c r="C24" s="106"/>
      <c r="D24" s="105"/>
      <c r="E24" s="105"/>
      <c r="F24" s="102"/>
    </row>
    <row r="25" spans="1:6" ht="24.9" customHeight="1">
      <c r="A25" s="103"/>
      <c r="B25" s="104"/>
      <c r="C25" s="106"/>
      <c r="D25" s="105"/>
      <c r="E25" s="105"/>
      <c r="F25" s="102"/>
    </row>
    <row r="26" spans="1:6" ht="24.05" customHeight="1">
      <c r="A26" s="103"/>
      <c r="B26" s="104"/>
      <c r="C26" s="106"/>
      <c r="D26" s="105"/>
      <c r="E26" s="105"/>
      <c r="F26" s="102"/>
    </row>
    <row r="27" spans="1:6" ht="25.85" customHeight="1">
      <c r="A27" s="103"/>
      <c r="B27" s="104"/>
      <c r="C27" s="106"/>
      <c r="D27" s="105"/>
      <c r="E27" s="105"/>
      <c r="F27" s="102"/>
    </row>
    <row r="28" spans="1:6" ht="25.85" customHeight="1">
      <c r="A28" s="103"/>
      <c r="B28" s="104"/>
      <c r="C28" s="106" t="s">
        <v>11</v>
      </c>
      <c r="D28" s="105"/>
      <c r="E28" s="105"/>
      <c r="F28" s="102"/>
    </row>
    <row r="29" spans="1:6" ht="24.9" customHeight="1">
      <c r="A29" s="103"/>
      <c r="B29" s="104"/>
      <c r="C29" s="106" t="s">
        <v>11</v>
      </c>
      <c r="D29" s="105"/>
      <c r="E29" s="105"/>
      <c r="F29" s="102"/>
    </row>
    <row r="30" spans="1:6" ht="8.35" customHeight="1">
      <c r="A30" s="103"/>
      <c r="B30" s="104"/>
      <c r="C30" s="106" t="s">
        <v>11</v>
      </c>
      <c r="D30" s="105"/>
      <c r="E30" s="105"/>
      <c r="F30" s="102"/>
    </row>
    <row r="31" spans="1:6" ht="22.95" customHeight="1">
      <c r="A31" s="103"/>
      <c r="B31" s="104"/>
      <c r="C31" s="106" t="s">
        <v>11</v>
      </c>
      <c r="D31" s="105"/>
      <c r="E31" s="105"/>
      <c r="F31" s="102"/>
    </row>
    <row r="32" spans="1:6" ht="35.200000000000003" customHeight="1" thickBot="1">
      <c r="A32" s="107"/>
      <c r="B32" s="108"/>
      <c r="C32" s="109" t="s">
        <v>11</v>
      </c>
      <c r="D32" s="97"/>
      <c r="E32" s="97"/>
      <c r="F32" s="110"/>
    </row>
  </sheetData>
  <mergeCells count="8">
    <mergeCell ref="A1:F1"/>
    <mergeCell ref="A2:F2"/>
    <mergeCell ref="A3:F3"/>
    <mergeCell ref="A4:F4"/>
    <mergeCell ref="A5:B5"/>
    <mergeCell ref="C5:C6"/>
    <mergeCell ref="D5:E5"/>
    <mergeCell ref="F5:F6"/>
  </mergeCells>
  <phoneticPr fontId="4" type="noConversion"/>
  <printOptions horizontalCentered="1"/>
  <pageMargins left="0.59055118110236227" right="0.59055118110236227" top="0.59055118110236227" bottom="0.78740157480314965" header="0.51181102362204722" footer="0.51181102362204722"/>
  <pageSetup paperSize="9" firstPageNumber="17" orientation="portrait" useFirstPageNumber="1" r:id="rId1"/>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H45"/>
  <sheetViews>
    <sheetView view="pageBreakPreview" topLeftCell="A35" zoomScaleNormal="100" zoomScaleSheetLayoutView="100" workbookViewId="0">
      <selection activeCell="D16" sqref="D16"/>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hidden="1" customWidth="1"/>
    <col min="7" max="7" width="9" style="6"/>
    <col min="8" max="8" width="26.375" style="6" customWidth="1"/>
    <col min="9" max="9" width="19.875" style="6" customWidth="1"/>
    <col min="10" max="16384" width="9" style="6"/>
  </cols>
  <sheetData>
    <row r="1" spans="1:8" s="2" customFormat="1" ht="22.25">
      <c r="A1" s="1051" t="s">
        <v>578</v>
      </c>
      <c r="B1" s="1051"/>
      <c r="C1" s="1051"/>
      <c r="D1" s="1051"/>
      <c r="E1" s="1051"/>
      <c r="F1" s="1"/>
      <c r="G1" s="1"/>
      <c r="H1" s="1"/>
    </row>
    <row r="2" spans="1:8" s="2" customFormat="1" ht="22.25">
      <c r="A2" s="1051" t="s">
        <v>579</v>
      </c>
      <c r="B2" s="1051"/>
      <c r="C2" s="1051"/>
      <c r="D2" s="1051"/>
      <c r="E2" s="1051"/>
      <c r="F2" s="1"/>
      <c r="G2" s="1"/>
      <c r="H2" s="1"/>
    </row>
    <row r="3" spans="1:8" s="2" customFormat="1" ht="24.75" customHeight="1">
      <c r="A3" s="1053" t="s">
        <v>580</v>
      </c>
      <c r="B3" s="1053"/>
      <c r="C3" s="1053"/>
      <c r="D3" s="1053"/>
      <c r="E3" s="1053"/>
      <c r="F3" s="3"/>
      <c r="G3" s="3"/>
      <c r="H3" s="3"/>
    </row>
    <row r="4" spans="1:8" s="2" customFormat="1" ht="24.9" customHeight="1" thickBot="1">
      <c r="A4" s="1067" t="s">
        <v>1101</v>
      </c>
      <c r="B4" s="1067"/>
      <c r="C4" s="1067"/>
      <c r="D4" s="1067"/>
      <c r="E4" s="1067"/>
      <c r="F4" s="4"/>
      <c r="G4" s="4"/>
      <c r="H4" s="4"/>
    </row>
    <row r="5" spans="1:8">
      <c r="A5" s="1087" t="s">
        <v>581</v>
      </c>
      <c r="B5" s="1090" t="s">
        <v>582</v>
      </c>
      <c r="C5" s="1093" t="s">
        <v>66</v>
      </c>
      <c r="D5" s="1094"/>
      <c r="E5" s="1095"/>
      <c r="F5" s="4"/>
      <c r="G5" s="4"/>
      <c r="H5" s="4"/>
    </row>
    <row r="6" spans="1:8" ht="11.95" customHeight="1">
      <c r="A6" s="1088"/>
      <c r="B6" s="1091"/>
      <c r="C6" s="1096"/>
      <c r="D6" s="1097"/>
      <c r="E6" s="1098"/>
      <c r="F6" s="4"/>
      <c r="G6" s="4"/>
      <c r="H6" s="4"/>
    </row>
    <row r="7" spans="1:8" ht="7.55" customHeight="1">
      <c r="A7" s="1089"/>
      <c r="B7" s="1092"/>
      <c r="C7" s="1099"/>
      <c r="D7" s="1100"/>
      <c r="E7" s="1101"/>
    </row>
    <row r="8" spans="1:8" ht="5.25" customHeight="1">
      <c r="A8" s="728"/>
      <c r="B8" s="729"/>
      <c r="C8" s="84"/>
      <c r="D8" s="134"/>
      <c r="E8" s="87"/>
    </row>
    <row r="9" spans="1:8" s="9" customFormat="1" ht="29" customHeight="1">
      <c r="A9" s="135" t="s">
        <v>606</v>
      </c>
      <c r="B9" s="136"/>
      <c r="C9" s="137"/>
      <c r="D9" s="138"/>
      <c r="E9" s="1009"/>
    </row>
    <row r="10" spans="1:8" s="30" customFormat="1" ht="29" customHeight="1">
      <c r="A10" s="140" t="s">
        <v>555</v>
      </c>
      <c r="B10" s="187">
        <v>0</v>
      </c>
      <c r="C10" s="141"/>
      <c r="D10" s="142"/>
      <c r="E10" s="1009"/>
    </row>
    <row r="11" spans="1:8" s="30" customFormat="1" ht="29" customHeight="1">
      <c r="A11" s="140" t="s">
        <v>783</v>
      </c>
      <c r="B11" s="31">
        <f>-D11+D12</f>
        <v>-6657047</v>
      </c>
      <c r="C11" s="1007" t="s">
        <v>622</v>
      </c>
      <c r="D11" s="1006">
        <v>6689797</v>
      </c>
      <c r="E11" s="1008" t="s">
        <v>68</v>
      </c>
    </row>
    <row r="12" spans="1:8" s="30" customFormat="1" ht="29" customHeight="1">
      <c r="A12" s="140"/>
      <c r="B12" s="67"/>
      <c r="C12" s="1007" t="s">
        <v>482</v>
      </c>
      <c r="D12" s="1006">
        <v>32750</v>
      </c>
      <c r="E12" s="1008" t="s">
        <v>68</v>
      </c>
    </row>
    <row r="13" spans="1:8" s="30" customFormat="1" ht="29" customHeight="1">
      <c r="A13" s="140" t="s">
        <v>784</v>
      </c>
      <c r="B13" s="31">
        <f>+B10+B11</f>
        <v>-6657047</v>
      </c>
      <c r="C13" s="141"/>
      <c r="D13" s="142"/>
      <c r="E13" s="1009"/>
    </row>
    <row r="14" spans="1:8" s="30" customFormat="1" ht="29" customHeight="1">
      <c r="A14" s="140" t="s">
        <v>771</v>
      </c>
      <c r="B14" s="143">
        <f>D14+D15+D16+D17+D18+D19+D20</f>
        <v>-5826370</v>
      </c>
      <c r="C14" s="1007" t="s">
        <v>1238</v>
      </c>
      <c r="D14" s="1006">
        <v>750494</v>
      </c>
      <c r="E14" s="1008" t="s">
        <v>68</v>
      </c>
      <c r="F14" s="35"/>
    </row>
    <row r="15" spans="1:8" s="9" customFormat="1" ht="29" customHeight="1">
      <c r="A15" s="140"/>
      <c r="B15" s="143"/>
      <c r="C15" s="1007" t="s">
        <v>540</v>
      </c>
      <c r="D15" s="1006">
        <f>-4693023+300</f>
        <v>-4692723</v>
      </c>
      <c r="E15" s="1008" t="s">
        <v>68</v>
      </c>
    </row>
    <row r="16" spans="1:8" s="30" customFormat="1" ht="29" customHeight="1">
      <c r="A16" s="140"/>
      <c r="B16" s="143"/>
      <c r="C16" s="1007" t="s">
        <v>560</v>
      </c>
      <c r="D16" s="1006">
        <v>16154</v>
      </c>
      <c r="E16" s="1008" t="s">
        <v>68</v>
      </c>
      <c r="F16" s="35"/>
    </row>
    <row r="17" spans="1:8" s="9" customFormat="1" ht="29" customHeight="1">
      <c r="A17" s="140"/>
      <c r="B17" s="143"/>
      <c r="C17" s="1007" t="s">
        <v>776</v>
      </c>
      <c r="D17" s="1006">
        <v>1115</v>
      </c>
      <c r="E17" s="1008" t="s">
        <v>68</v>
      </c>
    </row>
    <row r="18" spans="1:8" s="30" customFormat="1" ht="29" customHeight="1">
      <c r="A18" s="140" t="s">
        <v>607</v>
      </c>
      <c r="B18" s="31"/>
      <c r="C18" s="1007" t="s">
        <v>1379</v>
      </c>
      <c r="D18" s="1006">
        <v>-1803396</v>
      </c>
      <c r="E18" s="1008" t="s">
        <v>68</v>
      </c>
      <c r="F18" s="36"/>
      <c r="H18" s="10"/>
    </row>
    <row r="19" spans="1:8" s="9" customFormat="1" ht="29" customHeight="1">
      <c r="A19" s="140" t="s">
        <v>607</v>
      </c>
      <c r="B19" s="31"/>
      <c r="C19" s="1007" t="s">
        <v>1237</v>
      </c>
      <c r="D19" s="1006">
        <v>-37099</v>
      </c>
      <c r="E19" s="1008" t="s">
        <v>68</v>
      </c>
    </row>
    <row r="20" spans="1:8" s="9" customFormat="1" ht="29" customHeight="1">
      <c r="A20" s="140" t="s">
        <v>607</v>
      </c>
      <c r="B20" s="31"/>
      <c r="C20" s="1007" t="s">
        <v>1239</v>
      </c>
      <c r="D20" s="1006">
        <v>-60915</v>
      </c>
      <c r="E20" s="1008" t="s">
        <v>68</v>
      </c>
    </row>
    <row r="21" spans="1:8" s="30" customFormat="1" ht="29" customHeight="1">
      <c r="A21" s="140" t="s">
        <v>785</v>
      </c>
      <c r="B21" s="31">
        <f>+B13+B14</f>
        <v>-12483417</v>
      </c>
      <c r="C21" s="141"/>
      <c r="D21" s="142"/>
      <c r="E21" s="1009"/>
    </row>
    <row r="22" spans="1:8" s="30" customFormat="1" ht="29" customHeight="1">
      <c r="A22" s="140" t="s">
        <v>786</v>
      </c>
      <c r="B22" s="31">
        <v>387</v>
      </c>
      <c r="C22" s="1102" t="s">
        <v>1235</v>
      </c>
      <c r="D22" s="1103"/>
      <c r="E22" s="1104"/>
    </row>
    <row r="23" spans="1:8" s="9" customFormat="1" ht="29" customHeight="1">
      <c r="A23" s="135" t="s">
        <v>609</v>
      </c>
      <c r="B23" s="27">
        <f>+B21+B22</f>
        <v>-12483030</v>
      </c>
      <c r="C23" s="372"/>
      <c r="D23" s="373"/>
      <c r="E23" s="1008"/>
    </row>
    <row r="24" spans="1:8" s="9" customFormat="1" ht="29" customHeight="1">
      <c r="A24" s="135" t="s">
        <v>610</v>
      </c>
      <c r="B24" s="27"/>
      <c r="C24" s="374"/>
      <c r="D24" s="375"/>
      <c r="E24" s="376"/>
    </row>
    <row r="25" spans="1:8" s="9" customFormat="1" ht="74.45" customHeight="1">
      <c r="A25" s="140" t="s">
        <v>611</v>
      </c>
      <c r="B25" s="31">
        <v>4823724</v>
      </c>
      <c r="C25" s="1084" t="s">
        <v>1382</v>
      </c>
      <c r="D25" s="1085"/>
      <c r="E25" s="1086"/>
    </row>
    <row r="26" spans="1:8" s="9" customFormat="1" ht="99" customHeight="1" thickBot="1">
      <c r="A26" s="489" t="s">
        <v>612</v>
      </c>
      <c r="B26" s="100">
        <v>15416759</v>
      </c>
      <c r="C26" s="1105" t="s">
        <v>1380</v>
      </c>
      <c r="D26" s="1106"/>
      <c r="E26" s="1107"/>
      <c r="F26" s="9">
        <f>728450+11955000</f>
        <v>12683450</v>
      </c>
    </row>
    <row r="27" spans="1:8" s="9" customFormat="1" ht="1.1499999999999999" hidden="1" customHeight="1">
      <c r="A27" s="140" t="s">
        <v>613</v>
      </c>
      <c r="B27" s="31">
        <v>0</v>
      </c>
      <c r="C27" s="1084" t="s">
        <v>777</v>
      </c>
      <c r="D27" s="1085"/>
      <c r="E27" s="1086"/>
    </row>
    <row r="28" spans="1:8" s="9" customFormat="1" ht="36" customHeight="1">
      <c r="A28" s="140" t="s">
        <v>774</v>
      </c>
      <c r="B28" s="31">
        <v>6687935</v>
      </c>
      <c r="C28" s="1102" t="s">
        <v>1383</v>
      </c>
      <c r="D28" s="1103"/>
      <c r="E28" s="1104"/>
    </row>
    <row r="29" spans="1:8" s="9" customFormat="1" ht="81.650000000000006" customHeight="1">
      <c r="A29" s="140" t="s">
        <v>614</v>
      </c>
      <c r="B29" s="31">
        <v>-896726</v>
      </c>
      <c r="C29" s="1084" t="s">
        <v>1236</v>
      </c>
      <c r="D29" s="1085"/>
      <c r="E29" s="1086"/>
    </row>
    <row r="30" spans="1:8" s="9" customFormat="1" ht="96.75" customHeight="1">
      <c r="A30" s="140" t="s">
        <v>615</v>
      </c>
      <c r="B30" s="31">
        <v>-15449392</v>
      </c>
      <c r="C30" s="1084" t="s">
        <v>1240</v>
      </c>
      <c r="D30" s="1085"/>
      <c r="E30" s="1086"/>
    </row>
    <row r="31" spans="1:8" s="9" customFormat="1" ht="24.05" hidden="1" customHeight="1">
      <c r="A31" s="140" t="s">
        <v>616</v>
      </c>
      <c r="B31" s="31">
        <v>0</v>
      </c>
      <c r="C31" s="1084" t="s">
        <v>1225</v>
      </c>
      <c r="D31" s="1085"/>
      <c r="E31" s="1086"/>
    </row>
    <row r="32" spans="1:8" s="9" customFormat="1" ht="28.5" customHeight="1">
      <c r="A32" s="135" t="s">
        <v>617</v>
      </c>
      <c r="B32" s="27">
        <f>SUM(B25:B31)</f>
        <v>10582300</v>
      </c>
      <c r="C32" s="372"/>
      <c r="D32" s="373"/>
      <c r="E32" s="376"/>
    </row>
    <row r="33" spans="1:5" s="9" customFormat="1" ht="29.95" customHeight="1">
      <c r="A33" s="135" t="s">
        <v>618</v>
      </c>
      <c r="B33" s="144"/>
      <c r="C33" s="377"/>
      <c r="D33" s="378"/>
      <c r="E33" s="376"/>
    </row>
    <row r="34" spans="1:5" s="390" customFormat="1" ht="60.75" hidden="1" customHeight="1">
      <c r="A34" s="140" t="s">
        <v>619</v>
      </c>
      <c r="B34" s="31">
        <v>0</v>
      </c>
      <c r="C34" s="1102" t="s">
        <v>1241</v>
      </c>
      <c r="D34" s="1103"/>
      <c r="E34" s="1104"/>
    </row>
    <row r="35" spans="1:5" s="390" customFormat="1" ht="42.55" customHeight="1">
      <c r="A35" s="140" t="s">
        <v>620</v>
      </c>
      <c r="B35" s="31">
        <v>-97000</v>
      </c>
      <c r="C35" s="1102" t="s">
        <v>1242</v>
      </c>
      <c r="D35" s="1103"/>
      <c r="E35" s="1104"/>
    </row>
    <row r="36" spans="1:5" s="390" customFormat="1" ht="29" customHeight="1">
      <c r="A36" s="140" t="s">
        <v>787</v>
      </c>
      <c r="B36" s="31">
        <v>-32750</v>
      </c>
      <c r="C36" s="1102" t="s">
        <v>1378</v>
      </c>
      <c r="D36" s="1103"/>
      <c r="E36" s="1104"/>
    </row>
    <row r="37" spans="1:5" s="9" customFormat="1" ht="29" customHeight="1">
      <c r="A37" s="135" t="s">
        <v>547</v>
      </c>
      <c r="B37" s="77">
        <f>SUM(B34:B36)</f>
        <v>-129750</v>
      </c>
      <c r="C37" s="379"/>
      <c r="D37" s="380"/>
      <c r="E37" s="720"/>
    </row>
    <row r="38" spans="1:5" s="9" customFormat="1" ht="29" customHeight="1">
      <c r="A38" s="135" t="s">
        <v>548</v>
      </c>
      <c r="B38" s="77">
        <f>B23+B32+B37</f>
        <v>-2030480</v>
      </c>
      <c r="C38" s="382"/>
      <c r="D38" s="383"/>
      <c r="E38" s="376"/>
    </row>
    <row r="39" spans="1:5" s="9" customFormat="1" ht="29" customHeight="1">
      <c r="A39" s="135" t="s">
        <v>608</v>
      </c>
      <c r="B39" s="77">
        <v>40647380</v>
      </c>
      <c r="C39" s="382"/>
      <c r="D39" s="383"/>
      <c r="E39" s="376"/>
    </row>
    <row r="40" spans="1:5" s="9" customFormat="1" ht="29" customHeight="1">
      <c r="A40" s="735" t="s">
        <v>623</v>
      </c>
      <c r="B40" s="77">
        <f>B38+B39</f>
        <v>38616900</v>
      </c>
      <c r="C40" s="383"/>
      <c r="D40" s="383"/>
      <c r="E40" s="376"/>
    </row>
    <row r="41" spans="1:5" s="9" customFormat="1" ht="96.05" customHeight="1">
      <c r="A41" s="735"/>
      <c r="B41" s="77"/>
      <c r="C41" s="383"/>
      <c r="D41" s="383"/>
      <c r="E41" s="376"/>
    </row>
    <row r="42" spans="1:5" s="9" customFormat="1" ht="18.649999999999999" customHeight="1">
      <c r="A42" s="735"/>
      <c r="B42" s="77"/>
      <c r="C42" s="383"/>
      <c r="D42" s="383"/>
      <c r="E42" s="376"/>
    </row>
    <row r="43" spans="1:5" s="9" customFormat="1" ht="13.25" customHeight="1">
      <c r="A43" s="135"/>
      <c r="B43" s="77"/>
      <c r="C43" s="382"/>
      <c r="D43" s="383"/>
      <c r="E43" s="376"/>
    </row>
    <row r="44" spans="1:5" s="9" customFormat="1" ht="20.45" customHeight="1" thickBot="1">
      <c r="A44" s="481"/>
      <c r="B44" s="281"/>
      <c r="C44" s="386"/>
      <c r="D44" s="387"/>
      <c r="E44" s="721"/>
    </row>
    <row r="45" spans="1:5" ht="28.15" customHeight="1">
      <c r="A45" s="1108" t="s">
        <v>1414</v>
      </c>
      <c r="B45" s="1109"/>
      <c r="C45" s="1109"/>
      <c r="D45" s="1109"/>
      <c r="E45" s="1109"/>
    </row>
  </sheetData>
  <mergeCells count="19">
    <mergeCell ref="A45:E45"/>
    <mergeCell ref="C36:E36"/>
    <mergeCell ref="C28:E28"/>
    <mergeCell ref="C35:E35"/>
    <mergeCell ref="C29:E29"/>
    <mergeCell ref="C30:E30"/>
    <mergeCell ref="C34:E34"/>
    <mergeCell ref="C25:E25"/>
    <mergeCell ref="C31:E31"/>
    <mergeCell ref="A1:E1"/>
    <mergeCell ref="A5:A7"/>
    <mergeCell ref="B5:B7"/>
    <mergeCell ref="A4:E4"/>
    <mergeCell ref="A3:E3"/>
    <mergeCell ref="A2:E2"/>
    <mergeCell ref="C5:E7"/>
    <mergeCell ref="C22:E22"/>
    <mergeCell ref="C26:E26"/>
    <mergeCell ref="C27:E27"/>
  </mergeCells>
  <phoneticPr fontId="4" type="noConversion"/>
  <printOptions horizontalCentered="1"/>
  <pageMargins left="0.59055118110236227" right="0.59055118110236227" top="0.59055118110236227" bottom="0.78740157480314965" header="0.51181102362204722" footer="0.51181102362204722"/>
  <pageSetup paperSize="9" firstPageNumber="18"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5"/>
  <sheetViews>
    <sheetView view="pageBreakPreview" topLeftCell="A7" zoomScale="60" zoomScaleNormal="100" workbookViewId="0">
      <selection activeCell="C12" sqref="C12:D12"/>
    </sheetView>
  </sheetViews>
  <sheetFormatPr defaultColWidth="9" defaultRowHeight="15.05"/>
  <cols>
    <col min="1" max="1" width="26" style="6" customWidth="1"/>
    <col min="2" max="2" width="5.5" style="6" bestFit="1" customWidth="1"/>
    <col min="3" max="3" width="14.25" style="6" bestFit="1" customWidth="1"/>
    <col min="4" max="4" width="8.875" style="19" bestFit="1" customWidth="1"/>
    <col min="5" max="5" width="11.75" style="6" customWidth="1"/>
    <col min="6" max="6" width="23.875" style="6" customWidth="1"/>
    <col min="7" max="16384" width="9" style="6"/>
  </cols>
  <sheetData>
    <row r="1" spans="1:9" ht="22.25">
      <c r="A1" s="1051" t="s">
        <v>62</v>
      </c>
      <c r="B1" s="1051"/>
      <c r="C1" s="1051"/>
      <c r="D1" s="1051"/>
      <c r="E1" s="1051"/>
      <c r="F1" s="1051"/>
    </row>
    <row r="2" spans="1:9" ht="22.25">
      <c r="A2" s="1051" t="s">
        <v>63</v>
      </c>
      <c r="B2" s="1051"/>
      <c r="C2" s="1051"/>
      <c r="D2" s="1051"/>
      <c r="E2" s="1051"/>
      <c r="F2" s="1051"/>
    </row>
    <row r="3" spans="1:9" ht="24.75" customHeight="1">
      <c r="A3" s="1052" t="s">
        <v>495</v>
      </c>
      <c r="B3" s="1053"/>
      <c r="C3" s="1053"/>
      <c r="D3" s="1053"/>
      <c r="E3" s="1053"/>
      <c r="F3" s="1053"/>
    </row>
    <row r="4" spans="1:9" ht="24.75" customHeight="1" thickBot="1">
      <c r="A4" s="1055" t="s">
        <v>1102</v>
      </c>
      <c r="B4" s="1055"/>
      <c r="C4" s="1055"/>
      <c r="D4" s="1055"/>
      <c r="E4" s="1055"/>
      <c r="F4" s="1055"/>
      <c r="G4" s="4"/>
      <c r="H4" s="4"/>
      <c r="I4" s="4"/>
    </row>
    <row r="5" spans="1:9" ht="15.75" customHeight="1">
      <c r="A5" s="1110" t="s">
        <v>496</v>
      </c>
      <c r="B5" s="1111"/>
      <c r="C5" s="1116" t="s">
        <v>497</v>
      </c>
      <c r="D5" s="1117"/>
      <c r="E5" s="1122" t="s">
        <v>498</v>
      </c>
      <c r="F5" s="1123"/>
    </row>
    <row r="6" spans="1:9" ht="15.75" customHeight="1">
      <c r="A6" s="1112"/>
      <c r="B6" s="1113"/>
      <c r="C6" s="1118"/>
      <c r="D6" s="1119"/>
      <c r="E6" s="1124"/>
      <c r="F6" s="1125"/>
    </row>
    <row r="7" spans="1:9">
      <c r="A7" s="1114"/>
      <c r="B7" s="1115"/>
      <c r="C7" s="1120"/>
      <c r="D7" s="1121"/>
      <c r="E7" s="1126"/>
      <c r="F7" s="1127"/>
    </row>
    <row r="8" spans="1:9" ht="11.3" customHeight="1">
      <c r="A8" s="1128"/>
      <c r="B8" s="1129"/>
      <c r="C8" s="1136"/>
      <c r="D8" s="1146"/>
      <c r="E8" s="1136"/>
      <c r="F8" s="1137"/>
    </row>
    <row r="9" spans="1:9" s="30" customFormat="1" ht="39.950000000000003" customHeight="1">
      <c r="A9" s="1130" t="s">
        <v>624</v>
      </c>
      <c r="B9" s="1131"/>
      <c r="C9" s="1147">
        <f>+C10</f>
        <v>281663</v>
      </c>
      <c r="D9" s="1148"/>
      <c r="E9" s="1132" t="s">
        <v>940</v>
      </c>
      <c r="F9" s="1133"/>
    </row>
    <row r="10" spans="1:9" s="9" customFormat="1" ht="39.950000000000003" customHeight="1">
      <c r="A10" s="1130" t="s">
        <v>625</v>
      </c>
      <c r="B10" s="1131"/>
      <c r="C10" s="1147">
        <f>+C11</f>
        <v>281663</v>
      </c>
      <c r="D10" s="1148"/>
      <c r="E10" s="1134"/>
      <c r="F10" s="1135"/>
    </row>
    <row r="11" spans="1:9" s="30" customFormat="1" ht="39.950000000000003" customHeight="1">
      <c r="A11" s="1130" t="s">
        <v>626</v>
      </c>
      <c r="B11" s="1131" t="s">
        <v>627</v>
      </c>
      <c r="C11" s="1147">
        <f>+C12</f>
        <v>281663</v>
      </c>
      <c r="D11" s="1148"/>
      <c r="E11" s="1132" t="s">
        <v>1170</v>
      </c>
      <c r="F11" s="1138"/>
    </row>
    <row r="12" spans="1:9" s="30" customFormat="1" ht="39.950000000000003" customHeight="1">
      <c r="A12" s="1140" t="s">
        <v>628</v>
      </c>
      <c r="B12" s="1141" t="s">
        <v>627</v>
      </c>
      <c r="C12" s="1149">
        <v>281663</v>
      </c>
      <c r="D12" s="1150"/>
      <c r="E12" s="1139"/>
      <c r="F12" s="1138"/>
    </row>
    <row r="13" spans="1:9" s="30" customFormat="1" ht="36.85" customHeight="1">
      <c r="A13" s="1142"/>
      <c r="B13" s="1143"/>
      <c r="C13" s="1151"/>
      <c r="D13" s="1152"/>
      <c r="E13" s="1134"/>
      <c r="F13" s="1135"/>
    </row>
    <row r="14" spans="1:9" s="30" customFormat="1" ht="31.6" customHeight="1">
      <c r="A14" s="1142"/>
      <c r="B14" s="1143"/>
      <c r="C14" s="1151"/>
      <c r="D14" s="1152"/>
      <c r="E14" s="1134"/>
      <c r="F14" s="1135"/>
    </row>
    <row r="15" spans="1:9" s="30" customFormat="1" ht="27" customHeight="1">
      <c r="A15" s="1142"/>
      <c r="B15" s="1143"/>
      <c r="C15" s="1151"/>
      <c r="D15" s="1152"/>
      <c r="E15" s="1134"/>
      <c r="F15" s="1135"/>
    </row>
    <row r="16" spans="1:9" s="30" customFormat="1" ht="27" customHeight="1">
      <c r="A16" s="1142"/>
      <c r="B16" s="1143"/>
      <c r="C16" s="1151"/>
      <c r="D16" s="1152"/>
      <c r="E16" s="1134"/>
      <c r="F16" s="1135"/>
    </row>
    <row r="17" spans="1:7" s="30" customFormat="1" ht="26.2" customHeight="1">
      <c r="A17" s="1142"/>
      <c r="B17" s="1143"/>
      <c r="C17" s="1151"/>
      <c r="D17" s="1152"/>
      <c r="E17" s="1134"/>
      <c r="F17" s="1135"/>
    </row>
    <row r="18" spans="1:7" s="30" customFormat="1" ht="86.25" customHeight="1">
      <c r="A18" s="1142"/>
      <c r="B18" s="1143"/>
      <c r="C18" s="1151"/>
      <c r="D18" s="1152"/>
      <c r="E18" s="1134"/>
      <c r="F18" s="1135"/>
    </row>
    <row r="19" spans="1:7" s="30" customFormat="1" ht="26.2" customHeight="1">
      <c r="A19" s="1142"/>
      <c r="B19" s="1143"/>
      <c r="C19" s="1151"/>
      <c r="D19" s="1152"/>
      <c r="E19" s="1134"/>
      <c r="F19" s="1135"/>
    </row>
    <row r="20" spans="1:7" s="30" customFormat="1" ht="57.8" customHeight="1">
      <c r="A20" s="1142"/>
      <c r="B20" s="1143"/>
      <c r="C20" s="1151"/>
      <c r="D20" s="1152"/>
      <c r="E20" s="1134"/>
      <c r="F20" s="1135"/>
    </row>
    <row r="21" spans="1:7" s="30" customFormat="1" ht="36" customHeight="1">
      <c r="A21" s="1142"/>
      <c r="B21" s="1143"/>
      <c r="C21" s="1151"/>
      <c r="D21" s="1152"/>
      <c r="E21" s="1134"/>
      <c r="F21" s="1135"/>
    </row>
    <row r="22" spans="1:7" s="30" customFormat="1" ht="55.8" customHeight="1">
      <c r="A22" s="1142"/>
      <c r="B22" s="1143"/>
      <c r="C22" s="1151"/>
      <c r="D22" s="1152"/>
      <c r="E22" s="1134"/>
      <c r="F22" s="1135"/>
      <c r="G22" s="32"/>
    </row>
    <row r="23" spans="1:7" s="30" customFormat="1" ht="20.3" customHeight="1">
      <c r="A23" s="1142"/>
      <c r="B23" s="1143"/>
      <c r="C23" s="1151"/>
      <c r="D23" s="1152"/>
      <c r="E23" s="1134"/>
      <c r="F23" s="1135"/>
    </row>
    <row r="24" spans="1:7" s="30" customFormat="1" ht="28.5" customHeight="1" thickBot="1">
      <c r="A24" s="1144"/>
      <c r="B24" s="1145"/>
      <c r="C24" s="1153"/>
      <c r="D24" s="1154"/>
      <c r="E24" s="1156"/>
      <c r="F24" s="1157"/>
    </row>
    <row r="25" spans="1:7" s="30" customFormat="1" ht="0.85" hidden="1" customHeight="1">
      <c r="A25" s="452"/>
      <c r="B25" s="453"/>
      <c r="C25" s="1151"/>
      <c r="D25" s="1155"/>
      <c r="E25" s="31"/>
      <c r="F25" s="346"/>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4" type="noConversion"/>
  <printOptions horizontalCentered="1"/>
  <pageMargins left="0.59055118110236227" right="0.59055118110236227" top="0.59055118110236227" bottom="0.78740157480314965" header="0.51181102362204722" footer="0.51181102362204722"/>
  <pageSetup paperSize="9" firstPageNumber="21"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9"/>
  <sheetViews>
    <sheetView view="pageBreakPreview" topLeftCell="A41" zoomScaleNormal="100" zoomScaleSheetLayoutView="100" workbookViewId="0">
      <selection activeCell="E42" sqref="E42"/>
    </sheetView>
  </sheetViews>
  <sheetFormatPr defaultColWidth="9" defaultRowHeight="15.05"/>
  <cols>
    <col min="1" max="1" width="24.375" style="6" customWidth="1"/>
    <col min="2" max="2" width="5.5" style="6" bestFit="1" customWidth="1"/>
    <col min="3" max="3" width="16" style="6" bestFit="1" customWidth="1"/>
    <col min="4" max="4" width="8.875" style="19" bestFit="1" customWidth="1"/>
    <col min="5" max="5" width="11.75" style="6" customWidth="1"/>
    <col min="6" max="6" width="23.625" style="6" customWidth="1"/>
    <col min="7" max="7" width="13.5" style="6" bestFit="1" customWidth="1"/>
    <col min="8" max="9" width="14.875" style="6" customWidth="1"/>
    <col min="10" max="10" width="9.375" style="6" bestFit="1" customWidth="1"/>
    <col min="11" max="12" width="9" style="6"/>
    <col min="13" max="13" width="13.5" style="6" bestFit="1" customWidth="1"/>
    <col min="14" max="16384" width="9" style="6"/>
  </cols>
  <sheetData>
    <row r="1" spans="1:10" ht="22.25">
      <c r="A1" s="1051" t="s">
        <v>62</v>
      </c>
      <c r="B1" s="1051"/>
      <c r="C1" s="1051"/>
      <c r="D1" s="1051"/>
      <c r="E1" s="1051"/>
      <c r="F1" s="1051"/>
    </row>
    <row r="2" spans="1:10" ht="22.25">
      <c r="A2" s="1051" t="s">
        <v>63</v>
      </c>
      <c r="B2" s="1051"/>
      <c r="C2" s="1051"/>
      <c r="D2" s="1051"/>
      <c r="E2" s="1051"/>
      <c r="F2" s="1051"/>
    </row>
    <row r="3" spans="1:10" ht="24.75" customHeight="1">
      <c r="A3" s="1053" t="s">
        <v>90</v>
      </c>
      <c r="B3" s="1053"/>
      <c r="C3" s="1053"/>
      <c r="D3" s="1053"/>
      <c r="E3" s="1053"/>
      <c r="F3" s="1053"/>
    </row>
    <row r="4" spans="1:10" ht="24.75" customHeight="1" thickBot="1">
      <c r="A4" s="1067" t="s">
        <v>1103</v>
      </c>
      <c r="B4" s="1067"/>
      <c r="C4" s="1067"/>
      <c r="D4" s="1067"/>
      <c r="E4" s="1067"/>
      <c r="F4" s="1067"/>
      <c r="G4" s="4"/>
      <c r="H4" s="4"/>
      <c r="I4" s="4"/>
      <c r="J4" s="4"/>
    </row>
    <row r="5" spans="1:10">
      <c r="A5" s="1164" t="s">
        <v>199</v>
      </c>
      <c r="B5" s="1167" t="s">
        <v>200</v>
      </c>
      <c r="C5" s="1170" t="s">
        <v>91</v>
      </c>
      <c r="D5" s="1171"/>
      <c r="E5" s="1172"/>
      <c r="F5" s="1173" t="s">
        <v>66</v>
      </c>
    </row>
    <row r="6" spans="1:10">
      <c r="A6" s="1165"/>
      <c r="B6" s="1168"/>
      <c r="C6" s="1160" t="s">
        <v>92</v>
      </c>
      <c r="D6" s="1176" t="s">
        <v>93</v>
      </c>
      <c r="E6" s="1160" t="s">
        <v>94</v>
      </c>
      <c r="F6" s="1174"/>
    </row>
    <row r="7" spans="1:10" ht="20.3" customHeight="1">
      <c r="A7" s="1166"/>
      <c r="B7" s="1169"/>
      <c r="C7" s="1161"/>
      <c r="D7" s="1177"/>
      <c r="E7" s="1161"/>
      <c r="F7" s="1175"/>
    </row>
    <row r="8" spans="1:10" ht="11.3" customHeight="1">
      <c r="A8" s="450"/>
      <c r="B8" s="771"/>
      <c r="C8" s="768"/>
      <c r="D8" s="772"/>
      <c r="E8" s="768"/>
      <c r="F8" s="25"/>
    </row>
    <row r="9" spans="1:10" s="30" customFormat="1" ht="76.599999999999994" customHeight="1">
      <c r="A9" s="26" t="s">
        <v>201</v>
      </c>
      <c r="B9" s="451" t="s">
        <v>202</v>
      </c>
      <c r="C9" s="27">
        <f>C10+C32+C45+C40</f>
        <v>842717069</v>
      </c>
      <c r="D9" s="28"/>
      <c r="E9" s="27">
        <f>E10+E32+E45+E40</f>
        <v>30203924</v>
      </c>
      <c r="F9" s="34" t="s">
        <v>1339</v>
      </c>
      <c r="G9" s="896">
        <f>+I9-H9</f>
        <v>29686020</v>
      </c>
      <c r="H9" s="896">
        <f>+E40+I25</f>
        <v>517904</v>
      </c>
      <c r="I9" s="896">
        <f>+E9</f>
        <v>30203924</v>
      </c>
    </row>
    <row r="10" spans="1:10" s="30" customFormat="1" ht="31.6" customHeight="1">
      <c r="A10" s="26" t="s">
        <v>203</v>
      </c>
      <c r="B10" s="451"/>
      <c r="C10" s="27">
        <f>+C11+C24+C26</f>
        <v>690261441</v>
      </c>
      <c r="D10" s="28"/>
      <c r="E10" s="27">
        <f>+E11+E24+E26</f>
        <v>28126938</v>
      </c>
      <c r="F10" s="29"/>
    </row>
    <row r="11" spans="1:10" s="30" customFormat="1" ht="26.2" customHeight="1">
      <c r="A11" s="26" t="s">
        <v>632</v>
      </c>
      <c r="B11" s="451" t="s">
        <v>202</v>
      </c>
      <c r="C11" s="226">
        <f>C12+C16+C19+C22</f>
        <v>566465000</v>
      </c>
      <c r="D11" s="227"/>
      <c r="E11" s="226">
        <f>E12+E16+E19+E22</f>
        <v>26619874</v>
      </c>
      <c r="F11" s="29"/>
      <c r="G11" s="32"/>
    </row>
    <row r="12" spans="1:10" s="30" customFormat="1" ht="41.25" customHeight="1">
      <c r="A12" s="452" t="s">
        <v>633</v>
      </c>
      <c r="B12" s="451" t="s">
        <v>202</v>
      </c>
      <c r="C12" s="31">
        <f>+C13</f>
        <v>401307000</v>
      </c>
      <c r="D12" s="202"/>
      <c r="E12" s="31">
        <f>+E13</f>
        <v>23514514</v>
      </c>
      <c r="F12" s="769" t="s">
        <v>95</v>
      </c>
      <c r="H12" s="30" t="s">
        <v>917</v>
      </c>
    </row>
    <row r="13" spans="1:10" s="30" customFormat="1" ht="26.05" customHeight="1">
      <c r="A13" s="452" t="s">
        <v>634</v>
      </c>
      <c r="B13" s="453" t="s">
        <v>202</v>
      </c>
      <c r="C13" s="31">
        <f>+C14+C15</f>
        <v>401307000</v>
      </c>
      <c r="D13" s="265"/>
      <c r="E13" s="31">
        <f>+E14+E15</f>
        <v>23514514</v>
      </c>
      <c r="F13" s="769"/>
    </row>
    <row r="14" spans="1:10" s="30" customFormat="1" ht="26.05" customHeight="1">
      <c r="A14" s="452" t="s">
        <v>494</v>
      </c>
      <c r="B14" s="453" t="s">
        <v>202</v>
      </c>
      <c r="C14" s="31">
        <v>159139000</v>
      </c>
      <c r="D14" s="202">
        <v>5.6000000000000001E-2</v>
      </c>
      <c r="E14" s="31">
        <v>8911784</v>
      </c>
      <c r="F14" s="769"/>
    </row>
    <row r="15" spans="1:10" s="30" customFormat="1" ht="27" customHeight="1">
      <c r="A15" s="452" t="s">
        <v>635</v>
      </c>
      <c r="B15" s="453" t="s">
        <v>202</v>
      </c>
      <c r="C15" s="31">
        <v>242168000</v>
      </c>
      <c r="D15" s="265">
        <v>6.0299999999999999E-2</v>
      </c>
      <c r="E15" s="31">
        <v>14602730</v>
      </c>
      <c r="F15" s="34"/>
    </row>
    <row r="16" spans="1:10" s="30" customFormat="1" ht="24.05" customHeight="1">
      <c r="A16" s="452" t="s">
        <v>216</v>
      </c>
      <c r="B16" s="453" t="s">
        <v>202</v>
      </c>
      <c r="C16" s="31">
        <f>SUM(C17:C18)</f>
        <v>12454000</v>
      </c>
      <c r="D16" s="202"/>
      <c r="E16" s="31">
        <f>SUM(E17:E18)</f>
        <v>66006</v>
      </c>
      <c r="F16" s="769" t="s">
        <v>98</v>
      </c>
    </row>
    <row r="17" spans="1:15" s="30" customFormat="1" ht="28.5" customHeight="1">
      <c r="A17" s="452" t="s">
        <v>205</v>
      </c>
      <c r="B17" s="453" t="s">
        <v>202</v>
      </c>
      <c r="C17" s="31">
        <v>12454000</v>
      </c>
      <c r="D17" s="202">
        <v>5.3E-3</v>
      </c>
      <c r="E17" s="31">
        <v>66006</v>
      </c>
      <c r="F17" s="769"/>
    </row>
    <row r="18" spans="1:15" s="30" customFormat="1" ht="27" hidden="1" customHeight="1">
      <c r="A18" s="452" t="s">
        <v>206</v>
      </c>
      <c r="B18" s="453" t="s">
        <v>202</v>
      </c>
      <c r="C18" s="31">
        <v>0</v>
      </c>
      <c r="D18" s="202">
        <v>0</v>
      </c>
      <c r="E18" s="31">
        <v>0</v>
      </c>
      <c r="F18" s="769"/>
    </row>
    <row r="19" spans="1:15" s="30" customFormat="1" ht="48.6" customHeight="1">
      <c r="A19" s="452" t="s">
        <v>217</v>
      </c>
      <c r="B19" s="453" t="s">
        <v>202</v>
      </c>
      <c r="C19" s="31">
        <f>SUM(C20:C21)</f>
        <v>49817000</v>
      </c>
      <c r="D19" s="202"/>
      <c r="E19" s="31">
        <f>SUM(E20:E21)</f>
        <v>1043346</v>
      </c>
      <c r="F19" s="34" t="s">
        <v>99</v>
      </c>
    </row>
    <row r="20" spans="1:15" s="30" customFormat="1" ht="27" customHeight="1">
      <c r="A20" s="452" t="s">
        <v>205</v>
      </c>
      <c r="B20" s="453" t="s">
        <v>202</v>
      </c>
      <c r="C20" s="31">
        <v>46667000</v>
      </c>
      <c r="D20" s="202">
        <v>2.1499999999999998E-2</v>
      </c>
      <c r="E20" s="31">
        <v>1003341</v>
      </c>
      <c r="F20" s="769"/>
    </row>
    <row r="21" spans="1:15" s="30" customFormat="1" ht="26.2" customHeight="1">
      <c r="A21" s="452" t="s">
        <v>206</v>
      </c>
      <c r="B21" s="453" t="s">
        <v>202</v>
      </c>
      <c r="C21" s="31">
        <v>3150000</v>
      </c>
      <c r="D21" s="202">
        <v>1.2699999999999999E-2</v>
      </c>
      <c r="E21" s="31">
        <v>40005</v>
      </c>
      <c r="F21" s="769"/>
    </row>
    <row r="22" spans="1:15" s="30" customFormat="1" ht="33.75" customHeight="1">
      <c r="A22" s="452" t="s">
        <v>218</v>
      </c>
      <c r="B22" s="453" t="s">
        <v>202</v>
      </c>
      <c r="C22" s="31">
        <f>C23</f>
        <v>102887000</v>
      </c>
      <c r="D22" s="265">
        <f>D23</f>
        <v>1.9400000000000001E-2</v>
      </c>
      <c r="E22" s="31">
        <f>E23</f>
        <v>1996008</v>
      </c>
      <c r="F22" s="34" t="s">
        <v>100</v>
      </c>
    </row>
    <row r="23" spans="1:15" s="30" customFormat="1" ht="32.25" customHeight="1">
      <c r="A23" s="452" t="s">
        <v>205</v>
      </c>
      <c r="B23" s="453" t="s">
        <v>202</v>
      </c>
      <c r="C23" s="31">
        <v>102887000</v>
      </c>
      <c r="D23" s="202">
        <v>1.9400000000000001E-2</v>
      </c>
      <c r="E23" s="31">
        <v>1996008</v>
      </c>
      <c r="F23" s="769"/>
    </row>
    <row r="24" spans="1:15" s="30" customFormat="1" ht="35.200000000000003" customHeight="1">
      <c r="A24" s="26" t="s">
        <v>204</v>
      </c>
      <c r="B24" s="451" t="s">
        <v>202</v>
      </c>
      <c r="C24" s="27">
        <f>C25</f>
        <v>34275031</v>
      </c>
      <c r="D24" s="225">
        <f>D25</f>
        <v>1.6059795832132143E-2</v>
      </c>
      <c r="E24" s="27">
        <f>E25</f>
        <v>550450</v>
      </c>
      <c r="F24" s="1162" t="s">
        <v>1338</v>
      </c>
      <c r="G24" s="894" t="s">
        <v>979</v>
      </c>
      <c r="H24" s="894" t="s">
        <v>981</v>
      </c>
      <c r="I24" s="894" t="s">
        <v>982</v>
      </c>
      <c r="J24" s="30" t="s">
        <v>978</v>
      </c>
      <c r="K24" s="30" t="s">
        <v>980</v>
      </c>
      <c r="L24" s="30" t="s">
        <v>327</v>
      </c>
      <c r="M24" s="30" t="s">
        <v>978</v>
      </c>
      <c r="N24" s="30" t="s">
        <v>980</v>
      </c>
      <c r="O24" s="30" t="s">
        <v>327</v>
      </c>
    </row>
    <row r="25" spans="1:15" s="30" customFormat="1" ht="104.4" customHeight="1" thickBot="1">
      <c r="A25" s="454" t="s">
        <v>207</v>
      </c>
      <c r="B25" s="455" t="s">
        <v>202</v>
      </c>
      <c r="C25" s="100">
        <v>34275031</v>
      </c>
      <c r="D25" s="332">
        <f>+E25/C25</f>
        <v>1.6059795832132143E-2</v>
      </c>
      <c r="E25" s="100">
        <v>550450</v>
      </c>
      <c r="F25" s="1163"/>
      <c r="G25" s="792">
        <v>31000000</v>
      </c>
      <c r="H25" s="695">
        <v>1.67</v>
      </c>
      <c r="I25" s="695">
        <v>517700</v>
      </c>
      <c r="J25" s="30">
        <v>3275031</v>
      </c>
      <c r="K25" s="30">
        <v>1</v>
      </c>
      <c r="L25" s="30">
        <v>32750</v>
      </c>
      <c r="M25" s="792">
        <f>+G25+J25</f>
        <v>34275031</v>
      </c>
      <c r="N25" s="895">
        <f>+O25/M25</f>
        <v>1.6059795832132143E-2</v>
      </c>
      <c r="O25" s="30">
        <f>+I25+L25</f>
        <v>550450</v>
      </c>
    </row>
    <row r="26" spans="1:15" s="30" customFormat="1" ht="27.65" customHeight="1">
      <c r="A26" s="26" t="s">
        <v>208</v>
      </c>
      <c r="B26" s="451" t="s">
        <v>202</v>
      </c>
      <c r="C26" s="375">
        <f>C27+C30</f>
        <v>89521410</v>
      </c>
      <c r="D26" s="225"/>
      <c r="E26" s="27">
        <f>E27+E30</f>
        <v>956614</v>
      </c>
      <c r="F26" s="769"/>
    </row>
    <row r="27" spans="1:15" s="30" customFormat="1" ht="26.2" customHeight="1">
      <c r="A27" s="452" t="s">
        <v>207</v>
      </c>
      <c r="B27" s="453" t="s">
        <v>202</v>
      </c>
      <c r="C27" s="373">
        <f>SUM(C28:C29)</f>
        <v>69013804</v>
      </c>
      <c r="D27" s="202"/>
      <c r="E27" s="31">
        <f>+E28+E29</f>
        <v>821264</v>
      </c>
      <c r="F27" s="769" t="s">
        <v>96</v>
      </c>
    </row>
    <row r="28" spans="1:15" s="30" customFormat="1" ht="26.2" customHeight="1">
      <c r="A28" s="452" t="s">
        <v>209</v>
      </c>
      <c r="B28" s="453" t="s">
        <v>202</v>
      </c>
      <c r="C28" s="373">
        <v>40437804</v>
      </c>
      <c r="D28" s="202">
        <v>6.6E-3</v>
      </c>
      <c r="E28" s="31">
        <v>266890</v>
      </c>
      <c r="F28" s="769"/>
    </row>
    <row r="29" spans="1:15" s="30" customFormat="1" ht="25.55" customHeight="1">
      <c r="A29" s="452" t="s">
        <v>210</v>
      </c>
      <c r="B29" s="453" t="s">
        <v>202</v>
      </c>
      <c r="C29" s="373">
        <v>28576000</v>
      </c>
      <c r="D29" s="202">
        <v>1.9400000000000001E-2</v>
      </c>
      <c r="E29" s="31">
        <v>554374</v>
      </c>
      <c r="F29" s="769"/>
    </row>
    <row r="30" spans="1:15" s="30" customFormat="1" ht="28.5" customHeight="1">
      <c r="A30" s="452" t="s">
        <v>211</v>
      </c>
      <c r="B30" s="453" t="s">
        <v>202</v>
      </c>
      <c r="C30" s="373">
        <v>20507606</v>
      </c>
      <c r="D30" s="202">
        <v>6.6E-3</v>
      </c>
      <c r="E30" s="31">
        <v>135350</v>
      </c>
      <c r="F30" s="769" t="s">
        <v>97</v>
      </c>
    </row>
    <row r="31" spans="1:15" s="30" customFormat="1" ht="4.95" hidden="1" customHeight="1">
      <c r="A31" s="26"/>
      <c r="B31" s="451"/>
      <c r="C31" s="373"/>
      <c r="D31" s="92"/>
      <c r="E31" s="31"/>
      <c r="F31" s="34"/>
    </row>
    <row r="32" spans="1:15" s="9" customFormat="1" ht="28.5" customHeight="1">
      <c r="A32" s="26" t="s">
        <v>212</v>
      </c>
      <c r="B32" s="451"/>
      <c r="C32" s="375">
        <f>C37+C33</f>
        <v>141212000</v>
      </c>
      <c r="D32" s="91"/>
      <c r="E32" s="27">
        <f>E37+E33</f>
        <v>2004257</v>
      </c>
      <c r="F32" s="34"/>
      <c r="I32" s="892"/>
      <c r="L32" s="892"/>
    </row>
    <row r="33" spans="1:12" s="30" customFormat="1" ht="29" customHeight="1">
      <c r="A33" s="26" t="s">
        <v>636</v>
      </c>
      <c r="B33" s="451" t="s">
        <v>202</v>
      </c>
      <c r="C33" s="704">
        <f>SUM(C34:C36)</f>
        <v>98425000</v>
      </c>
      <c r="D33" s="228"/>
      <c r="E33" s="226">
        <f>SUM(E34:E36)</f>
        <v>1695791</v>
      </c>
      <c r="F33" s="29"/>
      <c r="G33" s="32"/>
    </row>
    <row r="34" spans="1:12" s="30" customFormat="1" ht="32.25" customHeight="1">
      <c r="A34" s="452" t="s">
        <v>216</v>
      </c>
      <c r="B34" s="453" t="s">
        <v>202</v>
      </c>
      <c r="C34" s="373">
        <v>7202000</v>
      </c>
      <c r="D34" s="202">
        <v>5.3E-3</v>
      </c>
      <c r="E34" s="31">
        <v>38171</v>
      </c>
      <c r="F34" s="769" t="s">
        <v>98</v>
      </c>
    </row>
    <row r="35" spans="1:12" s="30" customFormat="1" ht="37.799999999999997" customHeight="1">
      <c r="A35" s="452" t="s">
        <v>217</v>
      </c>
      <c r="B35" s="453" t="s">
        <v>202</v>
      </c>
      <c r="C35" s="373">
        <v>64816000</v>
      </c>
      <c r="D35" s="202">
        <v>1.7100000000000001E-2</v>
      </c>
      <c r="E35" s="31">
        <v>1108354</v>
      </c>
      <c r="F35" s="34" t="s">
        <v>99</v>
      </c>
    </row>
    <row r="36" spans="1:12" s="30" customFormat="1" ht="35.35" customHeight="1">
      <c r="A36" s="452" t="s">
        <v>218</v>
      </c>
      <c r="B36" s="453" t="s">
        <v>202</v>
      </c>
      <c r="C36" s="373">
        <v>26407000</v>
      </c>
      <c r="D36" s="202">
        <v>2.0799999999999999E-2</v>
      </c>
      <c r="E36" s="31">
        <v>549266</v>
      </c>
      <c r="F36" s="34" t="s">
        <v>100</v>
      </c>
    </row>
    <row r="37" spans="1:12" s="30" customFormat="1" ht="25.55" customHeight="1">
      <c r="A37" s="26" t="s">
        <v>213</v>
      </c>
      <c r="B37" s="451" t="s">
        <v>202</v>
      </c>
      <c r="C37" s="375">
        <f>SUM(C38:C39)</f>
        <v>42787000</v>
      </c>
      <c r="D37" s="225"/>
      <c r="E37" s="27">
        <f>SUM(E38:E39)</f>
        <v>308466</v>
      </c>
      <c r="F37" s="769" t="s">
        <v>96</v>
      </c>
    </row>
    <row r="38" spans="1:12" s="30" customFormat="1" ht="29.95" customHeight="1">
      <c r="A38" s="452" t="s">
        <v>219</v>
      </c>
      <c r="B38" s="453" t="s">
        <v>202</v>
      </c>
      <c r="C38" s="373">
        <v>40951000</v>
      </c>
      <c r="D38" s="202">
        <v>6.6E-3</v>
      </c>
      <c r="E38" s="31">
        <v>270277</v>
      </c>
      <c r="F38" s="769"/>
    </row>
    <row r="39" spans="1:12" s="30" customFormat="1" ht="29.3" customHeight="1">
      <c r="A39" s="452" t="s">
        <v>220</v>
      </c>
      <c r="B39" s="453" t="s">
        <v>202</v>
      </c>
      <c r="C39" s="373">
        <v>1836000</v>
      </c>
      <c r="D39" s="202">
        <v>2.0799999999999999E-2</v>
      </c>
      <c r="E39" s="31">
        <v>38189</v>
      </c>
      <c r="F39" s="34"/>
    </row>
    <row r="40" spans="1:12" s="9" customFormat="1" ht="26.05" customHeight="1">
      <c r="A40" s="26" t="s">
        <v>983</v>
      </c>
      <c r="B40" s="451"/>
      <c r="C40" s="375">
        <f>+C41</f>
        <v>255000</v>
      </c>
      <c r="D40" s="91"/>
      <c r="E40" s="27">
        <f>+E41</f>
        <v>204</v>
      </c>
      <c r="F40" s="862"/>
      <c r="I40" s="892"/>
      <c r="L40" s="892"/>
    </row>
    <row r="41" spans="1:12" s="30" customFormat="1" ht="30.6" customHeight="1">
      <c r="A41" s="26" t="s">
        <v>213</v>
      </c>
      <c r="B41" s="451" t="s">
        <v>202</v>
      </c>
      <c r="C41" s="375">
        <f>+C42+C43</f>
        <v>255000</v>
      </c>
      <c r="D41" s="225">
        <v>8.0000000000000004E-4</v>
      </c>
      <c r="E41" s="27">
        <f>+E42+E43</f>
        <v>204</v>
      </c>
      <c r="F41" s="1158" t="s">
        <v>947</v>
      </c>
    </row>
    <row r="42" spans="1:12" s="30" customFormat="1" ht="27.65" customHeight="1">
      <c r="A42" s="452" t="s">
        <v>984</v>
      </c>
      <c r="B42" s="453" t="s">
        <v>202</v>
      </c>
      <c r="C42" s="373">
        <v>230000</v>
      </c>
      <c r="D42" s="202">
        <v>8.0000000000000004E-4</v>
      </c>
      <c r="E42" s="31">
        <v>184</v>
      </c>
      <c r="F42" s="1158"/>
    </row>
    <row r="43" spans="1:12" s="30" customFormat="1" ht="27" customHeight="1">
      <c r="A43" s="452" t="s">
        <v>985</v>
      </c>
      <c r="B43" s="453" t="s">
        <v>202</v>
      </c>
      <c r="C43" s="373">
        <v>25000</v>
      </c>
      <c r="D43" s="202">
        <v>8.0000000000000004E-4</v>
      </c>
      <c r="E43" s="31">
        <v>20</v>
      </c>
      <c r="F43" s="1158"/>
    </row>
    <row r="44" spans="1:12" s="30" customFormat="1" ht="6.55" customHeight="1">
      <c r="A44" s="26"/>
      <c r="B44" s="453"/>
      <c r="C44" s="373"/>
      <c r="D44" s="92"/>
      <c r="E44" s="31"/>
      <c r="F44" s="1159"/>
    </row>
    <row r="45" spans="1:12" s="9" customFormat="1" ht="29.95" customHeight="1">
      <c r="A45" s="26" t="s">
        <v>214</v>
      </c>
      <c r="B45" s="451"/>
      <c r="C45" s="375">
        <f>C46</f>
        <v>10988628</v>
      </c>
      <c r="D45" s="91"/>
      <c r="E45" s="27">
        <f>E46</f>
        <v>72525</v>
      </c>
      <c r="F45" s="34"/>
      <c r="I45" s="892"/>
      <c r="L45" s="892"/>
    </row>
    <row r="46" spans="1:12" s="30" customFormat="1" ht="28.15" customHeight="1">
      <c r="A46" s="26" t="s">
        <v>213</v>
      </c>
      <c r="B46" s="451" t="s">
        <v>202</v>
      </c>
      <c r="C46" s="375">
        <f>SUM(C47:C48)</f>
        <v>10988628</v>
      </c>
      <c r="D46" s="225">
        <f>D47</f>
        <v>6.6E-3</v>
      </c>
      <c r="E46" s="27">
        <f>SUM(E47:E48)</f>
        <v>72525</v>
      </c>
      <c r="F46" s="769" t="s">
        <v>97</v>
      </c>
    </row>
    <row r="47" spans="1:12" s="30" customFormat="1" ht="28.8" customHeight="1">
      <c r="A47" s="452" t="s">
        <v>637</v>
      </c>
      <c r="B47" s="453" t="s">
        <v>202</v>
      </c>
      <c r="C47" s="373">
        <v>10938505</v>
      </c>
      <c r="D47" s="202">
        <v>6.6E-3</v>
      </c>
      <c r="E47" s="31">
        <v>72194</v>
      </c>
      <c r="F47" s="769"/>
    </row>
    <row r="48" spans="1:12" s="30" customFormat="1" ht="28.15" customHeight="1" thickBot="1">
      <c r="A48" s="454" t="s">
        <v>215</v>
      </c>
      <c r="B48" s="455" t="s">
        <v>202</v>
      </c>
      <c r="C48" s="705">
        <v>50123</v>
      </c>
      <c r="D48" s="332">
        <v>6.6E-3</v>
      </c>
      <c r="E48" s="100">
        <v>331</v>
      </c>
      <c r="F48" s="770"/>
    </row>
    <row r="49" spans="3:5">
      <c r="C49" s="93"/>
      <c r="D49" s="93"/>
      <c r="E49" s="93"/>
    </row>
  </sheetData>
  <mergeCells count="13">
    <mergeCell ref="F41:F44"/>
    <mergeCell ref="E6:E7"/>
    <mergeCell ref="F24:F25"/>
    <mergeCell ref="A1:F1"/>
    <mergeCell ref="A2:F2"/>
    <mergeCell ref="A3:F3"/>
    <mergeCell ref="A4:F4"/>
    <mergeCell ref="A5:A7"/>
    <mergeCell ref="B5:B7"/>
    <mergeCell ref="C5:E5"/>
    <mergeCell ref="F5:F7"/>
    <mergeCell ref="C6:C7"/>
    <mergeCell ref="D6:D7"/>
  </mergeCells>
  <phoneticPr fontId="4"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54"/>
  <sheetViews>
    <sheetView view="pageBreakPreview" workbookViewId="0">
      <selection activeCell="D13" sqref="D13"/>
    </sheetView>
  </sheetViews>
  <sheetFormatPr defaultColWidth="9" defaultRowHeight="15.05"/>
  <cols>
    <col min="1" max="1" width="27.5" style="6" customWidth="1"/>
    <col min="2" max="2" width="13.62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2.25">
      <c r="A1" s="1051" t="s">
        <v>62</v>
      </c>
      <c r="B1" s="1051"/>
      <c r="C1" s="1051"/>
      <c r="D1" s="1"/>
      <c r="E1" s="1"/>
      <c r="F1" s="1"/>
    </row>
    <row r="2" spans="1:6" s="2" customFormat="1" ht="22.25">
      <c r="A2" s="1051" t="s">
        <v>63</v>
      </c>
      <c r="B2" s="1051"/>
      <c r="C2" s="1051"/>
      <c r="D2" s="1"/>
      <c r="E2" s="1"/>
      <c r="F2" s="1"/>
    </row>
    <row r="3" spans="1:6" s="2" customFormat="1" ht="24.75" customHeight="1">
      <c r="A3" s="1053" t="s">
        <v>101</v>
      </c>
      <c r="B3" s="1053"/>
      <c r="C3" s="1053"/>
      <c r="D3" s="3"/>
      <c r="E3" s="3"/>
      <c r="F3" s="3"/>
    </row>
    <row r="4" spans="1:6" s="2" customFormat="1" ht="24.75" customHeight="1" thickBot="1">
      <c r="A4" s="1067" t="s">
        <v>1104</v>
      </c>
      <c r="B4" s="1067"/>
      <c r="C4" s="1067"/>
      <c r="D4" s="4"/>
      <c r="E4" s="4"/>
      <c r="F4" s="4"/>
    </row>
    <row r="5" spans="1:6" ht="15.75" customHeight="1">
      <c r="A5" s="1178" t="s">
        <v>199</v>
      </c>
      <c r="B5" s="1181" t="s">
        <v>197</v>
      </c>
      <c r="C5" s="1184" t="s">
        <v>198</v>
      </c>
      <c r="D5" s="4"/>
      <c r="E5" s="4"/>
      <c r="F5" s="4"/>
    </row>
    <row r="6" spans="1:6" ht="15.75" customHeight="1">
      <c r="A6" s="1179"/>
      <c r="B6" s="1182"/>
      <c r="C6" s="1185"/>
      <c r="D6" s="4"/>
      <c r="E6" s="4"/>
      <c r="F6" s="4"/>
    </row>
    <row r="7" spans="1:6" ht="15.75" customHeight="1">
      <c r="A7" s="1180"/>
      <c r="B7" s="1183"/>
      <c r="C7" s="1186"/>
    </row>
    <row r="8" spans="1:6" ht="8.1999999999999993" customHeight="1">
      <c r="A8" s="73"/>
      <c r="B8" s="767"/>
      <c r="C8" s="87"/>
    </row>
    <row r="9" spans="1:6" s="9" customFormat="1" ht="36" customHeight="1">
      <c r="A9" s="456" t="s">
        <v>221</v>
      </c>
      <c r="B9" s="20">
        <f>B10+B22+B27+B35</f>
        <v>477611869</v>
      </c>
      <c r="C9" s="34" t="s">
        <v>1429</v>
      </c>
      <c r="D9" s="1016">
        <f>+B10+B22+B27</f>
        <v>477048757</v>
      </c>
      <c r="E9" s="1016">
        <f>+B35</f>
        <v>563112</v>
      </c>
      <c r="F9" s="1016">
        <f>+D9+E9</f>
        <v>477611869</v>
      </c>
    </row>
    <row r="10" spans="1:6" s="9" customFormat="1" ht="19.149999999999999" customHeight="1">
      <c r="A10" s="457" t="s">
        <v>34</v>
      </c>
      <c r="B10" s="20">
        <f>+B11+B18</f>
        <v>443882187</v>
      </c>
      <c r="C10" s="773"/>
    </row>
    <row r="11" spans="1:6" s="30" customFormat="1" ht="20" customHeight="1">
      <c r="A11" s="458" t="s">
        <v>808</v>
      </c>
      <c r="B11" s="20">
        <f>B12+B15</f>
        <v>433065251</v>
      </c>
      <c r="C11" s="773" t="s">
        <v>1059</v>
      </c>
      <c r="D11" s="35"/>
    </row>
    <row r="12" spans="1:6" s="30" customFormat="1" ht="58.25" customHeight="1">
      <c r="A12" s="459" t="s">
        <v>223</v>
      </c>
      <c r="B12" s="8">
        <f>B13+B14</f>
        <v>432600814</v>
      </c>
      <c r="C12" s="773" t="s">
        <v>1198</v>
      </c>
      <c r="D12" s="35"/>
    </row>
    <row r="13" spans="1:6" s="30" customFormat="1" ht="20.45" customHeight="1">
      <c r="A13" s="459" t="s">
        <v>205</v>
      </c>
      <c r="B13" s="8">
        <v>424229693</v>
      </c>
      <c r="C13" s="773"/>
      <c r="D13" s="35"/>
    </row>
    <row r="14" spans="1:6" s="30" customFormat="1" ht="20.45" customHeight="1">
      <c r="A14" s="459" t="s">
        <v>206</v>
      </c>
      <c r="B14" s="8">
        <v>8371121</v>
      </c>
      <c r="C14" s="773"/>
      <c r="D14" s="35"/>
    </row>
    <row r="15" spans="1:6" s="30" customFormat="1" ht="20.45" customHeight="1">
      <c r="A15" s="459" t="s">
        <v>224</v>
      </c>
      <c r="B15" s="8">
        <f>SUM(B16:B17)</f>
        <v>464437</v>
      </c>
      <c r="C15" s="773"/>
      <c r="D15" s="35"/>
    </row>
    <row r="16" spans="1:6" s="30" customFormat="1" ht="20.45" customHeight="1">
      <c r="A16" s="459" t="s">
        <v>205</v>
      </c>
      <c r="B16" s="8">
        <v>450520</v>
      </c>
      <c r="C16" s="773"/>
      <c r="D16" s="35"/>
    </row>
    <row r="17" spans="1:4" s="30" customFormat="1" ht="20.45" customHeight="1">
      <c r="A17" s="459" t="s">
        <v>206</v>
      </c>
      <c r="B17" s="8">
        <v>13917</v>
      </c>
      <c r="C17" s="773"/>
      <c r="D17" s="35"/>
    </row>
    <row r="18" spans="1:4" s="814" customFormat="1" ht="54" customHeight="1">
      <c r="A18" s="458" t="s">
        <v>225</v>
      </c>
      <c r="B18" s="20">
        <f>+B19</f>
        <v>10816936</v>
      </c>
      <c r="C18" s="817" t="s">
        <v>1386</v>
      </c>
    </row>
    <row r="19" spans="1:4" s="30" customFormat="1" ht="20.45" customHeight="1">
      <c r="A19" s="459" t="s">
        <v>205</v>
      </c>
      <c r="B19" s="8">
        <v>10816936</v>
      </c>
      <c r="C19" s="816"/>
      <c r="D19" s="35"/>
    </row>
    <row r="20" spans="1:4" s="30" customFormat="1" ht="9.65" customHeight="1">
      <c r="A20" s="459"/>
      <c r="B20" s="8"/>
      <c r="C20" s="773"/>
      <c r="D20" s="35"/>
    </row>
    <row r="21" spans="1:4" s="30" customFormat="1" ht="6.75" hidden="1" customHeight="1">
      <c r="A21" s="458"/>
      <c r="B21" s="20"/>
      <c r="C21" s="773"/>
      <c r="D21" s="35"/>
    </row>
    <row r="22" spans="1:4" s="30" customFormat="1" ht="22.25" customHeight="1">
      <c r="A22" s="457" t="s">
        <v>35</v>
      </c>
      <c r="B22" s="20">
        <f>B23</f>
        <v>29807684</v>
      </c>
      <c r="C22" s="773"/>
      <c r="D22" s="35"/>
    </row>
    <row r="23" spans="1:4" s="30" customFormat="1" ht="24.05" customHeight="1">
      <c r="A23" s="458" t="s">
        <v>222</v>
      </c>
      <c r="B23" s="20">
        <f>SUM(B24:B25)</f>
        <v>29807684</v>
      </c>
      <c r="C23" s="773" t="s">
        <v>1060</v>
      </c>
      <c r="D23" s="35"/>
    </row>
    <row r="24" spans="1:4" s="30" customFormat="1" ht="36" customHeight="1">
      <c r="A24" s="459" t="s">
        <v>223</v>
      </c>
      <c r="B24" s="8">
        <v>29783754</v>
      </c>
      <c r="C24" s="773" t="s">
        <v>1199</v>
      </c>
      <c r="D24" s="35"/>
    </row>
    <row r="25" spans="1:4" s="30" customFormat="1" ht="22.25" customHeight="1">
      <c r="A25" s="459" t="s">
        <v>224</v>
      </c>
      <c r="B25" s="8">
        <v>23930</v>
      </c>
      <c r="C25" s="773"/>
      <c r="D25" s="35"/>
    </row>
    <row r="26" spans="1:4" s="9" customFormat="1" ht="8.1999999999999993" customHeight="1">
      <c r="A26" s="460"/>
      <c r="B26" s="40"/>
      <c r="C26" s="773"/>
    </row>
    <row r="27" spans="1:4" s="30" customFormat="1" ht="22.6" customHeight="1">
      <c r="A27" s="457" t="s">
        <v>986</v>
      </c>
      <c r="B27" s="20">
        <f>B28</f>
        <v>3358886</v>
      </c>
      <c r="C27" s="773"/>
      <c r="D27" s="35"/>
    </row>
    <row r="28" spans="1:4" s="30" customFormat="1" ht="21.6" customHeight="1">
      <c r="A28" s="458" t="s">
        <v>222</v>
      </c>
      <c r="B28" s="20">
        <f>+B29+B32</f>
        <v>3358886</v>
      </c>
      <c r="C28" s="773" t="s">
        <v>1061</v>
      </c>
      <c r="D28" s="35"/>
    </row>
    <row r="29" spans="1:4" s="30" customFormat="1" ht="26.35" customHeight="1">
      <c r="A29" s="459" t="s">
        <v>223</v>
      </c>
      <c r="B29" s="8">
        <f>+B30+B31</f>
        <v>3347806</v>
      </c>
      <c r="C29" s="773"/>
      <c r="D29" s="35"/>
    </row>
    <row r="30" spans="1:4" s="30" customFormat="1" ht="36" customHeight="1">
      <c r="A30" s="459" t="s">
        <v>987</v>
      </c>
      <c r="B30" s="8">
        <v>3239806</v>
      </c>
      <c r="C30" s="893" t="s">
        <v>1200</v>
      </c>
      <c r="D30" s="35"/>
    </row>
    <row r="31" spans="1:4" s="30" customFormat="1" ht="36" customHeight="1">
      <c r="A31" s="459" t="s">
        <v>988</v>
      </c>
      <c r="B31" s="8">
        <v>108000</v>
      </c>
      <c r="C31" s="893" t="s">
        <v>1201</v>
      </c>
      <c r="D31" s="35"/>
    </row>
    <row r="32" spans="1:4" s="30" customFormat="1" ht="20.45" customHeight="1">
      <c r="A32" s="459" t="s">
        <v>224</v>
      </c>
      <c r="B32" s="8">
        <f>+B33</f>
        <v>11080</v>
      </c>
      <c r="C32" s="773"/>
      <c r="D32" s="35"/>
    </row>
    <row r="33" spans="1:4" s="30" customFormat="1" ht="22.25" customHeight="1">
      <c r="A33" s="459" t="s">
        <v>987</v>
      </c>
      <c r="B33" s="8">
        <v>11080</v>
      </c>
      <c r="C33" s="893"/>
      <c r="D33" s="35"/>
    </row>
    <row r="34" spans="1:4" s="9" customFormat="1" ht="2.95" customHeight="1" thickBot="1">
      <c r="A34" s="462"/>
      <c r="B34" s="41"/>
      <c r="C34" s="936"/>
    </row>
    <row r="35" spans="1:4" s="9" customFormat="1" ht="20.45" customHeight="1">
      <c r="A35" s="457" t="s">
        <v>21</v>
      </c>
      <c r="B35" s="20">
        <f>B36</f>
        <v>563112</v>
      </c>
      <c r="C35" s="773"/>
    </row>
    <row r="36" spans="1:4" s="9" customFormat="1" ht="65.95" customHeight="1">
      <c r="A36" s="458" t="s">
        <v>225</v>
      </c>
      <c r="B36" s="20">
        <f>SUM(B37:B38)</f>
        <v>563112</v>
      </c>
      <c r="C36" s="816" t="s">
        <v>1428</v>
      </c>
    </row>
    <row r="37" spans="1:4" ht="23.4" customHeight="1">
      <c r="A37" s="459" t="s">
        <v>638</v>
      </c>
      <c r="B37" s="8">
        <v>555233</v>
      </c>
      <c r="C37" s="818"/>
    </row>
    <row r="38" spans="1:4" ht="18.850000000000001" customHeight="1">
      <c r="A38" s="459" t="s">
        <v>1044</v>
      </c>
      <c r="B38" s="8">
        <v>7879</v>
      </c>
      <c r="C38" s="818"/>
    </row>
    <row r="39" spans="1:4" ht="39.799999999999997" customHeight="1">
      <c r="A39" s="459"/>
      <c r="B39" s="8"/>
      <c r="C39" s="818"/>
    </row>
    <row r="40" spans="1:4" ht="35.049999999999997" customHeight="1">
      <c r="A40" s="459"/>
      <c r="B40" s="8"/>
      <c r="C40" s="818"/>
    </row>
    <row r="41" spans="1:4" ht="36.65" customHeight="1">
      <c r="A41" s="459"/>
      <c r="B41" s="8"/>
      <c r="C41" s="818"/>
    </row>
    <row r="42" spans="1:4" ht="36" customHeight="1">
      <c r="A42" s="459"/>
      <c r="B42" s="8"/>
      <c r="C42" s="818"/>
    </row>
    <row r="43" spans="1:4" ht="35.049999999999997" customHeight="1">
      <c r="A43" s="459"/>
      <c r="B43" s="8"/>
      <c r="C43" s="818"/>
    </row>
    <row r="44" spans="1:4" ht="35.049999999999997" customHeight="1">
      <c r="A44" s="459"/>
      <c r="B44" s="8"/>
      <c r="C44" s="818"/>
    </row>
    <row r="45" spans="1:4" ht="49.6" customHeight="1">
      <c r="A45" s="459"/>
      <c r="B45" s="8"/>
      <c r="C45" s="818"/>
    </row>
    <row r="46" spans="1:4" ht="36.65" customHeight="1">
      <c r="A46" s="459"/>
      <c r="B46" s="8"/>
      <c r="C46" s="818"/>
    </row>
    <row r="47" spans="1:4" ht="35.049999999999997" customHeight="1">
      <c r="A47" s="459"/>
      <c r="B47" s="8"/>
      <c r="C47" s="818"/>
    </row>
    <row r="48" spans="1:4" ht="35.049999999999997" customHeight="1">
      <c r="A48" s="459"/>
      <c r="B48" s="8"/>
      <c r="C48" s="818"/>
    </row>
    <row r="49" spans="1:3" ht="33.75" customHeight="1">
      <c r="A49" s="459"/>
      <c r="B49" s="8"/>
      <c r="C49" s="818"/>
    </row>
    <row r="50" spans="1:3" ht="13.25" customHeight="1">
      <c r="A50" s="459"/>
      <c r="B50" s="8"/>
      <c r="C50" s="818"/>
    </row>
    <row r="51" spans="1:3" ht="25.2" customHeight="1">
      <c r="A51" s="459"/>
      <c r="B51" s="8"/>
      <c r="C51" s="818"/>
    </row>
    <row r="52" spans="1:3" ht="24.55" customHeight="1">
      <c r="A52" s="459"/>
      <c r="B52" s="8"/>
      <c r="C52" s="818"/>
    </row>
    <row r="53" spans="1:3" ht="22.6" customHeight="1" thickBot="1">
      <c r="A53" s="461"/>
      <c r="B53" s="37"/>
      <c r="C53" s="819"/>
    </row>
    <row r="54" spans="1:3" ht="22.6" customHeight="1">
      <c r="A54" s="938"/>
      <c r="B54" s="430"/>
      <c r="C54" s="4"/>
    </row>
  </sheetData>
  <mergeCells count="7">
    <mergeCell ref="A1:C1"/>
    <mergeCell ref="A5:A7"/>
    <mergeCell ref="B5:B7"/>
    <mergeCell ref="A4:C4"/>
    <mergeCell ref="A3:C3"/>
    <mergeCell ref="A2:C2"/>
    <mergeCell ref="C5:C7"/>
  </mergeCells>
  <phoneticPr fontId="4"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9"/>
  <sheetViews>
    <sheetView view="pageBreakPreview" topLeftCell="A16" zoomScaleNormal="100" zoomScaleSheetLayoutView="100" workbookViewId="0">
      <selection activeCell="B31" sqref="B31"/>
    </sheetView>
  </sheetViews>
  <sheetFormatPr defaultColWidth="9" defaultRowHeight="15.05"/>
  <cols>
    <col min="1" max="1" width="27.625" style="6" customWidth="1"/>
    <col min="2" max="2" width="13.37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2.25">
      <c r="A1" s="1051" t="s">
        <v>62</v>
      </c>
      <c r="B1" s="1051"/>
      <c r="C1" s="1051"/>
      <c r="D1" s="1"/>
      <c r="E1" s="1"/>
      <c r="F1" s="1"/>
    </row>
    <row r="2" spans="1:6" s="2" customFormat="1" ht="22.25">
      <c r="A2" s="1051" t="s">
        <v>63</v>
      </c>
      <c r="B2" s="1051"/>
      <c r="C2" s="1051"/>
      <c r="D2" s="1"/>
      <c r="E2" s="1"/>
      <c r="F2" s="1"/>
    </row>
    <row r="3" spans="1:6" s="2" customFormat="1" ht="24.75" customHeight="1">
      <c r="A3" s="1053" t="s">
        <v>102</v>
      </c>
      <c r="B3" s="1053"/>
      <c r="C3" s="1053"/>
      <c r="D3" s="3"/>
      <c r="E3" s="3"/>
      <c r="F3" s="3"/>
    </row>
    <row r="4" spans="1:6" s="2" customFormat="1" ht="24.75" customHeight="1" thickBot="1">
      <c r="A4" s="1067" t="s">
        <v>1104</v>
      </c>
      <c r="B4" s="1067"/>
      <c r="C4" s="1067"/>
      <c r="D4" s="4"/>
      <c r="E4" s="4"/>
      <c r="F4" s="4"/>
    </row>
    <row r="5" spans="1:6">
      <c r="A5" s="1178" t="s">
        <v>199</v>
      </c>
      <c r="B5" s="1181" t="s">
        <v>197</v>
      </c>
      <c r="C5" s="1184" t="s">
        <v>198</v>
      </c>
      <c r="D5" s="5"/>
      <c r="E5" s="4"/>
      <c r="F5" s="4"/>
    </row>
    <row r="6" spans="1:6">
      <c r="A6" s="1179"/>
      <c r="B6" s="1182"/>
      <c r="C6" s="1185"/>
      <c r="D6" s="5"/>
      <c r="E6" s="4"/>
      <c r="F6" s="4"/>
    </row>
    <row r="7" spans="1:6">
      <c r="A7" s="1180"/>
      <c r="B7" s="1183"/>
      <c r="C7" s="1186"/>
    </row>
    <row r="8" spans="1:6" ht="8.1999999999999993" customHeight="1">
      <c r="A8" s="73"/>
      <c r="B8" s="396"/>
      <c r="C8" s="398"/>
    </row>
    <row r="9" spans="1:6" s="9" customFormat="1" ht="44.2" customHeight="1">
      <c r="A9" s="456" t="s">
        <v>226</v>
      </c>
      <c r="B9" s="20">
        <f>+B10+B12+B17</f>
        <v>25633493</v>
      </c>
      <c r="C9" s="34" t="s">
        <v>1385</v>
      </c>
      <c r="D9" s="978">
        <f>+B10+B12</f>
        <v>25593493</v>
      </c>
      <c r="E9" s="1016">
        <f>+B18</f>
        <v>40000</v>
      </c>
      <c r="F9" s="1016">
        <f>+D9+E9</f>
        <v>25633493</v>
      </c>
    </row>
    <row r="10" spans="1:6" s="30" customFormat="1" ht="29.95" customHeight="1">
      <c r="A10" s="458" t="s">
        <v>1036</v>
      </c>
      <c r="B10" s="20">
        <f>+B11</f>
        <v>22000000</v>
      </c>
      <c r="C10" s="899"/>
      <c r="D10" s="221"/>
    </row>
    <row r="11" spans="1:6" s="30" customFormat="1" ht="42.05" customHeight="1">
      <c r="A11" s="459" t="s">
        <v>227</v>
      </c>
      <c r="B11" s="8">
        <v>22000000</v>
      </c>
      <c r="C11" s="899" t="s">
        <v>1087</v>
      </c>
      <c r="D11" s="221"/>
    </row>
    <row r="12" spans="1:6" s="9" customFormat="1" ht="29.95" customHeight="1">
      <c r="A12" s="458" t="s">
        <v>986</v>
      </c>
      <c r="B12" s="20">
        <f>B13</f>
        <v>3593493</v>
      </c>
      <c r="C12" s="34"/>
    </row>
    <row r="13" spans="1:6" s="30" customFormat="1" ht="26.35" customHeight="1">
      <c r="A13" s="459" t="s">
        <v>227</v>
      </c>
      <c r="B13" s="8">
        <f>+B14+B15</f>
        <v>3593493</v>
      </c>
      <c r="C13" s="34"/>
      <c r="D13" s="221"/>
    </row>
    <row r="14" spans="1:6" s="30" customFormat="1" ht="54" customHeight="1">
      <c r="A14" s="459" t="s">
        <v>989</v>
      </c>
      <c r="B14" s="8">
        <v>3579664</v>
      </c>
      <c r="C14" s="34" t="s">
        <v>1349</v>
      </c>
      <c r="D14" s="221"/>
    </row>
    <row r="15" spans="1:6" s="30" customFormat="1" ht="55.15" customHeight="1">
      <c r="A15" s="459" t="s">
        <v>990</v>
      </c>
      <c r="B15" s="8">
        <v>13829</v>
      </c>
      <c r="C15" s="34" t="s">
        <v>1171</v>
      </c>
      <c r="D15" s="221"/>
    </row>
    <row r="16" spans="1:6" s="30" customFormat="1" ht="20.3" customHeight="1">
      <c r="A16" s="459"/>
      <c r="B16" s="8"/>
      <c r="C16" s="34"/>
      <c r="D16" s="221"/>
    </row>
    <row r="17" spans="1:6" s="30" customFormat="1" ht="29.95" customHeight="1">
      <c r="A17" s="458" t="s">
        <v>994</v>
      </c>
      <c r="B17" s="20">
        <f>B18+B19</f>
        <v>40000</v>
      </c>
      <c r="C17" s="34" t="s">
        <v>639</v>
      </c>
      <c r="D17" s="221"/>
    </row>
    <row r="18" spans="1:6" s="30" customFormat="1" ht="42.05" customHeight="1">
      <c r="A18" s="459" t="s">
        <v>227</v>
      </c>
      <c r="B18" s="8">
        <v>40000</v>
      </c>
      <c r="C18" s="34" t="s">
        <v>103</v>
      </c>
      <c r="D18" s="221"/>
    </row>
    <row r="19" spans="1:6" s="30" customFormat="1" ht="38" hidden="1" customHeight="1">
      <c r="A19" s="459" t="s">
        <v>228</v>
      </c>
      <c r="B19" s="8"/>
      <c r="C19" s="34" t="s">
        <v>935</v>
      </c>
      <c r="D19" s="36"/>
      <c r="F19" s="10"/>
    </row>
    <row r="20" spans="1:6" s="9" customFormat="1" ht="27.85" customHeight="1">
      <c r="A20" s="459"/>
      <c r="B20" s="40"/>
      <c r="C20" s="34"/>
    </row>
    <row r="21" spans="1:6" s="9" customFormat="1" ht="26.2" customHeight="1">
      <c r="A21" s="459"/>
      <c r="B21" s="40"/>
      <c r="C21" s="34"/>
    </row>
    <row r="22" spans="1:6" s="9" customFormat="1" ht="26.2" customHeight="1">
      <c r="A22" s="459"/>
      <c r="B22" s="40"/>
      <c r="C22" s="34"/>
    </row>
    <row r="23" spans="1:6" s="9" customFormat="1" ht="28.15" customHeight="1">
      <c r="A23" s="459"/>
      <c r="B23" s="40"/>
      <c r="C23" s="34"/>
    </row>
    <row r="24" spans="1:6" s="9" customFormat="1" ht="13.6" customHeight="1">
      <c r="A24" s="459"/>
      <c r="B24" s="40"/>
      <c r="C24" s="34"/>
    </row>
    <row r="25" spans="1:6" s="9" customFormat="1" ht="20.45" customHeight="1">
      <c r="A25" s="459"/>
      <c r="B25" s="40"/>
      <c r="C25" s="34"/>
    </row>
    <row r="26" spans="1:6" s="9" customFormat="1" ht="24.05" customHeight="1">
      <c r="A26" s="459"/>
      <c r="B26" s="40"/>
      <c r="C26" s="34"/>
    </row>
    <row r="27" spans="1:6" s="9" customFormat="1" ht="20.45" customHeight="1">
      <c r="A27" s="459"/>
      <c r="B27" s="40"/>
      <c r="C27" s="34"/>
    </row>
    <row r="28" spans="1:6" s="9" customFormat="1" ht="28.15" customHeight="1">
      <c r="A28" s="460"/>
      <c r="B28" s="40"/>
      <c r="C28" s="34"/>
    </row>
    <row r="29" spans="1:6" s="9" customFormat="1" ht="33.549999999999997" customHeight="1" thickBot="1">
      <c r="A29" s="462"/>
      <c r="B29" s="41"/>
      <c r="C29" s="38"/>
    </row>
  </sheetData>
  <mergeCells count="7">
    <mergeCell ref="A1:C1"/>
    <mergeCell ref="A5:A7"/>
    <mergeCell ref="B5:B7"/>
    <mergeCell ref="C5:C7"/>
    <mergeCell ref="A4:C4"/>
    <mergeCell ref="A3:C3"/>
    <mergeCell ref="A2:C2"/>
  </mergeCells>
  <phoneticPr fontId="4" type="noConversion"/>
  <printOptions horizontalCentered="1"/>
  <pageMargins left="0.59055118110236227" right="0.59055118110236227" top="0.59055118110236227" bottom="0.78740157480314965" header="0.51181102362204722" footer="0.51181102362204722"/>
  <pageSetup paperSize="9" firstPageNumber="26"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59"/>
  <sheetViews>
    <sheetView view="pageBreakPreview" zoomScaleNormal="100" zoomScaleSheetLayoutView="100" workbookViewId="0">
      <selection activeCell="D67" sqref="D67"/>
    </sheetView>
  </sheetViews>
  <sheetFormatPr defaultColWidth="9" defaultRowHeight="16.399999999999999"/>
  <cols>
    <col min="1" max="1" width="25.5" style="475"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6" s="2" customFormat="1" ht="22.25">
      <c r="A1" s="1051" t="s">
        <v>62</v>
      </c>
      <c r="B1" s="1051"/>
      <c r="C1" s="1051"/>
      <c r="D1" s="1"/>
      <c r="E1" s="1"/>
      <c r="F1" s="1"/>
    </row>
    <row r="2" spans="1:6" s="2" customFormat="1" ht="22.25">
      <c r="A2" s="1051" t="s">
        <v>63</v>
      </c>
      <c r="B2" s="1051"/>
      <c r="C2" s="1051"/>
      <c r="D2" s="1"/>
      <c r="E2" s="1"/>
      <c r="F2" s="1"/>
    </row>
    <row r="3" spans="1:6" s="2" customFormat="1" ht="24.75" customHeight="1">
      <c r="A3" s="1053" t="s">
        <v>104</v>
      </c>
      <c r="B3" s="1053"/>
      <c r="C3" s="1053"/>
      <c r="D3" s="3"/>
      <c r="E3" s="3"/>
      <c r="F3" s="3"/>
    </row>
    <row r="4" spans="1:6" s="2" customFormat="1" ht="24.75" customHeight="1" thickBot="1">
      <c r="A4" s="1067" t="s">
        <v>1101</v>
      </c>
      <c r="B4" s="1067"/>
      <c r="C4" s="1067"/>
      <c r="D4" s="4"/>
      <c r="E4" s="4"/>
      <c r="F4" s="4"/>
    </row>
    <row r="5" spans="1:6" ht="15.05">
      <c r="A5" s="1178" t="s">
        <v>199</v>
      </c>
      <c r="B5" s="1090" t="s">
        <v>65</v>
      </c>
      <c r="C5" s="1187" t="s">
        <v>66</v>
      </c>
      <c r="D5" s="5"/>
      <c r="E5" s="4"/>
      <c r="F5" s="4"/>
    </row>
    <row r="6" spans="1:6" ht="15.05">
      <c r="A6" s="1179"/>
      <c r="B6" s="1091"/>
      <c r="C6" s="1188"/>
      <c r="D6" s="5"/>
      <c r="E6" s="4"/>
      <c r="F6" s="4"/>
    </row>
    <row r="7" spans="1:6" ht="15.05">
      <c r="A7" s="1180"/>
      <c r="B7" s="1092"/>
      <c r="C7" s="1189"/>
    </row>
    <row r="8" spans="1:6" ht="8.1999999999999993" customHeight="1">
      <c r="A8" s="73"/>
      <c r="B8" s="396"/>
      <c r="C8" s="398"/>
    </row>
    <row r="9" spans="1:6" s="30" customFormat="1" ht="54" customHeight="1">
      <c r="A9" s="473" t="s">
        <v>188</v>
      </c>
      <c r="B9" s="20">
        <f>+B10+B25+B31+B39</f>
        <v>233631</v>
      </c>
      <c r="C9" s="34" t="s">
        <v>1172</v>
      </c>
    </row>
    <row r="10" spans="1:6" s="30" customFormat="1" ht="27.65" customHeight="1">
      <c r="A10" s="458" t="s">
        <v>203</v>
      </c>
      <c r="B10" s="20">
        <f>B11+B15</f>
        <v>216495</v>
      </c>
      <c r="C10" s="29"/>
    </row>
    <row r="11" spans="1:6" s="30" customFormat="1" ht="25.2" customHeight="1">
      <c r="A11" s="456" t="s">
        <v>239</v>
      </c>
      <c r="B11" s="20">
        <f>B12</f>
        <v>341</v>
      </c>
      <c r="C11" s="220"/>
      <c r="D11" s="221"/>
    </row>
    <row r="12" spans="1:6" s="9" customFormat="1" ht="81.650000000000006" customHeight="1">
      <c r="A12" s="460" t="s">
        <v>240</v>
      </c>
      <c r="B12" s="8">
        <f>SUM(B13:B14)</f>
        <v>341</v>
      </c>
      <c r="C12" s="934" t="s">
        <v>1045</v>
      </c>
    </row>
    <row r="13" spans="1:6" s="30" customFormat="1" ht="29.95" customHeight="1">
      <c r="A13" s="459" t="s">
        <v>205</v>
      </c>
      <c r="B13" s="8">
        <v>320</v>
      </c>
      <c r="C13" s="935"/>
      <c r="D13" s="35"/>
    </row>
    <row r="14" spans="1:6" s="30" customFormat="1" ht="29.95" customHeight="1">
      <c r="A14" s="459" t="s">
        <v>206</v>
      </c>
      <c r="B14" s="8">
        <v>21</v>
      </c>
      <c r="C14" s="935"/>
      <c r="D14" s="35"/>
    </row>
    <row r="15" spans="1:6" s="30" customFormat="1" ht="29.95" customHeight="1">
      <c r="A15" s="456" t="s">
        <v>241</v>
      </c>
      <c r="B15" s="20">
        <f>B18+B21+B16</f>
        <v>216154</v>
      </c>
      <c r="C15" s="29"/>
      <c r="D15" s="36"/>
      <c r="F15" s="10"/>
    </row>
    <row r="16" spans="1:6" s="9" customFormat="1" ht="29.95" customHeight="1">
      <c r="A16" s="474" t="s">
        <v>640</v>
      </c>
      <c r="B16" s="8">
        <f>SUM(B17:B17)</f>
        <v>700</v>
      </c>
      <c r="C16" s="34" t="s">
        <v>1046</v>
      </c>
    </row>
    <row r="17" spans="1:6" s="30" customFormat="1" ht="23.4" customHeight="1">
      <c r="A17" s="459" t="s">
        <v>205</v>
      </c>
      <c r="B17" s="8">
        <v>700</v>
      </c>
      <c r="C17" s="935"/>
      <c r="D17" s="35"/>
    </row>
    <row r="18" spans="1:6" s="9" customFormat="1" ht="24.55" customHeight="1">
      <c r="A18" s="474" t="s">
        <v>641</v>
      </c>
      <c r="B18" s="8">
        <f>SUM(B19:B20)</f>
        <v>210505</v>
      </c>
      <c r="C18" s="34" t="s">
        <v>106</v>
      </c>
    </row>
    <row r="19" spans="1:6" s="30" customFormat="1" ht="24.55" customHeight="1">
      <c r="A19" s="459" t="s">
        <v>630</v>
      </c>
      <c r="B19" s="8">
        <v>210435</v>
      </c>
      <c r="C19" s="935"/>
      <c r="D19" s="35"/>
    </row>
    <row r="20" spans="1:6" s="30" customFormat="1" ht="24.55" customHeight="1">
      <c r="A20" s="459" t="s">
        <v>629</v>
      </c>
      <c r="B20" s="8">
        <v>70</v>
      </c>
      <c r="C20" s="935"/>
      <c r="D20" s="35"/>
    </row>
    <row r="21" spans="1:6" s="9" customFormat="1" ht="25.55" customHeight="1">
      <c r="A21" s="474" t="s">
        <v>642</v>
      </c>
      <c r="B21" s="8">
        <f>SUM(B22:B23)</f>
        <v>4949</v>
      </c>
      <c r="C21" s="34" t="s">
        <v>107</v>
      </c>
    </row>
    <row r="22" spans="1:6" s="30" customFormat="1" ht="27" customHeight="1">
      <c r="A22" s="459" t="s">
        <v>630</v>
      </c>
      <c r="B22" s="8">
        <v>4936</v>
      </c>
      <c r="C22" s="935"/>
      <c r="D22" s="35"/>
    </row>
    <row r="23" spans="1:6" s="30" customFormat="1" ht="22.25" customHeight="1">
      <c r="A23" s="459" t="s">
        <v>629</v>
      </c>
      <c r="B23" s="8">
        <v>13</v>
      </c>
      <c r="C23" s="935"/>
      <c r="D23" s="35"/>
    </row>
    <row r="24" spans="1:6" s="9" customFormat="1" ht="9" customHeight="1">
      <c r="A24" s="460"/>
      <c r="B24" s="40"/>
      <c r="C24" s="34"/>
    </row>
    <row r="25" spans="1:6" s="30" customFormat="1" ht="23.25" customHeight="1">
      <c r="A25" s="458" t="s">
        <v>631</v>
      </c>
      <c r="B25" s="20">
        <f>B26+B28</f>
        <v>8098</v>
      </c>
      <c r="C25" s="29"/>
    </row>
    <row r="26" spans="1:6" s="30" customFormat="1" ht="25.85" customHeight="1">
      <c r="A26" s="456" t="s">
        <v>643</v>
      </c>
      <c r="B26" s="20">
        <f>B27</f>
        <v>42</v>
      </c>
      <c r="C26" s="220"/>
      <c r="D26" s="221"/>
    </row>
    <row r="27" spans="1:6" s="9" customFormat="1" ht="83.95" customHeight="1" thickBot="1">
      <c r="A27" s="462" t="s">
        <v>644</v>
      </c>
      <c r="B27" s="37">
        <v>42</v>
      </c>
      <c r="C27" s="770" t="s">
        <v>61</v>
      </c>
    </row>
    <row r="28" spans="1:6" s="30" customFormat="1" ht="29.95" customHeight="1">
      <c r="A28" s="456" t="s">
        <v>645</v>
      </c>
      <c r="B28" s="20">
        <f>SUM(B29:B30)</f>
        <v>8056</v>
      </c>
      <c r="C28" s="29"/>
      <c r="D28" s="36"/>
      <c r="F28" s="10"/>
    </row>
    <row r="29" spans="1:6" s="9" customFormat="1" ht="29.95" customHeight="1">
      <c r="A29" s="474" t="s">
        <v>646</v>
      </c>
      <c r="B29" s="8">
        <v>7845</v>
      </c>
      <c r="C29" s="34" t="s">
        <v>106</v>
      </c>
    </row>
    <row r="30" spans="1:6" s="9" customFormat="1" ht="29.3" customHeight="1">
      <c r="A30" s="474" t="s">
        <v>642</v>
      </c>
      <c r="B30" s="40">
        <v>211</v>
      </c>
      <c r="C30" s="34" t="s">
        <v>107</v>
      </c>
    </row>
    <row r="31" spans="1:6" s="30" customFormat="1" ht="29.95" customHeight="1">
      <c r="A31" s="458" t="s">
        <v>991</v>
      </c>
      <c r="B31" s="20">
        <f>B32+B35</f>
        <v>5288</v>
      </c>
      <c r="C31" s="29"/>
    </row>
    <row r="32" spans="1:6" s="30" customFormat="1" ht="29.95" customHeight="1">
      <c r="A32" s="456" t="s">
        <v>643</v>
      </c>
      <c r="B32" s="20">
        <f>B33</f>
        <v>4</v>
      </c>
      <c r="C32" s="220"/>
      <c r="D32" s="221"/>
    </row>
    <row r="33" spans="1:6" s="9" customFormat="1" ht="90" customHeight="1">
      <c r="A33" s="460" t="s">
        <v>644</v>
      </c>
      <c r="B33" s="8">
        <f>+B34</f>
        <v>4</v>
      </c>
      <c r="C33" s="934" t="s">
        <v>61</v>
      </c>
    </row>
    <row r="34" spans="1:6" s="897" customFormat="1" ht="27" customHeight="1">
      <c r="A34" s="460" t="s">
        <v>992</v>
      </c>
      <c r="B34" s="8">
        <v>4</v>
      </c>
      <c r="C34" s="934"/>
    </row>
    <row r="35" spans="1:6" s="30" customFormat="1" ht="29.95" customHeight="1">
      <c r="A35" s="456" t="s">
        <v>645</v>
      </c>
      <c r="B35" s="20">
        <f>+B36</f>
        <v>5284</v>
      </c>
      <c r="C35" s="29"/>
      <c r="D35" s="36"/>
      <c r="F35" s="10"/>
    </row>
    <row r="36" spans="1:6" s="9" customFormat="1" ht="29.95" customHeight="1">
      <c r="A36" s="474" t="s">
        <v>646</v>
      </c>
      <c r="B36" s="8">
        <f>+B37</f>
        <v>5284</v>
      </c>
      <c r="C36" s="34" t="s">
        <v>106</v>
      </c>
    </row>
    <row r="37" spans="1:6" s="30" customFormat="1" ht="29.95" customHeight="1">
      <c r="A37" s="474" t="s">
        <v>993</v>
      </c>
      <c r="B37" s="8">
        <v>5284</v>
      </c>
      <c r="C37" s="29"/>
    </row>
    <row r="38" spans="1:6" s="30" customFormat="1" ht="28.8" customHeight="1">
      <c r="A38" s="456"/>
      <c r="B38" s="20"/>
      <c r="C38" s="29"/>
      <c r="D38" s="36"/>
      <c r="F38" s="10"/>
    </row>
    <row r="39" spans="1:6" s="791" customFormat="1" ht="29.95" customHeight="1">
      <c r="A39" s="901" t="s">
        <v>995</v>
      </c>
      <c r="B39" s="20">
        <f>B40+B42</f>
        <v>3750</v>
      </c>
      <c r="C39" s="34"/>
    </row>
    <row r="40" spans="1:6" s="30" customFormat="1" ht="29.95" customHeight="1">
      <c r="A40" s="456" t="s">
        <v>241</v>
      </c>
      <c r="B40" s="20">
        <f>B43+B46+B41</f>
        <v>3750</v>
      </c>
      <c r="C40" s="29"/>
      <c r="D40" s="36"/>
      <c r="F40" s="10"/>
    </row>
    <row r="41" spans="1:6" s="897" customFormat="1" ht="36" customHeight="1">
      <c r="A41" s="474" t="s">
        <v>640</v>
      </c>
      <c r="B41" s="8">
        <v>3750</v>
      </c>
      <c r="C41" s="34" t="s">
        <v>1047</v>
      </c>
    </row>
    <row r="42" spans="1:6" s="30" customFormat="1" ht="24.55" customHeight="1">
      <c r="A42" s="459"/>
      <c r="B42" s="8"/>
      <c r="C42" s="935"/>
      <c r="D42" s="35"/>
    </row>
    <row r="43" spans="1:6" s="9" customFormat="1" ht="27" customHeight="1">
      <c r="A43" s="474"/>
      <c r="B43" s="40"/>
      <c r="C43" s="34"/>
    </row>
    <row r="44" spans="1:6" s="9" customFormat="1" ht="11.95" customHeight="1">
      <c r="A44" s="474"/>
      <c r="B44" s="40"/>
      <c r="C44" s="34"/>
    </row>
    <row r="45" spans="1:6" s="9" customFormat="1" ht="35.049999999999997" hidden="1" customHeight="1">
      <c r="A45" s="474"/>
      <c r="B45" s="40"/>
      <c r="C45" s="34"/>
    </row>
    <row r="46" spans="1:6" s="9" customFormat="1" ht="29" hidden="1" customHeight="1">
      <c r="A46" s="474"/>
      <c r="B46" s="40"/>
      <c r="C46" s="34"/>
    </row>
    <row r="47" spans="1:6" s="9" customFormat="1" ht="29" hidden="1" customHeight="1">
      <c r="A47" s="474"/>
      <c r="B47" s="40"/>
      <c r="C47" s="34"/>
    </row>
    <row r="48" spans="1:6" s="9" customFormat="1" ht="29" hidden="1" customHeight="1">
      <c r="A48" s="474"/>
      <c r="B48" s="40"/>
      <c r="C48" s="34"/>
    </row>
    <row r="49" spans="1:3" s="9" customFormat="1" ht="29" hidden="1" customHeight="1">
      <c r="A49" s="474"/>
      <c r="B49" s="40"/>
      <c r="C49" s="34"/>
    </row>
    <row r="50" spans="1:3" s="9" customFormat="1" ht="9" customHeight="1">
      <c r="A50" s="474"/>
      <c r="B50" s="40"/>
      <c r="C50" s="34"/>
    </row>
    <row r="51" spans="1:3" s="9" customFormat="1" ht="18" customHeight="1">
      <c r="A51" s="474"/>
      <c r="B51" s="40"/>
      <c r="C51" s="34"/>
    </row>
    <row r="52" spans="1:3" s="9" customFormat="1" ht="5.4" customHeight="1">
      <c r="A52" s="474"/>
      <c r="B52" s="40"/>
      <c r="C52" s="34"/>
    </row>
    <row r="53" spans="1:3" s="9" customFormat="1" ht="20.45" customHeight="1">
      <c r="A53" s="474"/>
      <c r="B53" s="40"/>
      <c r="C53" s="34"/>
    </row>
    <row r="54" spans="1:3" s="9" customFormat="1" ht="25.55" customHeight="1" thickBot="1">
      <c r="A54" s="462"/>
      <c r="B54" s="41"/>
      <c r="C54" s="38"/>
    </row>
    <row r="59" spans="1:3" hidden="1">
      <c r="C59" s="403" t="s">
        <v>108</v>
      </c>
    </row>
  </sheetData>
  <mergeCells count="7">
    <mergeCell ref="A1:C1"/>
    <mergeCell ref="A5:A7"/>
    <mergeCell ref="B5:B7"/>
    <mergeCell ref="C5:C7"/>
    <mergeCell ref="A4:C4"/>
    <mergeCell ref="A3:C3"/>
    <mergeCell ref="A2:C2"/>
  </mergeCells>
  <phoneticPr fontId="4"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5"/>
  <sheetViews>
    <sheetView view="pageBreakPreview" zoomScaleNormal="100" zoomScaleSheetLayoutView="100" workbookViewId="0">
      <selection activeCell="C28" sqref="C28"/>
    </sheetView>
  </sheetViews>
  <sheetFormatPr defaultColWidth="9" defaultRowHeight="15.05"/>
  <cols>
    <col min="1" max="2" width="19.375" style="12" customWidth="1"/>
    <col min="3" max="3" width="31.75" style="12" customWidth="1"/>
    <col min="4" max="4" width="19.75" style="12" customWidth="1"/>
    <col min="5" max="16384" width="9" style="12"/>
  </cols>
  <sheetData>
    <row r="1" spans="1:5" s="94" customFormat="1" ht="22.25">
      <c r="A1" s="1076" t="s">
        <v>62</v>
      </c>
      <c r="B1" s="1076"/>
      <c r="C1" s="1076"/>
      <c r="D1" s="1076"/>
    </row>
    <row r="2" spans="1:5" s="94" customFormat="1" ht="22.25">
      <c r="A2" s="1076" t="s">
        <v>63</v>
      </c>
      <c r="B2" s="1076"/>
      <c r="C2" s="1076"/>
      <c r="D2" s="1076"/>
    </row>
    <row r="3" spans="1:5" s="94" customFormat="1" ht="24.9" customHeight="1">
      <c r="A3" s="1191" t="s">
        <v>499</v>
      </c>
      <c r="B3" s="1077"/>
      <c r="C3" s="1077"/>
      <c r="D3" s="1077"/>
    </row>
    <row r="4" spans="1:5" s="94" customFormat="1" ht="24.9" customHeight="1" thickBot="1">
      <c r="A4" s="1190" t="s">
        <v>1105</v>
      </c>
      <c r="B4" s="1190"/>
      <c r="C4" s="1190"/>
      <c r="D4" s="1190"/>
    </row>
    <row r="5" spans="1:5" s="95" customFormat="1" ht="29.95" customHeight="1">
      <c r="A5" s="404" t="s">
        <v>110</v>
      </c>
      <c r="B5" s="405" t="s">
        <v>81</v>
      </c>
      <c r="C5" s="463" t="s">
        <v>7</v>
      </c>
      <c r="D5" s="406" t="s">
        <v>82</v>
      </c>
    </row>
    <row r="6" spans="1:5" s="95" customFormat="1" ht="8.1999999999999993" customHeight="1">
      <c r="A6" s="407"/>
      <c r="B6" s="408"/>
      <c r="C6" s="464"/>
      <c r="D6" s="409"/>
    </row>
    <row r="7" spans="1:5" s="21" customFormat="1" ht="31.75" customHeight="1">
      <c r="A7" s="171">
        <v>21985</v>
      </c>
      <c r="B7" s="172">
        <f>+B8</f>
        <v>20072</v>
      </c>
      <c r="C7" s="465" t="s">
        <v>561</v>
      </c>
      <c r="D7" s="177">
        <f>+D8</f>
        <v>21280</v>
      </c>
      <c r="E7" s="692"/>
    </row>
    <row r="8" spans="1:5" s="21" customFormat="1" ht="30.6" customHeight="1">
      <c r="A8" s="171">
        <v>21985</v>
      </c>
      <c r="B8" s="172">
        <f>+B9</f>
        <v>20072</v>
      </c>
      <c r="C8" s="645" t="s">
        <v>203</v>
      </c>
      <c r="D8" s="177">
        <f>+D9</f>
        <v>21280</v>
      </c>
    </row>
    <row r="9" spans="1:5" s="21" customFormat="1" ht="42.05" customHeight="1">
      <c r="A9" s="171">
        <v>21985</v>
      </c>
      <c r="B9" s="172">
        <f>B10+B20+B17+B24</f>
        <v>20072</v>
      </c>
      <c r="C9" s="466" t="s">
        <v>562</v>
      </c>
      <c r="D9" s="177">
        <f>D10+D20+D17+D24</f>
        <v>21280</v>
      </c>
    </row>
    <row r="10" spans="1:5" s="21" customFormat="1" ht="36" customHeight="1">
      <c r="A10" s="174">
        <v>3181</v>
      </c>
      <c r="B10" s="175">
        <f>SUM(B11:B16)</f>
        <v>2566</v>
      </c>
      <c r="C10" s="467" t="s">
        <v>242</v>
      </c>
      <c r="D10" s="176">
        <f>SUM(D11:D16)</f>
        <v>2867</v>
      </c>
    </row>
    <row r="11" spans="1:5" s="21" customFormat="1" ht="33.049999999999997" customHeight="1">
      <c r="A11" s="174">
        <v>2</v>
      </c>
      <c r="B11" s="264">
        <v>7</v>
      </c>
      <c r="C11" s="467" t="s">
        <v>243</v>
      </c>
      <c r="D11" s="176">
        <v>7</v>
      </c>
    </row>
    <row r="12" spans="1:5" s="21" customFormat="1" ht="33.549999999999997" customHeight="1">
      <c r="A12" s="174">
        <v>0</v>
      </c>
      <c r="B12" s="264">
        <v>5</v>
      </c>
      <c r="C12" s="467" t="s">
        <v>244</v>
      </c>
      <c r="D12" s="176">
        <v>0</v>
      </c>
    </row>
    <row r="13" spans="1:5" s="21" customFormat="1" ht="33.049999999999997" customHeight="1">
      <c r="A13" s="174">
        <v>2747</v>
      </c>
      <c r="B13" s="264">
        <v>1889</v>
      </c>
      <c r="C13" s="467" t="s">
        <v>245</v>
      </c>
      <c r="D13" s="176">
        <v>2195</v>
      </c>
    </row>
    <row r="14" spans="1:5" s="9" customFormat="1" ht="31.25" customHeight="1">
      <c r="A14" s="188">
        <v>0</v>
      </c>
      <c r="B14" s="392">
        <v>121</v>
      </c>
      <c r="C14" s="263" t="s">
        <v>246</v>
      </c>
      <c r="D14" s="393">
        <v>121</v>
      </c>
    </row>
    <row r="15" spans="1:5" s="21" customFormat="1" ht="33.549999999999997" customHeight="1">
      <c r="A15" s="174">
        <v>362</v>
      </c>
      <c r="B15" s="264">
        <v>394</v>
      </c>
      <c r="C15" s="467" t="s">
        <v>247</v>
      </c>
      <c r="D15" s="176">
        <v>394</v>
      </c>
    </row>
    <row r="16" spans="1:5" s="9" customFormat="1" ht="36" customHeight="1">
      <c r="A16" s="188">
        <v>70</v>
      </c>
      <c r="B16" s="392">
        <v>150</v>
      </c>
      <c r="C16" s="263" t="s">
        <v>248</v>
      </c>
      <c r="D16" s="393">
        <v>150</v>
      </c>
    </row>
    <row r="17" spans="1:4" s="21" customFormat="1" ht="38.299999999999997" customHeight="1">
      <c r="A17" s="174">
        <v>17160</v>
      </c>
      <c r="B17" s="175">
        <f>B18+B19</f>
        <v>16763</v>
      </c>
      <c r="C17" s="467" t="s">
        <v>535</v>
      </c>
      <c r="D17" s="176">
        <f>D18+D19</f>
        <v>16763</v>
      </c>
    </row>
    <row r="18" spans="1:4" s="21" customFormat="1" ht="38.450000000000003" customHeight="1">
      <c r="A18" s="174">
        <v>16551</v>
      </c>
      <c r="B18" s="264">
        <v>16154</v>
      </c>
      <c r="C18" s="467" t="s">
        <v>536</v>
      </c>
      <c r="D18" s="176">
        <v>16154</v>
      </c>
    </row>
    <row r="19" spans="1:4" s="829" customFormat="1" ht="33.049999999999997" customHeight="1">
      <c r="A19" s="174">
        <v>609</v>
      </c>
      <c r="B19" s="264">
        <v>609</v>
      </c>
      <c r="C19" s="467" t="s">
        <v>1083</v>
      </c>
      <c r="D19" s="176">
        <v>609</v>
      </c>
    </row>
    <row r="20" spans="1:4" s="21" customFormat="1" ht="38.299999999999997" customHeight="1">
      <c r="A20" s="174">
        <v>1483</v>
      </c>
      <c r="B20" s="175">
        <f>SUM(B21:B23)</f>
        <v>701</v>
      </c>
      <c r="C20" s="467" t="s">
        <v>564</v>
      </c>
      <c r="D20" s="176">
        <f>SUM(D21:D23)</f>
        <v>1488</v>
      </c>
    </row>
    <row r="21" spans="1:4" s="21" customFormat="1" ht="28.5" customHeight="1">
      <c r="A21" s="174">
        <v>1467</v>
      </c>
      <c r="B21" s="264">
        <v>689</v>
      </c>
      <c r="C21" s="467" t="s">
        <v>249</v>
      </c>
      <c r="D21" s="176">
        <v>1467</v>
      </c>
    </row>
    <row r="22" spans="1:4" s="21" customFormat="1" ht="27" customHeight="1">
      <c r="A22" s="174">
        <v>13</v>
      </c>
      <c r="B22" s="264">
        <v>4</v>
      </c>
      <c r="C22" s="467" t="s">
        <v>251</v>
      </c>
      <c r="D22" s="176">
        <v>13</v>
      </c>
    </row>
    <row r="23" spans="1:4" s="21" customFormat="1" ht="30.8" customHeight="1">
      <c r="A23" s="174">
        <v>2</v>
      </c>
      <c r="B23" s="264">
        <v>8</v>
      </c>
      <c r="C23" s="467" t="s">
        <v>250</v>
      </c>
      <c r="D23" s="176">
        <v>8</v>
      </c>
    </row>
    <row r="24" spans="1:4" s="21" customFormat="1" ht="29.3" customHeight="1">
      <c r="A24" s="174">
        <v>162</v>
      </c>
      <c r="B24" s="175">
        <f>B25</f>
        <v>42</v>
      </c>
      <c r="C24" s="467" t="s">
        <v>252</v>
      </c>
      <c r="D24" s="176">
        <f>D25</f>
        <v>162</v>
      </c>
    </row>
    <row r="25" spans="1:4" s="21" customFormat="1" ht="34.549999999999997" customHeight="1" thickBot="1">
      <c r="A25" s="178">
        <v>162</v>
      </c>
      <c r="B25" s="334">
        <v>42</v>
      </c>
      <c r="C25" s="468" t="s">
        <v>253</v>
      </c>
      <c r="D25" s="179">
        <v>162</v>
      </c>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30"/>
  <sheetViews>
    <sheetView view="pageBreakPreview" topLeftCell="A23" zoomScaleNormal="100" zoomScaleSheetLayoutView="100" workbookViewId="0">
      <selection activeCell="B19" sqref="B19"/>
    </sheetView>
  </sheetViews>
  <sheetFormatPr defaultColWidth="9" defaultRowHeight="15.05"/>
  <cols>
    <col min="1" max="1" width="32" style="12" customWidth="1"/>
    <col min="2" max="2" width="58" style="12" customWidth="1"/>
    <col min="3" max="16384" width="9" style="12"/>
  </cols>
  <sheetData>
    <row r="1" spans="1:8" ht="20.95" customHeight="1">
      <c r="A1" s="1051" t="s">
        <v>62</v>
      </c>
      <c r="B1" s="1051"/>
      <c r="C1" s="11"/>
      <c r="D1" s="11"/>
      <c r="E1" s="11"/>
      <c r="F1" s="11"/>
      <c r="G1" s="11"/>
      <c r="H1" s="11"/>
    </row>
    <row r="2" spans="1:8" ht="22.25">
      <c r="A2" s="1051" t="s">
        <v>63</v>
      </c>
      <c r="B2" s="1051"/>
      <c r="C2" s="11"/>
      <c r="D2" s="11"/>
      <c r="E2" s="11"/>
      <c r="F2" s="11"/>
      <c r="G2" s="11"/>
      <c r="H2" s="11"/>
    </row>
    <row r="3" spans="1:8" ht="24.75" customHeight="1">
      <c r="A3" s="1191" t="s">
        <v>501</v>
      </c>
      <c r="B3" s="1077"/>
      <c r="C3" s="13"/>
      <c r="D3" s="13"/>
      <c r="E3" s="13"/>
      <c r="F3" s="13"/>
      <c r="G3" s="13"/>
      <c r="H3" s="13"/>
    </row>
    <row r="4" spans="1:8" ht="24.75" customHeight="1" thickBot="1">
      <c r="A4" s="1190" t="s">
        <v>1106</v>
      </c>
      <c r="B4" s="1190"/>
      <c r="C4" s="14"/>
      <c r="D4" s="14"/>
      <c r="E4" s="14"/>
      <c r="F4" s="14"/>
      <c r="G4" s="14"/>
      <c r="H4" s="14"/>
    </row>
    <row r="5" spans="1:8" s="16" customFormat="1" ht="29.95" customHeight="1">
      <c r="A5" s="18" t="s">
        <v>230</v>
      </c>
      <c r="B5" s="411" t="s">
        <v>113</v>
      </c>
      <c r="C5" s="15"/>
      <c r="D5" s="15"/>
      <c r="E5" s="15"/>
      <c r="F5" s="15"/>
      <c r="G5" s="15"/>
      <c r="H5" s="15"/>
    </row>
    <row r="6" spans="1:8" s="17" customFormat="1" ht="8.1999999999999993" customHeight="1">
      <c r="A6" s="484"/>
      <c r="B6" s="222"/>
      <c r="C6" s="43"/>
      <c r="D6" s="43"/>
      <c r="E6" s="43"/>
      <c r="F6" s="43"/>
      <c r="G6" s="43"/>
      <c r="H6" s="43"/>
    </row>
    <row r="7" spans="1:8" s="17" customFormat="1" ht="29.15" customHeight="1">
      <c r="A7" s="458" t="s">
        <v>647</v>
      </c>
      <c r="B7" s="44" t="s">
        <v>1175</v>
      </c>
    </row>
    <row r="8" spans="1:8" s="17" customFormat="1" ht="29.15" customHeight="1">
      <c r="A8" s="458" t="s">
        <v>203</v>
      </c>
      <c r="B8" s="44"/>
    </row>
    <row r="9" spans="1:8" s="17" customFormat="1" ht="38.950000000000003" customHeight="1">
      <c r="A9" s="458" t="s">
        <v>563</v>
      </c>
      <c r="B9" s="22"/>
    </row>
    <row r="10" spans="1:8" s="17" customFormat="1" ht="26.05" customHeight="1">
      <c r="A10" s="459" t="s">
        <v>300</v>
      </c>
      <c r="B10" s="22"/>
    </row>
    <row r="11" spans="1:8" s="23" customFormat="1" ht="41.1" customHeight="1">
      <c r="A11" s="459" t="s">
        <v>648</v>
      </c>
      <c r="B11" s="22" t="s">
        <v>114</v>
      </c>
    </row>
    <row r="12" spans="1:8" s="23" customFormat="1" ht="41.1" hidden="1" customHeight="1">
      <c r="A12" s="459" t="s">
        <v>585</v>
      </c>
      <c r="B12" s="22" t="s">
        <v>1387</v>
      </c>
    </row>
    <row r="13" spans="1:8" s="17" customFormat="1" ht="31.25" hidden="1" customHeight="1">
      <c r="A13" s="485" t="s">
        <v>301</v>
      </c>
      <c r="B13" s="22" t="s">
        <v>1388</v>
      </c>
    </row>
    <row r="14" spans="1:8" s="21" customFormat="1" ht="33.049999999999997" customHeight="1">
      <c r="A14" s="485" t="s">
        <v>649</v>
      </c>
      <c r="B14" s="22" t="s">
        <v>1173</v>
      </c>
    </row>
    <row r="15" spans="1:8" s="21" customFormat="1" ht="34.549999999999997" customHeight="1">
      <c r="A15" s="485" t="s">
        <v>302</v>
      </c>
      <c r="B15" s="22" t="s">
        <v>115</v>
      </c>
    </row>
    <row r="16" spans="1:8" s="21" customFormat="1" ht="50.25" customHeight="1">
      <c r="A16" s="485" t="s">
        <v>650</v>
      </c>
      <c r="B16" s="22" t="s">
        <v>922</v>
      </c>
    </row>
    <row r="17" spans="1:2" s="21" customFormat="1" ht="51.05" customHeight="1">
      <c r="A17" s="485" t="s">
        <v>303</v>
      </c>
      <c r="B17" s="22" t="s">
        <v>810</v>
      </c>
    </row>
    <row r="18" spans="1:2" s="21" customFormat="1" ht="33.049999999999997" customHeight="1">
      <c r="A18" s="485" t="s">
        <v>502</v>
      </c>
      <c r="B18" s="22"/>
    </row>
    <row r="19" spans="1:2" s="23" customFormat="1" ht="34.549999999999997" customHeight="1">
      <c r="A19" s="459" t="s">
        <v>503</v>
      </c>
      <c r="B19" s="22" t="s">
        <v>1176</v>
      </c>
    </row>
    <row r="20" spans="1:2" s="354" customFormat="1" ht="33.049999999999997" customHeight="1">
      <c r="A20" s="459" t="s">
        <v>921</v>
      </c>
      <c r="B20" s="1032" t="s">
        <v>932</v>
      </c>
    </row>
    <row r="21" spans="1:2" s="21" customFormat="1" ht="31.25" customHeight="1">
      <c r="A21" s="485" t="s">
        <v>651</v>
      </c>
      <c r="B21" s="45"/>
    </row>
    <row r="22" spans="1:2" s="21" customFormat="1" ht="31.25" customHeight="1">
      <c r="A22" s="485" t="s">
        <v>304</v>
      </c>
      <c r="B22" s="22" t="s">
        <v>1174</v>
      </c>
    </row>
    <row r="23" spans="1:2" s="21" customFormat="1" ht="33.75" customHeight="1">
      <c r="A23" s="485" t="s">
        <v>652</v>
      </c>
      <c r="B23" s="22" t="s">
        <v>1389</v>
      </c>
    </row>
    <row r="24" spans="1:2" s="21" customFormat="1" ht="35.200000000000003" customHeight="1">
      <c r="A24" s="485" t="s">
        <v>653</v>
      </c>
      <c r="B24" s="22" t="s">
        <v>116</v>
      </c>
    </row>
    <row r="25" spans="1:2" s="21" customFormat="1" ht="32.4" customHeight="1">
      <c r="A25" s="485" t="s">
        <v>234</v>
      </c>
      <c r="B25" s="45"/>
    </row>
    <row r="26" spans="1:2" s="21" customFormat="1" ht="34.200000000000003" customHeight="1">
      <c r="A26" s="485" t="s">
        <v>654</v>
      </c>
      <c r="B26" s="1032" t="s">
        <v>1390</v>
      </c>
    </row>
    <row r="27" spans="1:2" s="21" customFormat="1" ht="9" customHeight="1" thickBot="1">
      <c r="A27" s="486"/>
      <c r="B27" s="770"/>
    </row>
    <row r="28" spans="1:2" s="21" customFormat="1" ht="24.75" hidden="1" customHeight="1">
      <c r="A28" s="485"/>
      <c r="B28" s="643"/>
    </row>
    <row r="29" spans="1:2" s="21" customFormat="1" ht="11.95" hidden="1" customHeight="1">
      <c r="A29" s="485"/>
      <c r="B29" s="643"/>
    </row>
    <row r="30" spans="1:2" s="21" customFormat="1" ht="18.850000000000001" hidden="1" customHeight="1" thickBot="1">
      <c r="A30" s="486"/>
      <c r="B30" s="362"/>
    </row>
  </sheetData>
  <mergeCells count="4">
    <mergeCell ref="A1:B1"/>
    <mergeCell ref="A2:B2"/>
    <mergeCell ref="A3:B3"/>
    <mergeCell ref="A4:B4"/>
  </mergeCells>
  <phoneticPr fontId="4" type="noConversion"/>
  <printOptions horizontalCentered="1"/>
  <pageMargins left="0.59055118110236227" right="0.59055118110236227" top="0.59055118110236227" bottom="0.78740157480314965" header="0.51181102362204722" footer="0.51181102362204722"/>
  <pageSetup paperSize="9" firstPageNumber="30"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55"/>
  <sheetViews>
    <sheetView view="pageBreakPreview" zoomScaleNormal="100" zoomScaleSheetLayoutView="100" workbookViewId="0">
      <selection activeCell="A54" sqref="A54"/>
    </sheetView>
  </sheetViews>
  <sheetFormatPr defaultColWidth="9" defaultRowHeight="15.05"/>
  <cols>
    <col min="1" max="2" width="19.375" style="12" customWidth="1"/>
    <col min="3" max="3" width="31.75" style="12" customWidth="1"/>
    <col min="4" max="4" width="19.75" style="12" customWidth="1"/>
    <col min="5" max="5" width="14.625" style="12" bestFit="1" customWidth="1"/>
    <col min="6" max="16384" width="9" style="12"/>
  </cols>
  <sheetData>
    <row r="1" spans="1:6" s="642" customFormat="1" ht="22.25">
      <c r="A1" s="1076" t="s">
        <v>62</v>
      </c>
      <c r="B1" s="1076"/>
      <c r="C1" s="1076"/>
      <c r="D1" s="1076"/>
    </row>
    <row r="2" spans="1:6" s="642" customFormat="1" ht="22.25">
      <c r="A2" s="1076" t="s">
        <v>63</v>
      </c>
      <c r="B2" s="1076"/>
      <c r="C2" s="1076"/>
      <c r="D2" s="1076"/>
    </row>
    <row r="3" spans="1:6" s="642" customFormat="1" ht="24.9" customHeight="1">
      <c r="A3" s="1077" t="s">
        <v>109</v>
      </c>
      <c r="B3" s="1077"/>
      <c r="C3" s="1077"/>
      <c r="D3" s="1077"/>
    </row>
    <row r="4" spans="1:6" s="642" customFormat="1" ht="24.9" customHeight="1" thickBot="1">
      <c r="A4" s="1190" t="s">
        <v>1105</v>
      </c>
      <c r="B4" s="1190"/>
      <c r="C4" s="1190"/>
      <c r="D4" s="1190"/>
    </row>
    <row r="5" spans="1:6" s="95" customFormat="1" ht="29.95" customHeight="1">
      <c r="A5" s="404" t="s">
        <v>110</v>
      </c>
      <c r="B5" s="405" t="s">
        <v>81</v>
      </c>
      <c r="C5" s="463" t="s">
        <v>7</v>
      </c>
      <c r="D5" s="406" t="s">
        <v>82</v>
      </c>
    </row>
    <row r="6" spans="1:6" s="95" customFormat="1" ht="8.1999999999999993" customHeight="1">
      <c r="A6" s="407"/>
      <c r="B6" s="408"/>
      <c r="C6" s="464"/>
      <c r="D6" s="409"/>
    </row>
    <row r="7" spans="1:6" s="21" customFormat="1" ht="26.35" customHeight="1">
      <c r="A7" s="171">
        <v>76824865</v>
      </c>
      <c r="B7" s="172">
        <f>B8+B37+B48</f>
        <v>917871</v>
      </c>
      <c r="C7" s="465" t="s">
        <v>229</v>
      </c>
      <c r="D7" s="173">
        <f>D8+D37+D48</f>
        <v>973763</v>
      </c>
      <c r="E7" s="693">
        <f>+A8+A37+A48</f>
        <v>76824865</v>
      </c>
      <c r="F7" s="1035">
        <f>+A7-E7</f>
        <v>0</v>
      </c>
    </row>
    <row r="8" spans="1:6" s="21" customFormat="1" ht="26.05" customHeight="1">
      <c r="A8" s="644">
        <v>75128032</v>
      </c>
      <c r="B8" s="646">
        <f>+B9+B31+B34</f>
        <v>917034</v>
      </c>
      <c r="C8" s="645" t="s">
        <v>203</v>
      </c>
      <c r="D8" s="173">
        <f>+D9+D31+D34</f>
        <v>972909</v>
      </c>
      <c r="E8" s="692">
        <f>+A9+A31+A34</f>
        <v>75128032</v>
      </c>
    </row>
    <row r="9" spans="1:6" s="21" customFormat="1" ht="31.25" customHeight="1">
      <c r="A9" s="370">
        <v>46958546</v>
      </c>
      <c r="B9" s="172">
        <f>B10+B25+B28</f>
        <v>849034</v>
      </c>
      <c r="C9" s="466" t="s">
        <v>500</v>
      </c>
      <c r="D9" s="177">
        <f>D10+D28+D25+D22</f>
        <v>904909</v>
      </c>
      <c r="E9" s="692"/>
    </row>
    <row r="10" spans="1:6" s="21" customFormat="1" ht="31.25" customHeight="1">
      <c r="A10" s="369">
        <v>929230</v>
      </c>
      <c r="B10" s="264">
        <f>B17+B20+B13</f>
        <v>849034</v>
      </c>
      <c r="C10" s="467" t="s">
        <v>655</v>
      </c>
      <c r="D10" s="176">
        <f>+D11+D13+D15+D17+D20</f>
        <v>904909</v>
      </c>
      <c r="E10" s="692"/>
    </row>
    <row r="11" spans="1:6" s="21" customFormat="1" ht="31.25" hidden="1" customHeight="1">
      <c r="A11" s="369">
        <v>0</v>
      </c>
      <c r="B11" s="175">
        <v>0</v>
      </c>
      <c r="C11" s="467" t="s">
        <v>587</v>
      </c>
      <c r="D11" s="176">
        <f>+D12</f>
        <v>0</v>
      </c>
    </row>
    <row r="12" spans="1:6" s="21" customFormat="1" ht="31.25" hidden="1" customHeight="1">
      <c r="A12" s="369">
        <v>0</v>
      </c>
      <c r="B12" s="175">
        <v>0</v>
      </c>
      <c r="C12" s="467" t="s">
        <v>30</v>
      </c>
      <c r="D12" s="176">
        <v>0</v>
      </c>
    </row>
    <row r="13" spans="1:6" s="21" customFormat="1" ht="31.25" hidden="1" customHeight="1">
      <c r="A13" s="369">
        <v>0</v>
      </c>
      <c r="B13" s="175">
        <v>0</v>
      </c>
      <c r="C13" s="467" t="s">
        <v>586</v>
      </c>
      <c r="D13" s="176">
        <f>+D14</f>
        <v>0</v>
      </c>
    </row>
    <row r="14" spans="1:6" s="21" customFormat="1" ht="31.25" hidden="1" customHeight="1">
      <c r="A14" s="369">
        <v>0</v>
      </c>
      <c r="B14" s="175">
        <v>0</v>
      </c>
      <c r="C14" s="467" t="s">
        <v>30</v>
      </c>
      <c r="D14" s="176">
        <v>0</v>
      </c>
    </row>
    <row r="15" spans="1:6" s="21" customFormat="1" ht="31.25" hidden="1" customHeight="1">
      <c r="A15" s="369">
        <v>0</v>
      </c>
      <c r="B15" s="175">
        <v>0</v>
      </c>
      <c r="C15" s="467" t="s">
        <v>656</v>
      </c>
      <c r="D15" s="176">
        <f>+D16</f>
        <v>0</v>
      </c>
    </row>
    <row r="16" spans="1:6" s="21" customFormat="1" ht="31.25" hidden="1" customHeight="1">
      <c r="A16" s="369">
        <v>0</v>
      </c>
      <c r="B16" s="175">
        <v>0</v>
      </c>
      <c r="C16" s="467" t="s">
        <v>30</v>
      </c>
      <c r="D16" s="176">
        <v>0</v>
      </c>
    </row>
    <row r="17" spans="1:4" s="21" customFormat="1" ht="31.25" customHeight="1">
      <c r="A17" s="369">
        <v>925980</v>
      </c>
      <c r="B17" s="264">
        <f>SUM(B18:B19)</f>
        <v>812007</v>
      </c>
      <c r="C17" s="467" t="s">
        <v>255</v>
      </c>
      <c r="D17" s="176">
        <f>SUM(D18:D19)</f>
        <v>868854</v>
      </c>
    </row>
    <row r="18" spans="1:4" s="21" customFormat="1" ht="31.25" customHeight="1">
      <c r="A18" s="369">
        <v>925959</v>
      </c>
      <c r="B18" s="175">
        <v>812007</v>
      </c>
      <c r="C18" s="467" t="s">
        <v>254</v>
      </c>
      <c r="D18" s="176">
        <v>868854</v>
      </c>
    </row>
    <row r="19" spans="1:4" s="21" customFormat="1" ht="31.25" customHeight="1">
      <c r="A19" s="369">
        <v>21</v>
      </c>
      <c r="B19" s="264">
        <v>0</v>
      </c>
      <c r="C19" s="467" t="s">
        <v>657</v>
      </c>
      <c r="D19" s="176">
        <v>0</v>
      </c>
    </row>
    <row r="20" spans="1:4" s="21" customFormat="1" ht="31.25" customHeight="1">
      <c r="A20" s="369">
        <v>3249</v>
      </c>
      <c r="B20" s="264">
        <f>B21</f>
        <v>37027</v>
      </c>
      <c r="C20" s="467" t="s">
        <v>248</v>
      </c>
      <c r="D20" s="176">
        <f>D21</f>
        <v>36055</v>
      </c>
    </row>
    <row r="21" spans="1:4" s="21" customFormat="1" ht="31.25" customHeight="1">
      <c r="A21" s="369">
        <v>3249</v>
      </c>
      <c r="B21" s="175">
        <v>37027</v>
      </c>
      <c r="C21" s="467" t="s">
        <v>254</v>
      </c>
      <c r="D21" s="176">
        <v>36055</v>
      </c>
    </row>
    <row r="22" spans="1:4" s="21" customFormat="1" ht="31.25" hidden="1" customHeight="1">
      <c r="A22" s="369">
        <v>0</v>
      </c>
      <c r="B22" s="264">
        <f>B23</f>
        <v>0</v>
      </c>
      <c r="C22" s="467" t="s">
        <v>588</v>
      </c>
      <c r="D22" s="176">
        <f>D23</f>
        <v>0</v>
      </c>
    </row>
    <row r="23" spans="1:4" s="21" customFormat="1" ht="31.25" hidden="1" customHeight="1">
      <c r="A23" s="188">
        <v>0</v>
      </c>
      <c r="B23" s="175">
        <f>B24</f>
        <v>0</v>
      </c>
      <c r="C23" s="467" t="s">
        <v>658</v>
      </c>
      <c r="D23" s="176">
        <f>+D24</f>
        <v>0</v>
      </c>
    </row>
    <row r="24" spans="1:4" s="21" customFormat="1" ht="31.25" hidden="1" customHeight="1">
      <c r="A24" s="188">
        <v>0</v>
      </c>
      <c r="B24" s="175">
        <v>0</v>
      </c>
      <c r="C24" s="467" t="s">
        <v>30</v>
      </c>
      <c r="D24" s="176">
        <v>0</v>
      </c>
    </row>
    <row r="25" spans="1:4" s="21" customFormat="1" ht="31.25" customHeight="1">
      <c r="A25" s="369">
        <v>102493</v>
      </c>
      <c r="B25" s="264">
        <f>B26</f>
        <v>0</v>
      </c>
      <c r="C25" s="467" t="s">
        <v>256</v>
      </c>
      <c r="D25" s="176">
        <f>D26</f>
        <v>0</v>
      </c>
    </row>
    <row r="26" spans="1:4" s="21" customFormat="1" ht="31.25" customHeight="1">
      <c r="A26" s="188">
        <v>102493</v>
      </c>
      <c r="B26" s="175">
        <f>B27</f>
        <v>0</v>
      </c>
      <c r="C26" s="467" t="s">
        <v>257</v>
      </c>
      <c r="D26" s="176">
        <f>+D27</f>
        <v>0</v>
      </c>
    </row>
    <row r="27" spans="1:4" s="21" customFormat="1" ht="29" customHeight="1">
      <c r="A27" s="188">
        <v>102493</v>
      </c>
      <c r="B27" s="175">
        <v>0</v>
      </c>
      <c r="C27" s="467" t="s">
        <v>30</v>
      </c>
      <c r="D27" s="176">
        <v>0</v>
      </c>
    </row>
    <row r="28" spans="1:4" s="21" customFormat="1" ht="29.95" customHeight="1">
      <c r="A28" s="188">
        <v>45926823</v>
      </c>
      <c r="B28" s="175">
        <f>B29</f>
        <v>0</v>
      </c>
      <c r="C28" s="467" t="s">
        <v>659</v>
      </c>
      <c r="D28" s="176">
        <f>D29</f>
        <v>0</v>
      </c>
    </row>
    <row r="29" spans="1:4" s="21" customFormat="1" ht="32.25" customHeight="1">
      <c r="A29" s="188">
        <v>45926823</v>
      </c>
      <c r="B29" s="175">
        <f>B30</f>
        <v>0</v>
      </c>
      <c r="C29" s="467" t="s">
        <v>660</v>
      </c>
      <c r="D29" s="176">
        <v>0</v>
      </c>
    </row>
    <row r="30" spans="1:4" s="21" customFormat="1" ht="27" customHeight="1">
      <c r="A30" s="188">
        <v>45926823</v>
      </c>
      <c r="B30" s="175">
        <v>0</v>
      </c>
      <c r="C30" s="467" t="s">
        <v>30</v>
      </c>
      <c r="D30" s="176">
        <v>0</v>
      </c>
    </row>
    <row r="31" spans="1:4" s="21" customFormat="1" ht="36" customHeight="1">
      <c r="A31" s="171">
        <v>49000</v>
      </c>
      <c r="B31" s="172">
        <f>B32</f>
        <v>68000</v>
      </c>
      <c r="C31" s="466" t="s">
        <v>565</v>
      </c>
      <c r="D31" s="173">
        <f>D32</f>
        <v>68000</v>
      </c>
    </row>
    <row r="32" spans="1:4" s="21" customFormat="1" ht="32.4" customHeight="1">
      <c r="A32" s="174">
        <v>49000</v>
      </c>
      <c r="B32" s="175">
        <f>B33</f>
        <v>68000</v>
      </c>
      <c r="C32" s="467" t="s">
        <v>655</v>
      </c>
      <c r="D32" s="176">
        <f>D33</f>
        <v>68000</v>
      </c>
    </row>
    <row r="33" spans="1:5" s="21" customFormat="1" ht="28.15" customHeight="1">
      <c r="A33" s="174">
        <v>49000</v>
      </c>
      <c r="B33" s="264">
        <v>68000</v>
      </c>
      <c r="C33" s="467" t="s">
        <v>255</v>
      </c>
      <c r="D33" s="176">
        <v>68000</v>
      </c>
    </row>
    <row r="34" spans="1:5" s="21" customFormat="1" ht="31.25" customHeight="1">
      <c r="A34" s="171">
        <v>28120486</v>
      </c>
      <c r="B34" s="172">
        <f>B35</f>
        <v>0</v>
      </c>
      <c r="C34" s="466" t="s">
        <v>661</v>
      </c>
      <c r="D34" s="177">
        <f>D35</f>
        <v>0</v>
      </c>
    </row>
    <row r="35" spans="1:5" s="21" customFormat="1" ht="29.95" customHeight="1">
      <c r="A35" s="174">
        <v>28120486</v>
      </c>
      <c r="B35" s="175">
        <f>B36</f>
        <v>0</v>
      </c>
      <c r="C35" s="467" t="s">
        <v>659</v>
      </c>
      <c r="D35" s="176">
        <f>D36</f>
        <v>0</v>
      </c>
    </row>
    <row r="36" spans="1:5" s="21" customFormat="1" ht="29.45" customHeight="1" thickBot="1">
      <c r="A36" s="178">
        <v>28120486</v>
      </c>
      <c r="B36" s="647">
        <v>0</v>
      </c>
      <c r="C36" s="468" t="s">
        <v>308</v>
      </c>
      <c r="D36" s="179">
        <v>0</v>
      </c>
    </row>
    <row r="37" spans="1:5" s="21" customFormat="1" ht="34.549999999999997" customHeight="1">
      <c r="A37" s="171">
        <v>1696803</v>
      </c>
      <c r="B37" s="172">
        <f>B38+B45</f>
        <v>807</v>
      </c>
      <c r="C37" s="465" t="s">
        <v>212</v>
      </c>
      <c r="D37" s="173">
        <f>D38+D45</f>
        <v>824</v>
      </c>
      <c r="E37" s="692">
        <f>+E38+E45</f>
        <v>1696803</v>
      </c>
    </row>
    <row r="38" spans="1:5" s="21" customFormat="1" ht="31.25" customHeight="1">
      <c r="A38" s="171">
        <v>4173</v>
      </c>
      <c r="B38" s="172">
        <f>B39+B41+B43</f>
        <v>807</v>
      </c>
      <c r="C38" s="466" t="s">
        <v>500</v>
      </c>
      <c r="D38" s="177">
        <f>D39+D41+D43</f>
        <v>824</v>
      </c>
      <c r="E38" s="692">
        <f>+A39+A41+A43</f>
        <v>4173</v>
      </c>
    </row>
    <row r="39" spans="1:5" s="21" customFormat="1" ht="31.25" customHeight="1">
      <c r="A39" s="174">
        <v>208</v>
      </c>
      <c r="B39" s="175">
        <f>SUM(B40)</f>
        <v>303</v>
      </c>
      <c r="C39" s="467" t="s">
        <v>655</v>
      </c>
      <c r="D39" s="176">
        <f>SUM(D40)</f>
        <v>318</v>
      </c>
    </row>
    <row r="40" spans="1:5" s="21" customFormat="1" ht="31.25" customHeight="1">
      <c r="A40" s="174">
        <v>208</v>
      </c>
      <c r="B40" s="264">
        <v>303</v>
      </c>
      <c r="C40" s="467" t="s">
        <v>247</v>
      </c>
      <c r="D40" s="176">
        <v>318</v>
      </c>
    </row>
    <row r="41" spans="1:5" s="21" customFormat="1" ht="31.25" customHeight="1">
      <c r="A41" s="174">
        <v>504</v>
      </c>
      <c r="B41" s="175">
        <f>B42</f>
        <v>504</v>
      </c>
      <c r="C41" s="467" t="s">
        <v>535</v>
      </c>
      <c r="D41" s="176">
        <f>SUM(D42)</f>
        <v>506</v>
      </c>
    </row>
    <row r="42" spans="1:5" s="21" customFormat="1" ht="33.75" customHeight="1">
      <c r="A42" s="174">
        <v>504</v>
      </c>
      <c r="B42" s="264">
        <v>504</v>
      </c>
      <c r="C42" s="467" t="s">
        <v>258</v>
      </c>
      <c r="D42" s="176">
        <v>506</v>
      </c>
    </row>
    <row r="43" spans="1:5" s="824" customFormat="1" ht="31.25" customHeight="1">
      <c r="A43" s="174">
        <v>3461</v>
      </c>
      <c r="B43" s="175">
        <f>B44</f>
        <v>0</v>
      </c>
      <c r="C43" s="467" t="s">
        <v>659</v>
      </c>
      <c r="D43" s="176">
        <f>D44</f>
        <v>0</v>
      </c>
    </row>
    <row r="44" spans="1:5" s="824" customFormat="1" ht="33.75" customHeight="1">
      <c r="A44" s="174">
        <v>3461</v>
      </c>
      <c r="B44" s="175">
        <v>0</v>
      </c>
      <c r="C44" s="467" t="s">
        <v>42</v>
      </c>
      <c r="D44" s="176">
        <v>0</v>
      </c>
    </row>
    <row r="45" spans="1:5" s="21" customFormat="1" ht="36" customHeight="1">
      <c r="A45" s="171">
        <v>1692630</v>
      </c>
      <c r="B45" s="172">
        <f>B46</f>
        <v>0</v>
      </c>
      <c r="C45" s="466" t="s">
        <v>662</v>
      </c>
      <c r="D45" s="177">
        <f>D46</f>
        <v>0</v>
      </c>
      <c r="E45" s="692">
        <f>+A45</f>
        <v>1692630</v>
      </c>
    </row>
    <row r="46" spans="1:5" s="21" customFormat="1" ht="31.25" customHeight="1">
      <c r="A46" s="174">
        <v>1692630</v>
      </c>
      <c r="B46" s="175">
        <f>B47</f>
        <v>0</v>
      </c>
      <c r="C46" s="467" t="s">
        <v>659</v>
      </c>
      <c r="D46" s="176">
        <f>D47</f>
        <v>0</v>
      </c>
    </row>
    <row r="47" spans="1:5" s="21" customFormat="1" ht="31.25" customHeight="1">
      <c r="A47" s="174">
        <v>1692630</v>
      </c>
      <c r="B47" s="175">
        <v>0</v>
      </c>
      <c r="C47" s="467" t="s">
        <v>42</v>
      </c>
      <c r="D47" s="176">
        <v>0</v>
      </c>
    </row>
    <row r="48" spans="1:5" s="21" customFormat="1" ht="31.25" customHeight="1">
      <c r="A48" s="644">
        <v>30</v>
      </c>
      <c r="B48" s="646">
        <f>+B49</f>
        <v>30</v>
      </c>
      <c r="C48" s="465" t="s">
        <v>797</v>
      </c>
      <c r="D48" s="173">
        <f>D49+D56</f>
        <v>30</v>
      </c>
      <c r="E48" s="692">
        <f>+A48</f>
        <v>30</v>
      </c>
    </row>
    <row r="49" spans="1:4" s="21" customFormat="1" ht="31.25" customHeight="1">
      <c r="A49" s="644">
        <v>30</v>
      </c>
      <c r="B49" s="646">
        <f>+B50</f>
        <v>30</v>
      </c>
      <c r="C49" s="466" t="s">
        <v>500</v>
      </c>
      <c r="D49" s="177">
        <f>D50+D54</f>
        <v>30</v>
      </c>
    </row>
    <row r="50" spans="1:4" s="21" customFormat="1" ht="31.25" customHeight="1">
      <c r="A50" s="662">
        <v>30</v>
      </c>
      <c r="B50" s="264">
        <f>+B51</f>
        <v>30</v>
      </c>
      <c r="C50" s="467" t="s">
        <v>242</v>
      </c>
      <c r="D50" s="176">
        <f>SUM(D51)</f>
        <v>30</v>
      </c>
    </row>
    <row r="51" spans="1:4" ht="31.25" customHeight="1">
      <c r="A51" s="662">
        <v>30</v>
      </c>
      <c r="B51" s="264">
        <f>+B52</f>
        <v>30</v>
      </c>
      <c r="C51" s="467" t="s">
        <v>247</v>
      </c>
      <c r="D51" s="176">
        <f>+D52</f>
        <v>30</v>
      </c>
    </row>
    <row r="52" spans="1:4" ht="39.799999999999997" customHeight="1">
      <c r="A52" s="662">
        <v>30</v>
      </c>
      <c r="B52" s="264">
        <v>30</v>
      </c>
      <c r="C52" s="467" t="s">
        <v>931</v>
      </c>
      <c r="D52" s="176">
        <v>30</v>
      </c>
    </row>
    <row r="53" spans="1:4" ht="38.950000000000003" hidden="1" customHeight="1">
      <c r="A53" s="662">
        <v>0</v>
      </c>
      <c r="B53" s="264">
        <v>0</v>
      </c>
      <c r="C53" s="467" t="s">
        <v>943</v>
      </c>
      <c r="D53" s="176">
        <v>0</v>
      </c>
    </row>
    <row r="54" spans="1:4" ht="100.8" customHeight="1">
      <c r="A54" s="648"/>
      <c r="B54" s="734"/>
      <c r="C54" s="736"/>
      <c r="D54" s="649"/>
    </row>
    <row r="55" spans="1:4" ht="17.05" thickBot="1">
      <c r="A55" s="650"/>
      <c r="B55" s="652"/>
      <c r="C55" s="737"/>
      <c r="D55" s="651"/>
    </row>
  </sheetData>
  <mergeCells count="4">
    <mergeCell ref="A1:D1"/>
    <mergeCell ref="A2:D2"/>
    <mergeCell ref="A3:D3"/>
    <mergeCell ref="A4:D4"/>
  </mergeCells>
  <phoneticPr fontId="4"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34"/>
  <sheetViews>
    <sheetView view="pageBreakPreview" topLeftCell="A21" zoomScaleNormal="100" zoomScaleSheetLayoutView="100" workbookViewId="0">
      <selection activeCell="D27" sqref="D27"/>
    </sheetView>
  </sheetViews>
  <sheetFormatPr defaultColWidth="9" defaultRowHeight="15.05"/>
  <cols>
    <col min="1" max="1" width="32" style="12" customWidth="1"/>
    <col min="2" max="2" width="58" style="12" customWidth="1"/>
    <col min="3" max="16384" width="9" style="12"/>
  </cols>
  <sheetData>
    <row r="1" spans="1:11" ht="20.95" customHeight="1">
      <c r="A1" s="1051" t="s">
        <v>62</v>
      </c>
      <c r="B1" s="1051"/>
      <c r="C1" s="11"/>
      <c r="D1" s="11"/>
      <c r="E1" s="11"/>
      <c r="F1" s="11"/>
      <c r="G1" s="11"/>
      <c r="H1" s="11"/>
    </row>
    <row r="2" spans="1:11" ht="22.25">
      <c r="A2" s="1051" t="s">
        <v>63</v>
      </c>
      <c r="B2" s="1051"/>
      <c r="C2" s="11"/>
      <c r="D2" s="11"/>
      <c r="E2" s="11"/>
      <c r="F2" s="11"/>
      <c r="G2" s="11"/>
      <c r="H2" s="11"/>
    </row>
    <row r="3" spans="1:11" ht="24.75" customHeight="1">
      <c r="A3" s="1077" t="s">
        <v>111</v>
      </c>
      <c r="B3" s="1077"/>
      <c r="C3" s="13"/>
      <c r="D3" s="13"/>
      <c r="E3" s="13"/>
      <c r="F3" s="13"/>
      <c r="G3" s="13"/>
      <c r="H3" s="13"/>
    </row>
    <row r="4" spans="1:11" ht="24.75" customHeight="1" thickBot="1">
      <c r="A4" s="1190" t="s">
        <v>1106</v>
      </c>
      <c r="B4" s="1190"/>
      <c r="C4" s="14"/>
      <c r="D4" s="14"/>
      <c r="E4" s="14"/>
      <c r="F4" s="14"/>
      <c r="G4" s="14"/>
      <c r="H4" s="14"/>
    </row>
    <row r="5" spans="1:11" s="16" customFormat="1" ht="29.95" customHeight="1">
      <c r="A5" s="18" t="s">
        <v>230</v>
      </c>
      <c r="B5" s="411" t="s">
        <v>113</v>
      </c>
      <c r="C5" s="15"/>
      <c r="D5" s="15"/>
      <c r="E5" s="15"/>
      <c r="F5" s="15"/>
      <c r="G5" s="15"/>
      <c r="H5" s="15"/>
    </row>
    <row r="6" spans="1:11" s="17" customFormat="1" ht="8.1999999999999993" customHeight="1">
      <c r="A6" s="484"/>
      <c r="B6" s="222"/>
      <c r="C6" s="43"/>
      <c r="D6" s="43"/>
      <c r="E6" s="43"/>
      <c r="F6" s="43"/>
      <c r="G6" s="43"/>
      <c r="H6" s="43"/>
    </row>
    <row r="7" spans="1:11" s="17" customFormat="1" ht="38.950000000000003" customHeight="1">
      <c r="A7" s="456" t="s">
        <v>229</v>
      </c>
      <c r="B7" s="44" t="s">
        <v>1350</v>
      </c>
    </row>
    <row r="8" spans="1:11" s="17" customFormat="1" ht="21.8" customHeight="1">
      <c r="A8" s="458" t="s">
        <v>203</v>
      </c>
      <c r="B8" s="44"/>
    </row>
    <row r="9" spans="1:11" s="21" customFormat="1" ht="20.95" customHeight="1">
      <c r="A9" s="487" t="s">
        <v>504</v>
      </c>
      <c r="B9" s="45"/>
    </row>
    <row r="10" spans="1:11" s="21" customFormat="1" ht="23.25" customHeight="1">
      <c r="A10" s="459" t="s">
        <v>663</v>
      </c>
      <c r="B10" s="45"/>
    </row>
    <row r="11" spans="1:11" s="23" customFormat="1" ht="29.95" hidden="1" customHeight="1">
      <c r="A11" s="459" t="s">
        <v>664</v>
      </c>
      <c r="B11" s="796" t="s">
        <v>798</v>
      </c>
    </row>
    <row r="12" spans="1:11" s="23" customFormat="1" ht="29.95" hidden="1" customHeight="1">
      <c r="A12" s="459" t="s">
        <v>589</v>
      </c>
      <c r="B12" s="827" t="s">
        <v>918</v>
      </c>
    </row>
    <row r="13" spans="1:11" s="23" customFormat="1" ht="29.95" hidden="1" customHeight="1">
      <c r="A13" s="459" t="s">
        <v>665</v>
      </c>
      <c r="B13" s="827" t="s">
        <v>919</v>
      </c>
    </row>
    <row r="14" spans="1:11" s="23" customFormat="1" ht="36.85" customHeight="1">
      <c r="A14" s="459" t="s">
        <v>666</v>
      </c>
      <c r="B14" s="22" t="s">
        <v>1351</v>
      </c>
    </row>
    <row r="15" spans="1:11" s="21" customFormat="1" ht="111.6" customHeight="1">
      <c r="A15" s="485" t="s">
        <v>667</v>
      </c>
      <c r="B15" s="42" t="s">
        <v>1179</v>
      </c>
    </row>
    <row r="16" spans="1:11" s="17" customFormat="1" ht="26.2" hidden="1" customHeight="1">
      <c r="A16" s="459" t="s">
        <v>590</v>
      </c>
      <c r="B16" s="696"/>
      <c r="K16" s="112"/>
    </row>
    <row r="17" spans="1:11" s="17" customFormat="1" ht="27" hidden="1" customHeight="1">
      <c r="A17" s="459" t="s">
        <v>668</v>
      </c>
      <c r="B17" s="827" t="s">
        <v>920</v>
      </c>
    </row>
    <row r="18" spans="1:11" s="17" customFormat="1" ht="27.85" customHeight="1">
      <c r="A18" s="458" t="s">
        <v>299</v>
      </c>
      <c r="B18" s="45"/>
    </row>
    <row r="19" spans="1:11" s="17" customFormat="1" ht="26.2" customHeight="1">
      <c r="A19" s="459" t="s">
        <v>663</v>
      </c>
      <c r="B19" s="45"/>
      <c r="K19" s="112"/>
    </row>
    <row r="20" spans="1:11" s="17" customFormat="1" ht="41.25" customHeight="1">
      <c r="A20" s="459" t="s">
        <v>666</v>
      </c>
      <c r="B20" s="22" t="s">
        <v>573</v>
      </c>
    </row>
    <row r="21" spans="1:11" s="17" customFormat="1" ht="26.2" customHeight="1">
      <c r="A21" s="458" t="s">
        <v>212</v>
      </c>
      <c r="B21" s="44"/>
    </row>
    <row r="22" spans="1:11" s="21" customFormat="1" ht="24.05" customHeight="1">
      <c r="A22" s="487" t="s">
        <v>504</v>
      </c>
      <c r="B22" s="45"/>
    </row>
    <row r="23" spans="1:11" s="21" customFormat="1" ht="23.25" customHeight="1">
      <c r="A23" s="459" t="s">
        <v>663</v>
      </c>
      <c r="B23" s="45"/>
    </row>
    <row r="24" spans="1:11" s="23" customFormat="1" ht="29.3" customHeight="1">
      <c r="A24" s="459" t="s">
        <v>666</v>
      </c>
      <c r="B24" s="22" t="s">
        <v>1177</v>
      </c>
    </row>
    <row r="25" spans="1:11" s="23" customFormat="1" ht="29.3" customHeight="1">
      <c r="A25" s="459" t="s">
        <v>591</v>
      </c>
      <c r="B25" s="796"/>
    </row>
    <row r="26" spans="1:11" s="23" customFormat="1" ht="38.950000000000003" customHeight="1">
      <c r="A26" s="459" t="s">
        <v>669</v>
      </c>
      <c r="B26" s="22" t="s">
        <v>1178</v>
      </c>
    </row>
    <row r="27" spans="1:11" s="17" customFormat="1" ht="26.2" customHeight="1">
      <c r="A27" s="458" t="s">
        <v>797</v>
      </c>
      <c r="B27" s="44"/>
    </row>
    <row r="28" spans="1:11" s="793" customFormat="1" ht="30.8" customHeight="1">
      <c r="A28" s="487" t="s">
        <v>504</v>
      </c>
      <c r="B28" s="45"/>
    </row>
    <row r="29" spans="1:11" s="793" customFormat="1" ht="26.2" customHeight="1">
      <c r="A29" s="459" t="s">
        <v>663</v>
      </c>
      <c r="B29" s="45"/>
    </row>
    <row r="30" spans="1:11" s="23" customFormat="1" ht="20.95" customHeight="1">
      <c r="A30" s="459" t="s">
        <v>666</v>
      </c>
      <c r="B30" s="22" t="s">
        <v>996</v>
      </c>
    </row>
    <row r="31" spans="1:11" s="23" customFormat="1" ht="37.15" hidden="1" customHeight="1">
      <c r="A31" s="459"/>
      <c r="B31" s="22"/>
    </row>
    <row r="32" spans="1:11" s="23" customFormat="1" ht="49.25" hidden="1" customHeight="1">
      <c r="A32" s="459"/>
      <c r="B32" s="22"/>
    </row>
    <row r="33" spans="1:2" s="23" customFormat="1" ht="49.25" hidden="1" customHeight="1">
      <c r="A33" s="459"/>
      <c r="B33" s="22"/>
    </row>
    <row r="34" spans="1:2" s="23" customFormat="1" ht="16.850000000000001" customHeight="1" thickBot="1">
      <c r="A34" s="461"/>
      <c r="B34" s="223"/>
    </row>
  </sheetData>
  <mergeCells count="4">
    <mergeCell ref="A1:B1"/>
    <mergeCell ref="A2:B2"/>
    <mergeCell ref="A3:B3"/>
    <mergeCell ref="A4:B4"/>
  </mergeCells>
  <phoneticPr fontId="4" type="noConversion"/>
  <printOptions horizontalCentered="1"/>
  <pageMargins left="0.59055118110236227" right="0.59055118110236227" top="0.59055118110236227" bottom="0.78740157480314965" header="0.51181102362204722" footer="0.51181102362204722"/>
  <pageSetup paperSize="9" firstPageNumber="33"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59"/>
  <sheetViews>
    <sheetView view="pageBreakPreview" zoomScaleNormal="100" zoomScaleSheetLayoutView="100" workbookViewId="0">
      <selection activeCell="I55" sqref="I55"/>
    </sheetView>
  </sheetViews>
  <sheetFormatPr defaultColWidth="9" defaultRowHeight="15.05"/>
  <cols>
    <col min="1" max="2" width="19.625" style="2" customWidth="1"/>
    <col min="3" max="3" width="31.375" style="2" customWidth="1"/>
    <col min="4" max="4" width="19.5" style="2" customWidth="1"/>
    <col min="5" max="6" width="13.375" style="2" bestFit="1" customWidth="1"/>
    <col min="7" max="16384" width="9" style="2"/>
  </cols>
  <sheetData>
    <row r="1" spans="1:6" s="6" customFormat="1" ht="22.25">
      <c r="A1" s="1050" t="s">
        <v>36</v>
      </c>
      <c r="B1" s="1051"/>
      <c r="C1" s="1051"/>
      <c r="D1" s="1051"/>
    </row>
    <row r="2" spans="1:6" s="6" customFormat="1" ht="22.25">
      <c r="A2" s="1050" t="s">
        <v>19</v>
      </c>
      <c r="B2" s="1051"/>
      <c r="C2" s="1051"/>
      <c r="D2" s="1051"/>
    </row>
    <row r="3" spans="1:6" s="6" customFormat="1" ht="24.9" customHeight="1">
      <c r="A3" s="1052" t="s">
        <v>13</v>
      </c>
      <c r="B3" s="1052"/>
      <c r="C3" s="1052"/>
      <c r="D3" s="1052"/>
    </row>
    <row r="4" spans="1:6" s="6" customFormat="1" ht="24.9" customHeight="1" thickBot="1">
      <c r="A4" s="1054" t="s">
        <v>1107</v>
      </c>
      <c r="B4" s="1055"/>
      <c r="C4" s="1055"/>
      <c r="D4" s="1055"/>
    </row>
    <row r="5" spans="1:6" s="56" customFormat="1" ht="29.95" customHeight="1">
      <c r="A5" s="706" t="s">
        <v>5</v>
      </c>
      <c r="B5" s="985" t="s">
        <v>6</v>
      </c>
      <c r="C5" s="985" t="s">
        <v>7</v>
      </c>
      <c r="D5" s="98" t="s">
        <v>3</v>
      </c>
    </row>
    <row r="6" spans="1:6" s="56" customFormat="1" ht="8.1999999999999993" customHeight="1">
      <c r="A6" s="707"/>
      <c r="B6" s="986"/>
      <c r="C6" s="986"/>
      <c r="D6" s="75"/>
    </row>
    <row r="7" spans="1:6" s="9" customFormat="1" ht="27.65" customHeight="1">
      <c r="A7" s="708">
        <v>527335020</v>
      </c>
      <c r="B7" s="79">
        <f>B8+B25+B36+B48</f>
        <v>520731174</v>
      </c>
      <c r="C7" s="261" t="s">
        <v>14</v>
      </c>
      <c r="D7" s="181">
        <f>D8+D25+D36+D48</f>
        <v>529456737</v>
      </c>
      <c r="E7" s="694">
        <f>+A8+A25+A36+A48</f>
        <v>527335020</v>
      </c>
      <c r="F7" s="694">
        <f>+A7-E7</f>
        <v>0</v>
      </c>
    </row>
    <row r="8" spans="1:6" s="9" customFormat="1" ht="29.95" customHeight="1">
      <c r="A8" s="708">
        <v>491333943</v>
      </c>
      <c r="B8" s="79">
        <f>B9+B14+B19</f>
        <v>485277643</v>
      </c>
      <c r="C8" s="262" t="s">
        <v>34</v>
      </c>
      <c r="D8" s="181">
        <f>D9+D14+D19</f>
        <v>493513068</v>
      </c>
      <c r="E8" s="697">
        <f>+A9+A14+A19</f>
        <v>491333942</v>
      </c>
      <c r="F8" s="694">
        <f>+A8-E8</f>
        <v>1</v>
      </c>
    </row>
    <row r="9" spans="1:6" s="184" customFormat="1" ht="29.95" customHeight="1">
      <c r="A9" s="708">
        <v>422565841</v>
      </c>
      <c r="B9" s="27">
        <f>B10</f>
        <v>483060007</v>
      </c>
      <c r="C9" s="262" t="s">
        <v>8</v>
      </c>
      <c r="D9" s="182">
        <f>D10</f>
        <v>491651979</v>
      </c>
    </row>
    <row r="10" spans="1:6" s="9" customFormat="1" ht="28.8" customHeight="1">
      <c r="A10" s="709">
        <v>422565841</v>
      </c>
      <c r="B10" s="31">
        <f>B11</f>
        <v>483060007</v>
      </c>
      <c r="C10" s="263" t="s">
        <v>39</v>
      </c>
      <c r="D10" s="186">
        <f>D11</f>
        <v>491651979</v>
      </c>
    </row>
    <row r="11" spans="1:6" s="9" customFormat="1" ht="29.95" customHeight="1">
      <c r="A11" s="709">
        <v>422565841</v>
      </c>
      <c r="B11" s="31">
        <f>SUM(B12:B13)</f>
        <v>483060007</v>
      </c>
      <c r="C11" s="263" t="s">
        <v>40</v>
      </c>
      <c r="D11" s="186">
        <f>SUM(D12:D13)</f>
        <v>491651979</v>
      </c>
    </row>
    <row r="12" spans="1:6" s="9" customFormat="1" ht="30.6" customHeight="1">
      <c r="A12" s="709">
        <v>415611928</v>
      </c>
      <c r="B12" s="31">
        <v>475901712</v>
      </c>
      <c r="C12" s="263" t="s">
        <v>30</v>
      </c>
      <c r="D12" s="186">
        <v>484271046</v>
      </c>
    </row>
    <row r="13" spans="1:6" s="9" customFormat="1" ht="28.15" customHeight="1">
      <c r="A13" s="709">
        <v>6953913</v>
      </c>
      <c r="B13" s="31">
        <v>7158295</v>
      </c>
      <c r="C13" s="263" t="s">
        <v>31</v>
      </c>
      <c r="D13" s="186">
        <v>7380933</v>
      </c>
    </row>
    <row r="14" spans="1:6" s="9" customFormat="1" ht="29.95" customHeight="1">
      <c r="A14" s="708">
        <v>68313791</v>
      </c>
      <c r="B14" s="27">
        <f>B15</f>
        <v>1507257</v>
      </c>
      <c r="C14" s="262" t="s">
        <v>12</v>
      </c>
      <c r="D14" s="182">
        <f>D15</f>
        <v>1159558</v>
      </c>
    </row>
    <row r="15" spans="1:6" s="9" customFormat="1" ht="27.65" customHeight="1">
      <c r="A15" s="709">
        <v>68313791</v>
      </c>
      <c r="B15" s="31">
        <f>B16</f>
        <v>1507257</v>
      </c>
      <c r="C15" s="263" t="s">
        <v>39</v>
      </c>
      <c r="D15" s="186">
        <f>D16</f>
        <v>1159558</v>
      </c>
    </row>
    <row r="16" spans="1:6" s="9" customFormat="1" ht="29.45" customHeight="1">
      <c r="A16" s="709">
        <v>68313791</v>
      </c>
      <c r="B16" s="31">
        <f>SUM(B17:B18)</f>
        <v>1507257</v>
      </c>
      <c r="C16" s="263" t="s">
        <v>41</v>
      </c>
      <c r="D16" s="186">
        <f>SUM(D17:D18)</f>
        <v>1159558</v>
      </c>
    </row>
    <row r="17" spans="1:6" s="9" customFormat="1" ht="26.05" customHeight="1">
      <c r="A17" s="709">
        <v>67181736</v>
      </c>
      <c r="B17" s="903">
        <v>0</v>
      </c>
      <c r="C17" s="263" t="s">
        <v>30</v>
      </c>
      <c r="D17" s="699">
        <v>0</v>
      </c>
    </row>
    <row r="18" spans="1:6" s="9" customFormat="1" ht="26.35" customHeight="1">
      <c r="A18" s="188">
        <v>1132056</v>
      </c>
      <c r="B18" s="264">
        <v>1507257</v>
      </c>
      <c r="C18" s="263" t="s">
        <v>31</v>
      </c>
      <c r="D18" s="176">
        <v>1159558</v>
      </c>
    </row>
    <row r="19" spans="1:6" s="9" customFormat="1" ht="29.95" customHeight="1">
      <c r="A19" s="370">
        <v>454310</v>
      </c>
      <c r="B19" s="27">
        <f>B20</f>
        <v>710379</v>
      </c>
      <c r="C19" s="262" t="s">
        <v>0</v>
      </c>
      <c r="D19" s="182">
        <f>D20</f>
        <v>701531</v>
      </c>
    </row>
    <row r="20" spans="1:6" s="9" customFormat="1" ht="27" customHeight="1">
      <c r="A20" s="369">
        <v>454310</v>
      </c>
      <c r="B20" s="31">
        <f>B21</f>
        <v>710379</v>
      </c>
      <c r="C20" s="263" t="s">
        <v>39</v>
      </c>
      <c r="D20" s="186">
        <f>D21</f>
        <v>701531</v>
      </c>
    </row>
    <row r="21" spans="1:6" s="9" customFormat="1" ht="31.95" customHeight="1">
      <c r="A21" s="369">
        <v>454310</v>
      </c>
      <c r="B21" s="31">
        <f>SUM(B22:B23)</f>
        <v>710379</v>
      </c>
      <c r="C21" s="263" t="s">
        <v>42</v>
      </c>
      <c r="D21" s="186">
        <f>SUM(D22:D23)</f>
        <v>701531</v>
      </c>
    </row>
    <row r="22" spans="1:6" s="9" customFormat="1" ht="32.4" customHeight="1">
      <c r="A22" s="709">
        <v>441160</v>
      </c>
      <c r="B22" s="31">
        <v>679718</v>
      </c>
      <c r="C22" s="263" t="s">
        <v>30</v>
      </c>
      <c r="D22" s="186">
        <v>681537</v>
      </c>
    </row>
    <row r="23" spans="1:6" s="9" customFormat="1" ht="20.95" customHeight="1">
      <c r="A23" s="709">
        <v>13150</v>
      </c>
      <c r="B23" s="31">
        <v>30661</v>
      </c>
      <c r="C23" s="263" t="s">
        <v>31</v>
      </c>
      <c r="D23" s="186">
        <v>19994</v>
      </c>
    </row>
    <row r="24" spans="1:6" s="9" customFormat="1" ht="9" customHeight="1">
      <c r="A24" s="710"/>
      <c r="B24" s="31"/>
      <c r="C24" s="263"/>
      <c r="D24" s="186"/>
    </row>
    <row r="25" spans="1:6" s="9" customFormat="1" ht="27.85" customHeight="1">
      <c r="A25" s="708">
        <v>28075066</v>
      </c>
      <c r="B25" s="79">
        <f>B26+B29+B32</f>
        <v>27724093</v>
      </c>
      <c r="C25" s="262" t="s">
        <v>35</v>
      </c>
      <c r="D25" s="181">
        <f>D26+D29+D32</f>
        <v>28391151</v>
      </c>
      <c r="E25" s="698">
        <f>+A26+A29+A32</f>
        <v>28075066</v>
      </c>
      <c r="F25" s="698">
        <f>+A25-E25</f>
        <v>0</v>
      </c>
    </row>
    <row r="26" spans="1:6" s="184" customFormat="1" ht="28.15" customHeight="1">
      <c r="A26" s="708">
        <v>20300207</v>
      </c>
      <c r="B26" s="27">
        <f>B27</f>
        <v>21553412</v>
      </c>
      <c r="C26" s="262" t="s">
        <v>8</v>
      </c>
      <c r="D26" s="182">
        <f>D27</f>
        <v>22823256</v>
      </c>
    </row>
    <row r="27" spans="1:6" s="9" customFormat="1" ht="27" customHeight="1">
      <c r="A27" s="709">
        <v>20300207</v>
      </c>
      <c r="B27" s="31">
        <f>B28</f>
        <v>21553412</v>
      </c>
      <c r="C27" s="263" t="s">
        <v>39</v>
      </c>
      <c r="D27" s="186">
        <f>D28</f>
        <v>22823256</v>
      </c>
    </row>
    <row r="28" spans="1:6" s="9" customFormat="1" ht="28.5" customHeight="1">
      <c r="A28" s="709">
        <v>20300207</v>
      </c>
      <c r="B28" s="31">
        <v>21553412</v>
      </c>
      <c r="C28" s="263" t="s">
        <v>40</v>
      </c>
      <c r="D28" s="186">
        <v>22823256</v>
      </c>
    </row>
    <row r="29" spans="1:6" s="9" customFormat="1" ht="31.75" customHeight="1" thickBot="1">
      <c r="A29" s="904">
        <v>7759070</v>
      </c>
      <c r="B29" s="905">
        <f>B30</f>
        <v>6125313</v>
      </c>
      <c r="C29" s="906" t="s">
        <v>12</v>
      </c>
      <c r="D29" s="907">
        <f>D30</f>
        <v>5527767</v>
      </c>
    </row>
    <row r="30" spans="1:6" s="9" customFormat="1" ht="27" customHeight="1">
      <c r="A30" s="709">
        <v>7759070</v>
      </c>
      <c r="B30" s="31">
        <f>B31</f>
        <v>6125313</v>
      </c>
      <c r="C30" s="263" t="s">
        <v>39</v>
      </c>
      <c r="D30" s="186">
        <f>D31</f>
        <v>5527767</v>
      </c>
    </row>
    <row r="31" spans="1:6" s="9" customFormat="1" ht="27" customHeight="1">
      <c r="A31" s="709">
        <v>7759070</v>
      </c>
      <c r="B31" s="31">
        <v>6125313</v>
      </c>
      <c r="C31" s="263" t="s">
        <v>41</v>
      </c>
      <c r="D31" s="186">
        <v>5527767</v>
      </c>
    </row>
    <row r="32" spans="1:6" s="9" customFormat="1" ht="28.15" customHeight="1">
      <c r="A32" s="370">
        <v>15789</v>
      </c>
      <c r="B32" s="27">
        <f>B33</f>
        <v>45368</v>
      </c>
      <c r="C32" s="262" t="s">
        <v>0</v>
      </c>
      <c r="D32" s="182">
        <f>D33</f>
        <v>40128</v>
      </c>
    </row>
    <row r="33" spans="1:6" s="9" customFormat="1" ht="27" customHeight="1">
      <c r="A33" s="369">
        <v>15789</v>
      </c>
      <c r="B33" s="31">
        <f>B34</f>
        <v>45368</v>
      </c>
      <c r="C33" s="263" t="s">
        <v>39</v>
      </c>
      <c r="D33" s="186">
        <f>D34</f>
        <v>40128</v>
      </c>
    </row>
    <row r="34" spans="1:6" s="9" customFormat="1" ht="23.25" customHeight="1">
      <c r="A34" s="369">
        <v>15789</v>
      </c>
      <c r="B34" s="31">
        <v>45368</v>
      </c>
      <c r="C34" s="263" t="s">
        <v>42</v>
      </c>
      <c r="D34" s="186">
        <v>40128</v>
      </c>
    </row>
    <row r="35" spans="1:6" s="9" customFormat="1" ht="5.4" customHeight="1">
      <c r="A35" s="369"/>
      <c r="B35" s="31"/>
      <c r="C35" s="263"/>
      <c r="D35" s="186"/>
    </row>
    <row r="36" spans="1:6" s="9" customFormat="1" ht="29.95" customHeight="1">
      <c r="A36" s="708">
        <v>7391477</v>
      </c>
      <c r="B36" s="79">
        <f>B37+B42</f>
        <v>7167206</v>
      </c>
      <c r="C36" s="262" t="s">
        <v>999</v>
      </c>
      <c r="D36" s="181">
        <f>D37+D42</f>
        <v>6925121</v>
      </c>
      <c r="E36" s="697">
        <f>+A37+A42</f>
        <v>7391478</v>
      </c>
      <c r="F36" s="697">
        <f>+A36-E36</f>
        <v>-1</v>
      </c>
    </row>
    <row r="37" spans="1:6" s="184" customFormat="1" ht="29.95" customHeight="1">
      <c r="A37" s="708">
        <v>7383282</v>
      </c>
      <c r="B37" s="27">
        <f>B38</f>
        <v>7156168</v>
      </c>
      <c r="C37" s="262" t="s">
        <v>8</v>
      </c>
      <c r="D37" s="182">
        <f>D38</f>
        <v>6916286</v>
      </c>
    </row>
    <row r="38" spans="1:6" s="9" customFormat="1" ht="26.35" customHeight="1">
      <c r="A38" s="369">
        <v>7383282</v>
      </c>
      <c r="B38" s="31">
        <f>+B39</f>
        <v>7156168</v>
      </c>
      <c r="C38" s="263" t="s">
        <v>39</v>
      </c>
      <c r="D38" s="186">
        <f>D39</f>
        <v>6916286</v>
      </c>
    </row>
    <row r="39" spans="1:6" s="9" customFormat="1" ht="27.65" customHeight="1">
      <c r="A39" s="369">
        <v>7383282</v>
      </c>
      <c r="B39" s="31">
        <f>+B40+B41</f>
        <v>7156168</v>
      </c>
      <c r="C39" s="263" t="s">
        <v>40</v>
      </c>
      <c r="D39" s="186">
        <f>+D40+D41</f>
        <v>6916286</v>
      </c>
    </row>
    <row r="40" spans="1:6" s="898" customFormat="1" ht="26.35" customHeight="1">
      <c r="A40" s="709">
        <v>7383282</v>
      </c>
      <c r="B40" s="187">
        <v>7019274</v>
      </c>
      <c r="C40" s="263" t="s">
        <v>997</v>
      </c>
      <c r="D40" s="203">
        <v>6794437</v>
      </c>
    </row>
    <row r="41" spans="1:6" s="898" customFormat="1" ht="24.55" customHeight="1">
      <c r="A41" s="340">
        <v>0</v>
      </c>
      <c r="B41" s="264">
        <v>136894</v>
      </c>
      <c r="C41" s="263" t="s">
        <v>998</v>
      </c>
      <c r="D41" s="176">
        <v>121849</v>
      </c>
    </row>
    <row r="42" spans="1:6" s="9" customFormat="1" ht="27.65" customHeight="1">
      <c r="A42" s="370">
        <v>8196</v>
      </c>
      <c r="B42" s="27">
        <f>B43</f>
        <v>11038</v>
      </c>
      <c r="C42" s="262" t="s">
        <v>0</v>
      </c>
      <c r="D42" s="182">
        <f>D43</f>
        <v>8835</v>
      </c>
    </row>
    <row r="43" spans="1:6" s="9" customFormat="1" ht="26.35" customHeight="1">
      <c r="A43" s="369">
        <v>8196</v>
      </c>
      <c r="B43" s="31">
        <f>B44</f>
        <v>11038</v>
      </c>
      <c r="C43" s="263" t="s">
        <v>39</v>
      </c>
      <c r="D43" s="186">
        <f>D44</f>
        <v>8835</v>
      </c>
    </row>
    <row r="44" spans="1:6" s="9" customFormat="1" ht="26.35" customHeight="1">
      <c r="A44" s="369">
        <v>8196</v>
      </c>
      <c r="B44" s="31">
        <f>+B45+B46</f>
        <v>11038</v>
      </c>
      <c r="C44" s="263" t="s">
        <v>42</v>
      </c>
      <c r="D44" s="186">
        <f>+D45</f>
        <v>8835</v>
      </c>
    </row>
    <row r="45" spans="1:6" s="898" customFormat="1" ht="22.95" customHeight="1">
      <c r="A45" s="709">
        <v>8196</v>
      </c>
      <c r="B45" s="187">
        <v>11038</v>
      </c>
      <c r="C45" s="263" t="s">
        <v>997</v>
      </c>
      <c r="D45" s="203">
        <v>8835</v>
      </c>
    </row>
    <row r="46" spans="1:6" s="898" customFormat="1" ht="29.95" hidden="1" customHeight="1">
      <c r="A46" s="709">
        <v>0</v>
      </c>
      <c r="B46" s="264">
        <v>0</v>
      </c>
      <c r="C46" s="263" t="s">
        <v>998</v>
      </c>
      <c r="D46" s="176">
        <v>0</v>
      </c>
    </row>
    <row r="47" spans="1:6" s="9" customFormat="1" ht="11.95" customHeight="1">
      <c r="A47" s="369"/>
      <c r="B47" s="31"/>
      <c r="C47" s="263"/>
      <c r="D47" s="186"/>
    </row>
    <row r="48" spans="1:6" s="9" customFormat="1" ht="29.95" customHeight="1">
      <c r="A48" s="708">
        <v>534534</v>
      </c>
      <c r="B48" s="79">
        <f>B49+B52+B55</f>
        <v>562232</v>
      </c>
      <c r="C48" s="262" t="s">
        <v>21</v>
      </c>
      <c r="D48" s="181">
        <f>D49+D52+D55</f>
        <v>627397</v>
      </c>
      <c r="E48" s="697">
        <f>+A49+A55</f>
        <v>534534</v>
      </c>
    </row>
    <row r="49" spans="1:4" s="184" customFormat="1" ht="29.45" customHeight="1">
      <c r="A49" s="708">
        <v>533746</v>
      </c>
      <c r="B49" s="27">
        <f>B50</f>
        <v>562232</v>
      </c>
      <c r="C49" s="262" t="s">
        <v>58</v>
      </c>
      <c r="D49" s="182">
        <f>D50</f>
        <v>627397</v>
      </c>
    </row>
    <row r="50" spans="1:4" s="9" customFormat="1" ht="27.65" customHeight="1">
      <c r="A50" s="709">
        <v>533746</v>
      </c>
      <c r="B50" s="31">
        <f>B51</f>
        <v>562232</v>
      </c>
      <c r="C50" s="263" t="s">
        <v>39</v>
      </c>
      <c r="D50" s="186">
        <f>D51</f>
        <v>627397</v>
      </c>
    </row>
    <row r="51" spans="1:4" s="9" customFormat="1" ht="25.55" customHeight="1">
      <c r="A51" s="709">
        <v>533746</v>
      </c>
      <c r="B51" s="31">
        <v>562232</v>
      </c>
      <c r="C51" s="263" t="s">
        <v>40</v>
      </c>
      <c r="D51" s="186">
        <v>627397</v>
      </c>
    </row>
    <row r="52" spans="1:4" s="9" customFormat="1" ht="34.549999999999997" hidden="1" customHeight="1">
      <c r="A52" s="370">
        <v>0</v>
      </c>
      <c r="B52" s="144">
        <f>B53</f>
        <v>0</v>
      </c>
      <c r="C52" s="262" t="s">
        <v>18</v>
      </c>
      <c r="D52" s="173">
        <f>D53</f>
        <v>0</v>
      </c>
    </row>
    <row r="53" spans="1:4" s="9" customFormat="1" ht="29.95" hidden="1" customHeight="1">
      <c r="A53" s="369">
        <v>0</v>
      </c>
      <c r="B53" s="187">
        <f>B54</f>
        <v>0</v>
      </c>
      <c r="C53" s="263" t="s">
        <v>39</v>
      </c>
      <c r="D53" s="176">
        <f>D54</f>
        <v>0</v>
      </c>
    </row>
    <row r="54" spans="1:4" s="9" customFormat="1" ht="2.2999999999999998" customHeight="1">
      <c r="A54" s="1034">
        <v>0</v>
      </c>
      <c r="B54" s="264">
        <v>0</v>
      </c>
      <c r="C54" s="263" t="s">
        <v>41</v>
      </c>
      <c r="D54" s="176">
        <v>0</v>
      </c>
    </row>
    <row r="55" spans="1:4" s="9" customFormat="1" ht="27.65" customHeight="1">
      <c r="A55" s="370">
        <v>788</v>
      </c>
      <c r="B55" s="144">
        <f>B56</f>
        <v>0</v>
      </c>
      <c r="C55" s="262" t="s">
        <v>0</v>
      </c>
      <c r="D55" s="699">
        <f>D56</f>
        <v>0</v>
      </c>
    </row>
    <row r="56" spans="1:4" s="9" customFormat="1" ht="27" customHeight="1">
      <c r="A56" s="369">
        <v>788</v>
      </c>
      <c r="B56" s="187">
        <f>B57</f>
        <v>0</v>
      </c>
      <c r="C56" s="263" t="s">
        <v>39</v>
      </c>
      <c r="D56" s="203">
        <f>D57</f>
        <v>0</v>
      </c>
    </row>
    <row r="57" spans="1:4" s="9" customFormat="1" ht="27.65" customHeight="1">
      <c r="A57" s="369">
        <v>788</v>
      </c>
      <c r="B57" s="187">
        <f>SUM(B58:B59)</f>
        <v>0</v>
      </c>
      <c r="C57" s="263" t="s">
        <v>42</v>
      </c>
      <c r="D57" s="203">
        <f>SUM(D58:D59)</f>
        <v>0</v>
      </c>
    </row>
    <row r="58" spans="1:4" s="9" customFormat="1" ht="29.95" hidden="1" customHeight="1">
      <c r="A58" s="369">
        <v>0</v>
      </c>
      <c r="B58" s="992">
        <v>0</v>
      </c>
      <c r="C58" s="263" t="s">
        <v>32</v>
      </c>
      <c r="D58" s="902">
        <v>0</v>
      </c>
    </row>
    <row r="59" spans="1:4" s="9" customFormat="1" ht="24.05" customHeight="1" thickBot="1">
      <c r="A59" s="719">
        <v>788</v>
      </c>
      <c r="B59" s="191">
        <v>0</v>
      </c>
      <c r="C59" s="296" t="s">
        <v>33</v>
      </c>
      <c r="D59" s="219">
        <v>0</v>
      </c>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64"/>
  <sheetViews>
    <sheetView view="pageBreakPreview" topLeftCell="A37" zoomScaleNormal="100" zoomScaleSheetLayoutView="100" workbookViewId="0">
      <selection activeCell="G43" sqref="G43"/>
    </sheetView>
  </sheetViews>
  <sheetFormatPr defaultColWidth="9" defaultRowHeight="15.05"/>
  <cols>
    <col min="1" max="1" width="29.375" style="248" bestFit="1" customWidth="1"/>
    <col min="2" max="2" width="2.125" style="248" customWidth="1"/>
    <col min="3" max="3" width="58.625" style="248" customWidth="1"/>
    <col min="4" max="5" width="9" style="248"/>
    <col min="6" max="7" width="12" style="248" bestFit="1" customWidth="1"/>
    <col min="8" max="16384" width="9" style="248"/>
  </cols>
  <sheetData>
    <row r="1" spans="1:7" ht="22.25">
      <c r="A1" s="1200" t="s">
        <v>62</v>
      </c>
      <c r="B1" s="1200"/>
      <c r="C1" s="1200"/>
    </row>
    <row r="2" spans="1:7" ht="22.25">
      <c r="A2" s="1200" t="s">
        <v>63</v>
      </c>
      <c r="B2" s="1200"/>
      <c r="C2" s="1200"/>
    </row>
    <row r="3" spans="1:7" ht="24.75" customHeight="1">
      <c r="A3" s="1201" t="s">
        <v>259</v>
      </c>
      <c r="B3" s="1201"/>
      <c r="C3" s="1201"/>
    </row>
    <row r="4" spans="1:7" ht="24.75" customHeight="1" thickBot="1">
      <c r="A4" s="1190" t="s">
        <v>1106</v>
      </c>
      <c r="B4" s="1190"/>
      <c r="C4" s="1190"/>
    </row>
    <row r="5" spans="1:7" s="249" customFormat="1" ht="29.95" customHeight="1">
      <c r="A5" s="410" t="s">
        <v>112</v>
      </c>
      <c r="B5" s="1202" t="s">
        <v>113</v>
      </c>
      <c r="C5" s="1203"/>
    </row>
    <row r="6" spans="1:7" s="249" customFormat="1" ht="8.1999999999999993" customHeight="1">
      <c r="A6" s="50"/>
      <c r="B6" s="251"/>
      <c r="C6" s="51"/>
    </row>
    <row r="7" spans="1:7" s="43" customFormat="1" ht="37.5" customHeight="1">
      <c r="A7" s="26" t="s">
        <v>14</v>
      </c>
      <c r="B7" s="1132" t="s">
        <v>1430</v>
      </c>
      <c r="C7" s="1192"/>
      <c r="E7" s="43">
        <v>627697</v>
      </c>
      <c r="F7" s="43">
        <v>528829340</v>
      </c>
      <c r="G7" s="43">
        <f>+E7+F7</f>
        <v>529457037</v>
      </c>
    </row>
    <row r="8" spans="1:7" s="43" customFormat="1" ht="23.4" customHeight="1">
      <c r="A8" s="135" t="s">
        <v>34</v>
      </c>
      <c r="B8" s="252"/>
      <c r="C8" s="48"/>
    </row>
    <row r="9" spans="1:7" s="43" customFormat="1" ht="22.6" customHeight="1">
      <c r="A9" s="135" t="s">
        <v>8</v>
      </c>
      <c r="B9" s="252"/>
      <c r="C9" s="48"/>
    </row>
    <row r="10" spans="1:7" s="43" customFormat="1" ht="26.35" customHeight="1">
      <c r="A10" s="140" t="s">
        <v>39</v>
      </c>
      <c r="B10" s="252"/>
      <c r="C10" s="48"/>
    </row>
    <row r="11" spans="1:7" s="43" customFormat="1" ht="47.45" customHeight="1">
      <c r="A11" s="140" t="s">
        <v>40</v>
      </c>
      <c r="B11" s="1204" t="s">
        <v>1180</v>
      </c>
      <c r="C11" s="1205"/>
    </row>
    <row r="12" spans="1:7" s="43" customFormat="1" ht="32.75">
      <c r="A12" s="101"/>
      <c r="B12" s="253"/>
      <c r="C12" s="955" t="s">
        <v>1181</v>
      </c>
    </row>
    <row r="13" spans="1:7" s="43" customFormat="1" ht="32.75">
      <c r="A13" s="101"/>
      <c r="B13" s="253"/>
      <c r="C13" s="955" t="s">
        <v>1182</v>
      </c>
    </row>
    <row r="14" spans="1:7" s="43" customFormat="1" ht="21.6" customHeight="1">
      <c r="A14" s="135" t="s">
        <v>12</v>
      </c>
      <c r="B14" s="253"/>
      <c r="C14" s="303"/>
    </row>
    <row r="15" spans="1:7" s="43" customFormat="1" ht="26.35" customHeight="1">
      <c r="A15" s="140" t="s">
        <v>39</v>
      </c>
      <c r="B15" s="253"/>
      <c r="C15" s="303"/>
    </row>
    <row r="16" spans="1:7" s="43" customFormat="1" ht="36.85" customHeight="1">
      <c r="A16" s="140" t="s">
        <v>41</v>
      </c>
      <c r="B16" s="1193" t="s">
        <v>1183</v>
      </c>
      <c r="C16" s="1194"/>
    </row>
    <row r="17" spans="1:3" s="43" customFormat="1" ht="26.35" customHeight="1">
      <c r="A17" s="135" t="s">
        <v>0</v>
      </c>
      <c r="B17" s="412"/>
      <c r="C17" s="956"/>
    </row>
    <row r="18" spans="1:3" s="43" customFormat="1" ht="26.35" customHeight="1">
      <c r="A18" s="140" t="s">
        <v>39</v>
      </c>
      <c r="B18" s="412"/>
      <c r="C18" s="956"/>
    </row>
    <row r="19" spans="1:3" s="250" customFormat="1" ht="33.049999999999997" customHeight="1">
      <c r="A19" s="140" t="s">
        <v>42</v>
      </c>
      <c r="B19" s="1199" t="s">
        <v>1184</v>
      </c>
      <c r="C19" s="1133"/>
    </row>
    <row r="20" spans="1:3" s="250" customFormat="1" ht="5.4" hidden="1" customHeight="1">
      <c r="A20" s="47"/>
      <c r="B20" s="960"/>
      <c r="C20" s="955"/>
    </row>
    <row r="21" spans="1:3" s="43" customFormat="1" ht="26.35" customHeight="1">
      <c r="A21" s="135" t="s">
        <v>35</v>
      </c>
      <c r="B21" s="252"/>
      <c r="C21" s="48"/>
    </row>
    <row r="22" spans="1:3" s="43" customFormat="1" ht="29.3" customHeight="1">
      <c r="A22" s="135" t="s">
        <v>8</v>
      </c>
      <c r="B22" s="252"/>
      <c r="C22" s="48"/>
    </row>
    <row r="23" spans="1:3" s="43" customFormat="1" ht="27.85" customHeight="1">
      <c r="A23" s="140" t="s">
        <v>39</v>
      </c>
      <c r="B23" s="252"/>
      <c r="C23" s="48"/>
    </row>
    <row r="24" spans="1:3" s="43" customFormat="1" ht="71.2" customHeight="1">
      <c r="A24" s="140" t="s">
        <v>40</v>
      </c>
      <c r="B24" s="1195" t="s">
        <v>1185</v>
      </c>
      <c r="C24" s="1192"/>
    </row>
    <row r="25" spans="1:3" s="43" customFormat="1" ht="28.5" customHeight="1">
      <c r="A25" s="135" t="s">
        <v>12</v>
      </c>
      <c r="B25" s="961"/>
      <c r="C25" s="957"/>
    </row>
    <row r="26" spans="1:3" s="43" customFormat="1" ht="27.85" customHeight="1">
      <c r="A26" s="140" t="s">
        <v>39</v>
      </c>
      <c r="B26" s="961"/>
      <c r="C26" s="957"/>
    </row>
    <row r="27" spans="1:3" s="43" customFormat="1" ht="36" customHeight="1" thickBot="1">
      <c r="A27" s="489" t="s">
        <v>41</v>
      </c>
      <c r="B27" s="1197" t="s">
        <v>1352</v>
      </c>
      <c r="C27" s="1198"/>
    </row>
    <row r="28" spans="1:3" s="43" customFormat="1" ht="23.4" customHeight="1">
      <c r="A28" s="135" t="s">
        <v>0</v>
      </c>
      <c r="B28" s="412"/>
      <c r="C28" s="956"/>
    </row>
    <row r="29" spans="1:3" s="43" customFormat="1" ht="24.75" customHeight="1">
      <c r="A29" s="140" t="s">
        <v>39</v>
      </c>
      <c r="B29" s="412"/>
      <c r="C29" s="956"/>
    </row>
    <row r="30" spans="1:3" s="250" customFormat="1" ht="33.049999999999997" customHeight="1">
      <c r="A30" s="140" t="s">
        <v>42</v>
      </c>
      <c r="B30" s="1199" t="s">
        <v>1186</v>
      </c>
      <c r="C30" s="1133"/>
    </row>
    <row r="31" spans="1:3" s="250" customFormat="1" ht="4.5999999999999996" customHeight="1">
      <c r="A31" s="47"/>
      <c r="B31" s="960"/>
      <c r="C31" s="955"/>
    </row>
    <row r="32" spans="1:3" s="43" customFormat="1" ht="22.6" customHeight="1">
      <c r="A32" s="135" t="s">
        <v>999</v>
      </c>
      <c r="B32" s="252"/>
      <c r="C32" s="48"/>
    </row>
    <row r="33" spans="1:3" s="43" customFormat="1" ht="20.3" customHeight="1">
      <c r="A33" s="135" t="s">
        <v>8</v>
      </c>
      <c r="B33" s="252"/>
      <c r="C33" s="48"/>
    </row>
    <row r="34" spans="1:3" s="43" customFormat="1" ht="26.35" customHeight="1">
      <c r="A34" s="140" t="s">
        <v>39</v>
      </c>
      <c r="B34" s="252"/>
      <c r="C34" s="48"/>
    </row>
    <row r="35" spans="1:3" s="43" customFormat="1" ht="33.049999999999997" customHeight="1">
      <c r="A35" s="140" t="s">
        <v>40</v>
      </c>
      <c r="B35" s="1195" t="s">
        <v>1187</v>
      </c>
      <c r="C35" s="1192"/>
    </row>
    <row r="36" spans="1:3" s="368" customFormat="1" ht="38.950000000000003" customHeight="1">
      <c r="A36" s="490"/>
      <c r="B36" s="954"/>
      <c r="C36" s="955" t="s">
        <v>1188</v>
      </c>
    </row>
    <row r="37" spans="1:3" s="368" customFormat="1" ht="36" customHeight="1">
      <c r="A37" s="490"/>
      <c r="B37" s="954"/>
      <c r="C37" s="955" t="s">
        <v>1189</v>
      </c>
    </row>
    <row r="38" spans="1:3" s="43" customFormat="1" ht="26.35" customHeight="1">
      <c r="A38" s="135" t="s">
        <v>0</v>
      </c>
      <c r="B38" s="253"/>
      <c r="C38" s="303"/>
    </row>
    <row r="39" spans="1:3" s="43" customFormat="1" ht="26.35" customHeight="1">
      <c r="A39" s="140" t="s">
        <v>39</v>
      </c>
      <c r="B39" s="253"/>
      <c r="C39" s="303"/>
    </row>
    <row r="40" spans="1:3" s="250" customFormat="1" ht="35.200000000000003" customHeight="1">
      <c r="A40" s="140" t="s">
        <v>42</v>
      </c>
      <c r="B40" s="1196" t="s">
        <v>1190</v>
      </c>
      <c r="C40" s="1133"/>
    </row>
    <row r="41" spans="1:3" s="250" customFormat="1" ht="6.75" customHeight="1">
      <c r="A41" s="491"/>
      <c r="B41" s="961"/>
      <c r="C41" s="957"/>
    </row>
    <row r="42" spans="1:3" s="43" customFormat="1" ht="20.95" customHeight="1">
      <c r="A42" s="135" t="s">
        <v>21</v>
      </c>
      <c r="B42" s="1132" t="s">
        <v>1058</v>
      </c>
      <c r="C42" s="1192"/>
    </row>
    <row r="43" spans="1:3" s="43" customFormat="1" ht="20.95" customHeight="1">
      <c r="A43" s="135" t="s">
        <v>8</v>
      </c>
      <c r="B43" s="183"/>
      <c r="C43" s="342"/>
    </row>
    <row r="44" spans="1:3" s="43" customFormat="1" ht="26.35" customHeight="1">
      <c r="A44" s="140" t="s">
        <v>39</v>
      </c>
      <c r="B44" s="183"/>
      <c r="C44" s="342"/>
    </row>
    <row r="45" spans="1:3" s="368" customFormat="1" ht="23.25" customHeight="1">
      <c r="A45" s="140" t="s">
        <v>40</v>
      </c>
      <c r="B45" s="1132" t="s">
        <v>1431</v>
      </c>
      <c r="C45" s="1192"/>
    </row>
    <row r="46" spans="1:3" s="368" customFormat="1" ht="37.5" customHeight="1">
      <c r="A46" s="140"/>
      <c r="B46" s="1132" t="s">
        <v>1353</v>
      </c>
      <c r="C46" s="1063"/>
    </row>
    <row r="47" spans="1:3" s="368" customFormat="1" ht="62.2" customHeight="1">
      <c r="A47" s="140"/>
      <c r="B47" s="1118" t="s">
        <v>1432</v>
      </c>
      <c r="C47" s="1125"/>
    </row>
    <row r="48" spans="1:3" s="43" customFormat="1" ht="29.95" hidden="1" customHeight="1">
      <c r="A48" s="135" t="s">
        <v>12</v>
      </c>
      <c r="B48" s="343"/>
      <c r="C48" s="344"/>
    </row>
    <row r="49" spans="1:3" s="43" customFormat="1" ht="29.95" hidden="1" customHeight="1">
      <c r="A49" s="140" t="s">
        <v>39</v>
      </c>
      <c r="B49" s="343"/>
      <c r="C49" s="344"/>
    </row>
    <row r="50" spans="1:3" s="43" customFormat="1" ht="35.200000000000003" hidden="1" customHeight="1">
      <c r="A50" s="140" t="s">
        <v>41</v>
      </c>
      <c r="B50" s="1193" t="s">
        <v>670</v>
      </c>
      <c r="C50" s="1194"/>
    </row>
    <row r="51" spans="1:3" s="43" customFormat="1" ht="19.5" hidden="1" customHeight="1">
      <c r="A51" s="135" t="s">
        <v>0</v>
      </c>
      <c r="B51" s="958"/>
      <c r="C51" s="959"/>
    </row>
    <row r="52" spans="1:3" s="43" customFormat="1" ht="20.95" hidden="1" customHeight="1">
      <c r="A52" s="140" t="s">
        <v>39</v>
      </c>
      <c r="B52" s="958"/>
      <c r="C52" s="959"/>
    </row>
    <row r="53" spans="1:3" s="250" customFormat="1" ht="20.45" hidden="1" customHeight="1">
      <c r="A53" s="140" t="s">
        <v>42</v>
      </c>
      <c r="B53" s="1195" t="s">
        <v>1057</v>
      </c>
      <c r="C53" s="1192"/>
    </row>
    <row r="54" spans="1:3" s="250" customFormat="1" ht="33.549999999999997" customHeight="1">
      <c r="A54" s="140"/>
      <c r="B54" s="961"/>
      <c r="C54" s="957"/>
    </row>
    <row r="55" spans="1:3" s="250" customFormat="1" ht="44.35" customHeight="1">
      <c r="A55" s="140"/>
      <c r="B55" s="412"/>
      <c r="C55" s="956"/>
    </row>
    <row r="56" spans="1:3" s="250" customFormat="1" ht="11.3" customHeight="1" thickBot="1">
      <c r="A56" s="489"/>
      <c r="B56" s="476"/>
      <c r="C56" s="477"/>
    </row>
    <row r="57" spans="1:3" s="250" customFormat="1" ht="38.950000000000003" customHeight="1">
      <c r="A57" s="341"/>
      <c r="B57" s="254"/>
      <c r="C57" s="254"/>
    </row>
    <row r="58" spans="1:3" s="250" customFormat="1" ht="29.95" customHeight="1">
      <c r="A58" s="255"/>
      <c r="B58" s="254"/>
      <c r="C58" s="254"/>
    </row>
    <row r="59" spans="1:3" s="250" customFormat="1" ht="29.95" customHeight="1">
      <c r="A59" s="255"/>
      <c r="B59" s="254"/>
      <c r="C59" s="254"/>
    </row>
    <row r="60" spans="1:3" s="250" customFormat="1" ht="29.95" customHeight="1">
      <c r="A60" s="255"/>
      <c r="B60" s="254"/>
      <c r="C60" s="254"/>
    </row>
    <row r="61" spans="1:3" s="250" customFormat="1" ht="29.95" customHeight="1">
      <c r="A61" s="255"/>
      <c r="B61" s="254"/>
      <c r="C61" s="254"/>
    </row>
    <row r="62" spans="1:3" s="250" customFormat="1" ht="29.95" customHeight="1">
      <c r="A62" s="255"/>
      <c r="B62" s="254"/>
      <c r="C62" s="254"/>
    </row>
    <row r="63" spans="1:3" s="250" customFormat="1" ht="29.95" customHeight="1">
      <c r="A63" s="255"/>
      <c r="B63" s="254"/>
      <c r="C63" s="254"/>
    </row>
    <row r="64" spans="1:3" s="250" customFormat="1" ht="29.95" customHeight="1">
      <c r="A64" s="255"/>
      <c r="B64" s="254"/>
      <c r="C64" s="254"/>
    </row>
  </sheetData>
  <mergeCells count="20">
    <mergeCell ref="A1:C1"/>
    <mergeCell ref="A2:C2"/>
    <mergeCell ref="A3:C3"/>
    <mergeCell ref="A4:C4"/>
    <mergeCell ref="B19:C19"/>
    <mergeCell ref="B5:C5"/>
    <mergeCell ref="B11:C11"/>
    <mergeCell ref="B16:C16"/>
    <mergeCell ref="B7:C7"/>
    <mergeCell ref="B40:C40"/>
    <mergeCell ref="B24:C24"/>
    <mergeCell ref="B27:C27"/>
    <mergeCell ref="B30:C30"/>
    <mergeCell ref="B35:C35"/>
    <mergeCell ref="B47:C47"/>
    <mergeCell ref="B42:C42"/>
    <mergeCell ref="B45:C45"/>
    <mergeCell ref="B50:C50"/>
    <mergeCell ref="B53:C53"/>
    <mergeCell ref="B46:C46"/>
  </mergeCells>
  <phoneticPr fontId="4"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E30"/>
  <sheetViews>
    <sheetView view="pageBreakPreview" zoomScaleNormal="100" zoomScaleSheetLayoutView="100" workbookViewId="0">
      <selection activeCell="A30" sqref="A30"/>
    </sheetView>
  </sheetViews>
  <sheetFormatPr defaultColWidth="9" defaultRowHeight="15.05"/>
  <cols>
    <col min="1" max="2" width="18.875" style="2" customWidth="1"/>
    <col min="3" max="3" width="32.625" style="2" customWidth="1"/>
    <col min="4" max="4" width="19.75" style="2" customWidth="1"/>
    <col min="5" max="5" width="10.5" style="2" bestFit="1" customWidth="1"/>
    <col min="6" max="16384" width="9" style="2"/>
  </cols>
  <sheetData>
    <row r="1" spans="1:5" s="6" customFormat="1" ht="22.25">
      <c r="A1" s="1051" t="s">
        <v>62</v>
      </c>
      <c r="B1" s="1051"/>
      <c r="C1" s="1051"/>
      <c r="D1" s="1051"/>
    </row>
    <row r="2" spans="1:5" s="6" customFormat="1" ht="22.25">
      <c r="A2" s="1051" t="s">
        <v>63</v>
      </c>
      <c r="B2" s="1051"/>
      <c r="C2" s="1051"/>
      <c r="D2" s="1051"/>
    </row>
    <row r="3" spans="1:5" s="6" customFormat="1" ht="24.9" customHeight="1">
      <c r="A3" s="1053" t="s">
        <v>118</v>
      </c>
      <c r="B3" s="1053"/>
      <c r="C3" s="1053"/>
      <c r="D3" s="1053"/>
    </row>
    <row r="4" spans="1:5" s="6" customFormat="1" ht="24.9" customHeight="1" thickBot="1">
      <c r="A4" s="1055" t="s">
        <v>1105</v>
      </c>
      <c r="B4" s="1055"/>
      <c r="C4" s="1055"/>
      <c r="D4" s="1055"/>
    </row>
    <row r="5" spans="1:5" s="56" customFormat="1" ht="29.95" customHeight="1">
      <c r="A5" s="414" t="s">
        <v>110</v>
      </c>
      <c r="B5" s="415" t="s">
        <v>81</v>
      </c>
      <c r="C5" s="52" t="s">
        <v>7</v>
      </c>
      <c r="D5" s="416" t="s">
        <v>82</v>
      </c>
    </row>
    <row r="6" spans="1:5" s="56" customFormat="1" ht="8.1999999999999993" customHeight="1">
      <c r="A6" s="7"/>
      <c r="B6" s="397"/>
      <c r="C6" s="74"/>
      <c r="D6" s="417"/>
    </row>
    <row r="7" spans="1:5" s="9" customFormat="1" ht="29.95" customHeight="1">
      <c r="A7" s="180">
        <v>2266255</v>
      </c>
      <c r="B7" s="79">
        <f>B13+B18+B23+B8</f>
        <v>2982815</v>
      </c>
      <c r="C7" s="261" t="s">
        <v>671</v>
      </c>
      <c r="D7" s="181">
        <f>D13+D18+D23+D8</f>
        <v>3512763</v>
      </c>
      <c r="E7" s="694">
        <f>+A8+A13+A18+A23</f>
        <v>2266255</v>
      </c>
    </row>
    <row r="8" spans="1:5" s="991" customFormat="1" ht="29.95" customHeight="1">
      <c r="A8" s="180">
        <v>8</v>
      </c>
      <c r="B8" s="1015">
        <f t="shared" ref="B8:B9" si="0">B9</f>
        <v>0</v>
      </c>
      <c r="C8" s="262" t="s">
        <v>1147</v>
      </c>
      <c r="D8" s="1013">
        <f>D9</f>
        <v>0</v>
      </c>
      <c r="E8" s="694"/>
    </row>
    <row r="9" spans="1:5" s="184" customFormat="1" ht="29.95" customHeight="1">
      <c r="A9" s="180">
        <v>8</v>
      </c>
      <c r="B9" s="187">
        <f t="shared" si="0"/>
        <v>0</v>
      </c>
      <c r="C9" s="262" t="s">
        <v>1417</v>
      </c>
      <c r="D9" s="1014">
        <f>D10</f>
        <v>0</v>
      </c>
      <c r="E9" s="694"/>
    </row>
    <row r="10" spans="1:5" s="991" customFormat="1" ht="29.95" customHeight="1">
      <c r="A10" s="188">
        <v>8</v>
      </c>
      <c r="B10" s="187">
        <f>+B11</f>
        <v>0</v>
      </c>
      <c r="C10" s="263" t="s">
        <v>234</v>
      </c>
      <c r="D10" s="1013">
        <f>+D11</f>
        <v>0</v>
      </c>
      <c r="E10" s="694"/>
    </row>
    <row r="11" spans="1:5" s="991" customFormat="1" ht="29.95" customHeight="1">
      <c r="A11" s="188">
        <v>8</v>
      </c>
      <c r="B11" s="187">
        <v>0</v>
      </c>
      <c r="C11" s="263" t="s">
        <v>654</v>
      </c>
      <c r="D11" s="1013">
        <v>0</v>
      </c>
      <c r="E11" s="694"/>
    </row>
    <row r="12" spans="1:5" s="1012" customFormat="1" ht="27.65" customHeight="1">
      <c r="A12" s="188"/>
      <c r="B12" s="31"/>
      <c r="C12" s="263"/>
      <c r="D12" s="186"/>
      <c r="E12" s="694"/>
    </row>
    <row r="13" spans="1:5" s="9" customFormat="1" ht="29.95" customHeight="1">
      <c r="A13" s="180">
        <v>2139186</v>
      </c>
      <c r="B13" s="79">
        <f t="shared" ref="B13:B15" si="1">B14</f>
        <v>2897500</v>
      </c>
      <c r="C13" s="262" t="s">
        <v>212</v>
      </c>
      <c r="D13" s="181">
        <f>D14</f>
        <v>3428053</v>
      </c>
      <c r="E13" s="694"/>
    </row>
    <row r="14" spans="1:5" s="184" customFormat="1" ht="29.95" customHeight="1">
      <c r="A14" s="180">
        <v>2139186</v>
      </c>
      <c r="B14" s="27">
        <f t="shared" si="1"/>
        <v>2897500</v>
      </c>
      <c r="C14" s="262" t="s">
        <v>232</v>
      </c>
      <c r="D14" s="182">
        <f>D15</f>
        <v>3428053</v>
      </c>
      <c r="E14" s="694"/>
    </row>
    <row r="15" spans="1:5" s="9" customFormat="1" ht="29.95" customHeight="1">
      <c r="A15" s="188">
        <v>2139186</v>
      </c>
      <c r="B15" s="31">
        <f t="shared" si="1"/>
        <v>2897500</v>
      </c>
      <c r="C15" s="263" t="s">
        <v>234</v>
      </c>
      <c r="D15" s="186">
        <f>D16</f>
        <v>3428053</v>
      </c>
      <c r="E15" s="694"/>
    </row>
    <row r="16" spans="1:5" s="9" customFormat="1" ht="29.95" customHeight="1">
      <c r="A16" s="188">
        <v>2139186</v>
      </c>
      <c r="B16" s="31">
        <v>2897500</v>
      </c>
      <c r="C16" s="263" t="s">
        <v>654</v>
      </c>
      <c r="D16" s="186">
        <v>3428053</v>
      </c>
      <c r="E16" s="694"/>
    </row>
    <row r="17" spans="1:5" s="9" customFormat="1" ht="29.95" customHeight="1">
      <c r="A17" s="189"/>
      <c r="B17" s="31"/>
      <c r="C17" s="263"/>
      <c r="D17" s="186"/>
      <c r="E17" s="694"/>
    </row>
    <row r="18" spans="1:5" s="9" customFormat="1" ht="29.95" customHeight="1">
      <c r="A18" s="180">
        <v>75521</v>
      </c>
      <c r="B18" s="79">
        <f t="shared" ref="B18:B20" si="2">B19</f>
        <v>36635</v>
      </c>
      <c r="C18" s="262" t="s">
        <v>1089</v>
      </c>
      <c r="D18" s="181">
        <f>D19</f>
        <v>32750</v>
      </c>
      <c r="E18" s="694"/>
    </row>
    <row r="19" spans="1:5" s="184" customFormat="1" ht="29.95" customHeight="1">
      <c r="A19" s="180">
        <v>75521</v>
      </c>
      <c r="B19" s="27">
        <f t="shared" si="2"/>
        <v>36635</v>
      </c>
      <c r="C19" s="262" t="s">
        <v>1090</v>
      </c>
      <c r="D19" s="182">
        <f>D20</f>
        <v>32750</v>
      </c>
      <c r="E19" s="694"/>
    </row>
    <row r="20" spans="1:5" s="9" customFormat="1" ht="29.95" customHeight="1">
      <c r="A20" s="185">
        <v>75521</v>
      </c>
      <c r="B20" s="31">
        <f t="shared" si="2"/>
        <v>36635</v>
      </c>
      <c r="C20" s="263" t="s">
        <v>233</v>
      </c>
      <c r="D20" s="186">
        <f>D21</f>
        <v>32750</v>
      </c>
      <c r="E20" s="694"/>
    </row>
    <row r="21" spans="1:5" s="9" customFormat="1" ht="29.95" customHeight="1">
      <c r="A21" s="185">
        <v>75521</v>
      </c>
      <c r="B21" s="31">
        <v>36635</v>
      </c>
      <c r="C21" s="263" t="s">
        <v>672</v>
      </c>
      <c r="D21" s="186">
        <v>32750</v>
      </c>
      <c r="E21" s="694"/>
    </row>
    <row r="22" spans="1:5" s="9" customFormat="1" ht="29.95" customHeight="1">
      <c r="A22" s="189"/>
      <c r="B22" s="31"/>
      <c r="C22" s="263"/>
      <c r="D22" s="186"/>
      <c r="E22" s="694"/>
    </row>
    <row r="23" spans="1:5" s="9" customFormat="1" ht="29.95" customHeight="1">
      <c r="A23" s="180">
        <v>51540</v>
      </c>
      <c r="B23" s="79">
        <f>B24</f>
        <v>48680</v>
      </c>
      <c r="C23" s="262" t="s">
        <v>214</v>
      </c>
      <c r="D23" s="181">
        <f>D24</f>
        <v>51960</v>
      </c>
      <c r="E23" s="694"/>
    </row>
    <row r="24" spans="1:5" s="184" customFormat="1" ht="29.95" customHeight="1">
      <c r="A24" s="180">
        <v>51540</v>
      </c>
      <c r="B24" s="27">
        <f>B25+B27</f>
        <v>48680</v>
      </c>
      <c r="C24" s="262" t="s">
        <v>673</v>
      </c>
      <c r="D24" s="182">
        <f>D25+D27</f>
        <v>51960</v>
      </c>
      <c r="E24" s="694"/>
    </row>
    <row r="25" spans="1:5" s="21" customFormat="1" ht="29.95" customHeight="1">
      <c r="A25" s="174">
        <v>51540</v>
      </c>
      <c r="B25" s="264">
        <f>B26</f>
        <v>48680</v>
      </c>
      <c r="C25" s="263" t="s">
        <v>674</v>
      </c>
      <c r="D25" s="176">
        <f>D26</f>
        <v>51960</v>
      </c>
      <c r="E25" s="694"/>
    </row>
    <row r="26" spans="1:5" s="9" customFormat="1" ht="30.8" customHeight="1">
      <c r="A26" s="188">
        <v>51540</v>
      </c>
      <c r="B26" s="31">
        <v>48680</v>
      </c>
      <c r="C26" s="263" t="s">
        <v>305</v>
      </c>
      <c r="D26" s="186">
        <v>51960</v>
      </c>
      <c r="E26" s="694"/>
    </row>
    <row r="27" spans="1:5" s="21" customFormat="1" ht="29.95" hidden="1" customHeight="1">
      <c r="A27" s="174">
        <v>0</v>
      </c>
      <c r="B27" s="264">
        <f>B28</f>
        <v>0</v>
      </c>
      <c r="C27" s="263" t="s">
        <v>675</v>
      </c>
      <c r="D27" s="176">
        <f>D28</f>
        <v>0</v>
      </c>
      <c r="E27" s="694"/>
    </row>
    <row r="28" spans="1:5" s="9" customFormat="1" ht="29.95" hidden="1" customHeight="1">
      <c r="A28" s="188">
        <v>0</v>
      </c>
      <c r="B28" s="264">
        <v>0</v>
      </c>
      <c r="C28" s="263" t="s">
        <v>231</v>
      </c>
      <c r="D28" s="176">
        <v>0</v>
      </c>
      <c r="E28" s="694"/>
    </row>
    <row r="29" spans="1:5" s="9" customFormat="1" ht="14.4" customHeight="1">
      <c r="A29" s="188"/>
      <c r="B29" s="187"/>
      <c r="C29" s="263"/>
      <c r="D29" s="203"/>
      <c r="E29" s="694"/>
    </row>
    <row r="30" spans="1:5" ht="27" customHeight="1" thickBot="1">
      <c r="A30" s="190"/>
      <c r="B30" s="191"/>
      <c r="C30" s="469"/>
      <c r="D30" s="219"/>
      <c r="E30" s="694"/>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C24"/>
  <sheetViews>
    <sheetView view="pageBreakPreview" zoomScaleNormal="100" zoomScaleSheetLayoutView="100" workbookViewId="0">
      <selection activeCell="B11" sqref="B11"/>
    </sheetView>
  </sheetViews>
  <sheetFormatPr defaultColWidth="9" defaultRowHeight="15.05"/>
  <cols>
    <col min="1" max="1" width="31" style="12" customWidth="1"/>
    <col min="2" max="2" width="59.25" style="12" customWidth="1"/>
    <col min="3" max="16384" width="9" style="12"/>
  </cols>
  <sheetData>
    <row r="1" spans="1:3" ht="22.25">
      <c r="A1" s="1051" t="s">
        <v>62</v>
      </c>
      <c r="B1" s="1051"/>
    </row>
    <row r="2" spans="1:3" ht="22.25">
      <c r="A2" s="1051" t="s">
        <v>63</v>
      </c>
      <c r="B2" s="1051"/>
    </row>
    <row r="3" spans="1:3" ht="24.75" customHeight="1">
      <c r="A3" s="1077" t="s">
        <v>117</v>
      </c>
      <c r="B3" s="1077"/>
    </row>
    <row r="4" spans="1:3" ht="24.9" customHeight="1" thickBot="1">
      <c r="A4" s="1190" t="s">
        <v>1106</v>
      </c>
      <c r="B4" s="1190"/>
    </row>
    <row r="5" spans="1:3" s="16" customFormat="1" ht="29.95" customHeight="1">
      <c r="A5" s="18" t="s">
        <v>230</v>
      </c>
      <c r="B5" s="399" t="s">
        <v>113</v>
      </c>
    </row>
    <row r="6" spans="1:3" s="16" customFormat="1" ht="8.1999999999999993" customHeight="1">
      <c r="A6" s="470"/>
      <c r="B6" s="51"/>
    </row>
    <row r="7" spans="1:3" s="17" customFormat="1" ht="49.1">
      <c r="A7" s="456" t="s">
        <v>671</v>
      </c>
      <c r="B7" s="34" t="s">
        <v>1391</v>
      </c>
      <c r="C7" s="412"/>
    </row>
    <row r="8" spans="1:3" s="17" customFormat="1" ht="29.95" customHeight="1">
      <c r="A8" s="458" t="s">
        <v>35</v>
      </c>
      <c r="B8" s="413"/>
    </row>
    <row r="9" spans="1:3" s="17" customFormat="1" ht="29.95" customHeight="1">
      <c r="A9" s="458" t="s">
        <v>676</v>
      </c>
      <c r="B9" s="413"/>
    </row>
    <row r="10" spans="1:3" s="17" customFormat="1" ht="29.95" customHeight="1">
      <c r="A10" s="459" t="s">
        <v>235</v>
      </c>
      <c r="B10" s="376"/>
    </row>
    <row r="11" spans="1:3" s="17" customFormat="1" ht="85.6" customHeight="1">
      <c r="A11" s="459" t="s">
        <v>253</v>
      </c>
      <c r="B11" s="731" t="s">
        <v>1423</v>
      </c>
    </row>
    <row r="12" spans="1:3" s="17" customFormat="1" ht="10.15" customHeight="1">
      <c r="A12" s="459"/>
      <c r="B12" s="376"/>
    </row>
    <row r="13" spans="1:3" s="17" customFormat="1" ht="29.95" customHeight="1">
      <c r="A13" s="458" t="s">
        <v>1091</v>
      </c>
      <c r="B13" s="413"/>
    </row>
    <row r="14" spans="1:3" s="17" customFormat="1" ht="29.95" customHeight="1">
      <c r="A14" s="458" t="s">
        <v>676</v>
      </c>
      <c r="B14" s="413"/>
    </row>
    <row r="15" spans="1:3" s="17" customFormat="1" ht="29.95" customHeight="1">
      <c r="A15" s="459" t="s">
        <v>233</v>
      </c>
      <c r="B15" s="376"/>
    </row>
    <row r="16" spans="1:3" s="39" customFormat="1" ht="72.849999999999994" customHeight="1">
      <c r="A16" s="459" t="s">
        <v>677</v>
      </c>
      <c r="B16" s="1162" t="s">
        <v>1354</v>
      </c>
    </row>
    <row r="17" spans="1:2" s="39" customFormat="1" ht="34.200000000000003" customHeight="1">
      <c r="A17" s="459"/>
      <c r="B17" s="1206"/>
    </row>
    <row r="18" spans="1:2" s="17" customFormat="1" ht="29.95" customHeight="1">
      <c r="A18" s="458" t="s">
        <v>21</v>
      </c>
      <c r="B18" s="413"/>
    </row>
    <row r="19" spans="1:2" s="17" customFormat="1" ht="29.95" customHeight="1">
      <c r="A19" s="458" t="s">
        <v>676</v>
      </c>
      <c r="B19" s="413"/>
    </row>
    <row r="20" spans="1:2" s="17" customFormat="1" ht="29.95" customHeight="1">
      <c r="A20" s="459" t="s">
        <v>659</v>
      </c>
      <c r="B20" s="376"/>
    </row>
    <row r="21" spans="1:2" s="17" customFormat="1" ht="74.3" customHeight="1">
      <c r="A21" s="459" t="s">
        <v>236</v>
      </c>
      <c r="B21" s="965" t="s">
        <v>1191</v>
      </c>
    </row>
    <row r="22" spans="1:2" s="17" customFormat="1" ht="19.8" customHeight="1">
      <c r="A22" s="459"/>
      <c r="B22" s="732"/>
    </row>
    <row r="23" spans="1:2" s="21" customFormat="1" ht="23.4" customHeight="1" thickBot="1">
      <c r="A23" s="471"/>
      <c r="B23" s="49"/>
    </row>
    <row r="24" spans="1:2" ht="29.95" customHeight="1"/>
  </sheetData>
  <mergeCells count="5">
    <mergeCell ref="A1:B1"/>
    <mergeCell ref="A2:B2"/>
    <mergeCell ref="A3:B3"/>
    <mergeCell ref="A4:B4"/>
    <mergeCell ref="B16:B17"/>
  </mergeCells>
  <phoneticPr fontId="4" type="noConversion"/>
  <printOptions horizontalCentered="1"/>
  <pageMargins left="0.59055118110236227" right="0.59055118110236227" top="0.59055118110236227" bottom="0.78740157480314965" header="0.51181102362204722" footer="0.51181102362204722"/>
  <pageSetup paperSize="9" firstPageNumber="39" orientation="portrait"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47"/>
  <sheetViews>
    <sheetView view="pageBreakPreview" zoomScaleNormal="100" zoomScaleSheetLayoutView="100" workbookViewId="0">
      <selection activeCell="A22" sqref="A22"/>
    </sheetView>
  </sheetViews>
  <sheetFormatPr defaultColWidth="9" defaultRowHeight="15.05"/>
  <cols>
    <col min="1" max="2" width="19" style="2" customWidth="1"/>
    <col min="3" max="3" width="32.75" style="2" bestFit="1" customWidth="1"/>
    <col min="4" max="4" width="19.5" style="2" customWidth="1"/>
    <col min="5" max="16384" width="9" style="2"/>
  </cols>
  <sheetData>
    <row r="1" spans="1:6" s="6" customFormat="1" ht="22.25">
      <c r="A1" s="1051" t="s">
        <v>62</v>
      </c>
      <c r="B1" s="1051"/>
      <c r="C1" s="1051"/>
      <c r="D1" s="1051"/>
      <c r="E1" s="1"/>
      <c r="F1" s="1"/>
    </row>
    <row r="2" spans="1:6" s="6" customFormat="1" ht="22.25">
      <c r="A2" s="1051" t="s">
        <v>63</v>
      </c>
      <c r="B2" s="1051"/>
      <c r="C2" s="1051"/>
      <c r="D2" s="1051"/>
      <c r="E2" s="1"/>
      <c r="F2" s="1"/>
    </row>
    <row r="3" spans="1:6" s="6" customFormat="1" ht="24.9" customHeight="1">
      <c r="A3" s="1053" t="s">
        <v>119</v>
      </c>
      <c r="B3" s="1053"/>
      <c r="C3" s="1053"/>
      <c r="D3" s="1053"/>
      <c r="E3" s="3"/>
      <c r="F3" s="3"/>
    </row>
    <row r="4" spans="1:6" s="6" customFormat="1" ht="24.9" customHeight="1" thickBot="1">
      <c r="A4" s="1055" t="s">
        <v>1105</v>
      </c>
      <c r="B4" s="1055"/>
      <c r="C4" s="1055"/>
      <c r="D4" s="1055"/>
      <c r="E4" s="4"/>
      <c r="F4" s="4"/>
    </row>
    <row r="5" spans="1:6" s="56" customFormat="1" ht="29.95" customHeight="1">
      <c r="A5" s="414" t="s">
        <v>110</v>
      </c>
      <c r="B5" s="415" t="s">
        <v>81</v>
      </c>
      <c r="C5" s="52" t="s">
        <v>7</v>
      </c>
      <c r="D5" s="416" t="s">
        <v>82</v>
      </c>
      <c r="E5" s="99"/>
      <c r="F5" s="394"/>
    </row>
    <row r="6" spans="1:6" s="56" customFormat="1" ht="8.1999999999999993" customHeight="1">
      <c r="A6" s="7"/>
      <c r="B6" s="397"/>
      <c r="C6" s="74"/>
      <c r="D6" s="417"/>
      <c r="E6" s="394"/>
      <c r="F6" s="394"/>
    </row>
    <row r="7" spans="1:6" s="9" customFormat="1" ht="29.95" customHeight="1">
      <c r="A7" s="180">
        <v>1756</v>
      </c>
      <c r="B7" s="79">
        <f>B8+B16</f>
        <v>83</v>
      </c>
      <c r="C7" s="261" t="s">
        <v>29</v>
      </c>
      <c r="D7" s="181">
        <f>D8+D16</f>
        <v>37</v>
      </c>
      <c r="E7" s="694"/>
    </row>
    <row r="8" spans="1:6" s="184" customFormat="1" ht="29.95" customHeight="1">
      <c r="A8" s="180">
        <v>1608</v>
      </c>
      <c r="B8" s="27">
        <f t="shared" ref="B8:B11" si="0">B9</f>
        <v>72</v>
      </c>
      <c r="C8" s="262" t="s">
        <v>203</v>
      </c>
      <c r="D8" s="182">
        <f>D9</f>
        <v>26</v>
      </c>
      <c r="E8" s="183"/>
      <c r="F8" s="183"/>
    </row>
    <row r="9" spans="1:6" s="184" customFormat="1" ht="29.95" customHeight="1">
      <c r="A9" s="180">
        <v>1608</v>
      </c>
      <c r="B9" s="27">
        <f t="shared" si="0"/>
        <v>72</v>
      </c>
      <c r="C9" s="262" t="s">
        <v>237</v>
      </c>
      <c r="D9" s="182">
        <f>D10</f>
        <v>26</v>
      </c>
      <c r="E9" s="183"/>
      <c r="F9" s="183"/>
    </row>
    <row r="10" spans="1:6" s="30" customFormat="1" ht="29.95" customHeight="1">
      <c r="A10" s="180">
        <v>1608</v>
      </c>
      <c r="B10" s="27">
        <f t="shared" si="0"/>
        <v>72</v>
      </c>
      <c r="C10" s="262" t="s">
        <v>238</v>
      </c>
      <c r="D10" s="182">
        <f>D11</f>
        <v>26</v>
      </c>
    </row>
    <row r="11" spans="1:6" s="9" customFormat="1" ht="29.95" customHeight="1">
      <c r="A11" s="185">
        <v>1608</v>
      </c>
      <c r="B11" s="31">
        <f t="shared" si="0"/>
        <v>72</v>
      </c>
      <c r="C11" s="263" t="s">
        <v>678</v>
      </c>
      <c r="D11" s="186">
        <f>D12</f>
        <v>26</v>
      </c>
    </row>
    <row r="12" spans="1:6" s="9" customFormat="1" ht="29.95" customHeight="1">
      <c r="A12" s="185">
        <v>1608</v>
      </c>
      <c r="B12" s="31">
        <f>SUM(B13:B14)</f>
        <v>72</v>
      </c>
      <c r="C12" s="263" t="s">
        <v>262</v>
      </c>
      <c r="D12" s="186">
        <f>SUM(D13:D14)</f>
        <v>26</v>
      </c>
    </row>
    <row r="13" spans="1:6" s="9" customFormat="1" ht="28.5" customHeight="1">
      <c r="A13" s="185">
        <v>1596</v>
      </c>
      <c r="B13" s="31">
        <v>62</v>
      </c>
      <c r="C13" s="263" t="s">
        <v>260</v>
      </c>
      <c r="D13" s="186">
        <v>14</v>
      </c>
    </row>
    <row r="14" spans="1:6" s="9" customFormat="1" ht="28.5" customHeight="1">
      <c r="A14" s="340">
        <v>12</v>
      </c>
      <c r="B14" s="339">
        <v>10</v>
      </c>
      <c r="C14" s="263" t="s">
        <v>261</v>
      </c>
      <c r="D14" s="186">
        <v>12</v>
      </c>
    </row>
    <row r="15" spans="1:6" s="9" customFormat="1" ht="22.6" customHeight="1">
      <c r="A15" s="189"/>
      <c r="B15" s="31"/>
      <c r="C15" s="263"/>
      <c r="D15" s="186"/>
    </row>
    <row r="16" spans="1:6" s="184" customFormat="1" ht="29.95" customHeight="1">
      <c r="A16" s="180">
        <v>15</v>
      </c>
      <c r="B16" s="144">
        <f t="shared" ref="B16:B19" si="1">B17</f>
        <v>11</v>
      </c>
      <c r="C16" s="262" t="s">
        <v>212</v>
      </c>
      <c r="D16" s="699">
        <f>D17</f>
        <v>11</v>
      </c>
      <c r="E16" s="183"/>
      <c r="F16" s="183"/>
    </row>
    <row r="17" spans="1:6" s="184" customFormat="1" ht="29.95" customHeight="1">
      <c r="A17" s="180">
        <v>15</v>
      </c>
      <c r="B17" s="144">
        <f t="shared" si="1"/>
        <v>11</v>
      </c>
      <c r="C17" s="262" t="s">
        <v>237</v>
      </c>
      <c r="D17" s="699">
        <f>D18</f>
        <v>11</v>
      </c>
      <c r="E17" s="183"/>
      <c r="F17" s="183"/>
    </row>
    <row r="18" spans="1:6" s="30" customFormat="1" ht="29.95" customHeight="1">
      <c r="A18" s="180">
        <v>15</v>
      </c>
      <c r="B18" s="144">
        <f t="shared" si="1"/>
        <v>11</v>
      </c>
      <c r="C18" s="262" t="s">
        <v>238</v>
      </c>
      <c r="D18" s="699">
        <f>D19</f>
        <v>11</v>
      </c>
    </row>
    <row r="19" spans="1:6" s="9" customFormat="1" ht="29.95" customHeight="1">
      <c r="A19" s="185">
        <v>15</v>
      </c>
      <c r="B19" s="187">
        <f t="shared" si="1"/>
        <v>11</v>
      </c>
      <c r="C19" s="263" t="s">
        <v>679</v>
      </c>
      <c r="D19" s="203">
        <f>D20</f>
        <v>11</v>
      </c>
    </row>
    <row r="20" spans="1:6" s="9" customFormat="1" ht="29.95" customHeight="1">
      <c r="A20" s="185">
        <v>15</v>
      </c>
      <c r="B20" s="187">
        <v>11</v>
      </c>
      <c r="C20" s="263" t="s">
        <v>680</v>
      </c>
      <c r="D20" s="203">
        <v>11</v>
      </c>
    </row>
    <row r="21" spans="1:6" s="9" customFormat="1" ht="36.65" customHeight="1">
      <c r="A21" s="185"/>
      <c r="B21" s="31"/>
      <c r="C21" s="263"/>
      <c r="D21" s="186"/>
    </row>
    <row r="22" spans="1:6" s="184" customFormat="1" ht="29.95" customHeight="1">
      <c r="A22" s="180">
        <v>132</v>
      </c>
      <c r="B22" s="187">
        <f t="shared" ref="B22:B25" si="2">B23</f>
        <v>0</v>
      </c>
      <c r="C22" s="262" t="s">
        <v>1000</v>
      </c>
      <c r="D22" s="203">
        <f>D23</f>
        <v>0</v>
      </c>
      <c r="E22" s="183"/>
      <c r="F22" s="183"/>
    </row>
    <row r="23" spans="1:6" s="184" customFormat="1" ht="29.95" customHeight="1">
      <c r="A23" s="180">
        <v>132</v>
      </c>
      <c r="B23" s="187">
        <f t="shared" si="2"/>
        <v>0</v>
      </c>
      <c r="C23" s="262" t="s">
        <v>237</v>
      </c>
      <c r="D23" s="203">
        <f>D24</f>
        <v>0</v>
      </c>
      <c r="E23" s="183"/>
      <c r="F23" s="183"/>
    </row>
    <row r="24" spans="1:6" s="30" customFormat="1" ht="29.45" customHeight="1">
      <c r="A24" s="180">
        <v>132</v>
      </c>
      <c r="B24" s="187">
        <f t="shared" si="2"/>
        <v>0</v>
      </c>
      <c r="C24" s="262" t="s">
        <v>238</v>
      </c>
      <c r="D24" s="203">
        <f>D25</f>
        <v>0</v>
      </c>
    </row>
    <row r="25" spans="1:6" s="900" customFormat="1" ht="31.6" customHeight="1">
      <c r="A25" s="185">
        <v>132</v>
      </c>
      <c r="B25" s="144">
        <f t="shared" si="2"/>
        <v>0</v>
      </c>
      <c r="C25" s="263" t="s">
        <v>678</v>
      </c>
      <c r="D25" s="699">
        <f>D26</f>
        <v>0</v>
      </c>
    </row>
    <row r="26" spans="1:6" s="900" customFormat="1" ht="33.049999999999997" customHeight="1">
      <c r="A26" s="185">
        <v>132</v>
      </c>
      <c r="B26" s="144">
        <f>SUM(B27:B27)</f>
        <v>0</v>
      </c>
      <c r="C26" s="263" t="s">
        <v>262</v>
      </c>
      <c r="D26" s="699">
        <f>SUM(D27:D27)</f>
        <v>0</v>
      </c>
    </row>
    <row r="27" spans="1:6" s="900" customFormat="1" ht="38.450000000000003" customHeight="1" thickBot="1">
      <c r="A27" s="962">
        <v>132</v>
      </c>
      <c r="B27" s="963">
        <v>0</v>
      </c>
      <c r="C27" s="296" t="s">
        <v>1001</v>
      </c>
      <c r="D27" s="964">
        <v>0</v>
      </c>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0"/>
  <sheetViews>
    <sheetView view="pageBreakPreview" topLeftCell="A16" zoomScaleNormal="100" zoomScaleSheetLayoutView="100" workbookViewId="0">
      <selection activeCell="G12" sqref="G12"/>
    </sheetView>
  </sheetViews>
  <sheetFormatPr defaultColWidth="9" defaultRowHeight="15.05"/>
  <cols>
    <col min="1" max="1" width="30.5" style="12" customWidth="1"/>
    <col min="2" max="2" width="5.5" style="12" bestFit="1" customWidth="1"/>
    <col min="3" max="3" width="54.25" style="12" customWidth="1"/>
    <col min="4" max="16384" width="9" style="12"/>
  </cols>
  <sheetData>
    <row r="1" spans="1:7" ht="20.95" customHeight="1">
      <c r="A1" s="1051" t="s">
        <v>62</v>
      </c>
      <c r="B1" s="1051"/>
      <c r="C1" s="1051"/>
    </row>
    <row r="2" spans="1:7" ht="20.95" customHeight="1">
      <c r="A2" s="1051" t="s">
        <v>63</v>
      </c>
      <c r="B2" s="1051"/>
      <c r="C2" s="1051"/>
    </row>
    <row r="3" spans="1:7" ht="24.9" customHeight="1">
      <c r="A3" s="1077" t="s">
        <v>120</v>
      </c>
      <c r="B3" s="1077"/>
      <c r="C3" s="1077"/>
    </row>
    <row r="4" spans="1:7" ht="24.9" customHeight="1" thickBot="1">
      <c r="A4" s="1190" t="s">
        <v>1106</v>
      </c>
      <c r="B4" s="1190"/>
      <c r="C4" s="1190"/>
    </row>
    <row r="5" spans="1:7" s="16" customFormat="1" ht="29.95" customHeight="1">
      <c r="A5" s="18" t="s">
        <v>230</v>
      </c>
      <c r="B5" s="1208" t="s">
        <v>113</v>
      </c>
      <c r="C5" s="1203"/>
    </row>
    <row r="6" spans="1:7" s="16" customFormat="1" ht="8.1999999999999993" customHeight="1">
      <c r="A6" s="470"/>
      <c r="B6" s="53"/>
      <c r="C6" s="54"/>
    </row>
    <row r="7" spans="1:7" s="17" customFormat="1" ht="29.95" customHeight="1">
      <c r="A7" s="47" t="s">
        <v>29</v>
      </c>
      <c r="B7" s="1207" t="s">
        <v>105</v>
      </c>
      <c r="C7" s="1133"/>
    </row>
    <row r="8" spans="1:7" s="17" customFormat="1" ht="29.95" customHeight="1">
      <c r="A8" s="472" t="s">
        <v>203</v>
      </c>
      <c r="B8" s="1207"/>
      <c r="C8" s="1133"/>
    </row>
    <row r="9" spans="1:7" s="17" customFormat="1" ht="29.95" customHeight="1">
      <c r="A9" s="47" t="s">
        <v>237</v>
      </c>
      <c r="B9" s="55"/>
      <c r="C9" s="48"/>
    </row>
    <row r="10" spans="1:7" s="17" customFormat="1" ht="29.95" customHeight="1">
      <c r="A10" s="472" t="s">
        <v>238</v>
      </c>
      <c r="B10" s="1207"/>
      <c r="C10" s="1133"/>
    </row>
    <row r="11" spans="1:7" s="17" customFormat="1" ht="29.95" customHeight="1">
      <c r="A11" s="101" t="s">
        <v>678</v>
      </c>
      <c r="B11" s="733"/>
      <c r="C11" s="730"/>
    </row>
    <row r="12" spans="1:7" s="17" customFormat="1" ht="75.599999999999994" customHeight="1">
      <c r="A12" s="459" t="s">
        <v>681</v>
      </c>
      <c r="B12" s="1207" t="s">
        <v>1192</v>
      </c>
      <c r="C12" s="1133"/>
      <c r="G12" s="1033" t="s">
        <v>1392</v>
      </c>
    </row>
    <row r="13" spans="1:7" s="17" customFormat="1" ht="29.95" customHeight="1">
      <c r="A13" s="472" t="s">
        <v>799</v>
      </c>
      <c r="B13" s="1207"/>
      <c r="C13" s="1133"/>
    </row>
    <row r="14" spans="1:7" s="17" customFormat="1" ht="29.95" customHeight="1">
      <c r="A14" s="47" t="s">
        <v>237</v>
      </c>
      <c r="B14" s="55"/>
      <c r="C14" s="48"/>
    </row>
    <row r="15" spans="1:7" s="17" customFormat="1" ht="29.95" customHeight="1">
      <c r="A15" s="472" t="s">
        <v>238</v>
      </c>
      <c r="B15" s="1207"/>
      <c r="C15" s="1133"/>
    </row>
    <row r="16" spans="1:7" s="17" customFormat="1" ht="29.95" customHeight="1">
      <c r="A16" s="101" t="s">
        <v>678</v>
      </c>
      <c r="B16" s="797"/>
      <c r="C16" s="795"/>
    </row>
    <row r="17" spans="1:3" s="17" customFormat="1" ht="54.65" customHeight="1">
      <c r="A17" s="459" t="s">
        <v>681</v>
      </c>
      <c r="B17" s="1207" t="s">
        <v>1088</v>
      </c>
      <c r="C17" s="1133"/>
    </row>
    <row r="18" spans="1:3" s="17" customFormat="1" ht="33.049999999999997" customHeight="1">
      <c r="A18" s="459"/>
      <c r="B18" s="733"/>
      <c r="C18" s="730"/>
    </row>
    <row r="19" spans="1:3" s="17" customFormat="1" ht="29.95" hidden="1" customHeight="1">
      <c r="A19" s="472" t="s">
        <v>212</v>
      </c>
      <c r="B19" s="1207"/>
      <c r="C19" s="1133"/>
    </row>
    <row r="20" spans="1:3" s="17" customFormat="1" ht="29.95" hidden="1" customHeight="1">
      <c r="A20" s="47" t="s">
        <v>237</v>
      </c>
      <c r="B20" s="55"/>
      <c r="C20" s="48"/>
    </row>
    <row r="21" spans="1:3" s="17" customFormat="1" ht="29.95" hidden="1" customHeight="1">
      <c r="A21" s="472" t="s">
        <v>238</v>
      </c>
      <c r="B21" s="1207"/>
      <c r="C21" s="1133"/>
    </row>
    <row r="22" spans="1:3" s="17" customFormat="1" ht="29.95" hidden="1" customHeight="1">
      <c r="A22" s="101" t="s">
        <v>678</v>
      </c>
      <c r="B22" s="733"/>
      <c r="C22" s="730"/>
    </row>
    <row r="23" spans="1:3" s="17" customFormat="1" ht="38.299999999999997" hidden="1" customHeight="1">
      <c r="A23" s="459" t="s">
        <v>681</v>
      </c>
      <c r="B23" s="1207" t="s">
        <v>572</v>
      </c>
      <c r="C23" s="1133"/>
    </row>
    <row r="24" spans="1:3" s="17" customFormat="1" ht="38.299999999999997" customHeight="1">
      <c r="A24" s="459"/>
      <c r="B24" s="733"/>
      <c r="C24" s="730"/>
    </row>
    <row r="25" spans="1:3" s="17" customFormat="1" ht="9.65" customHeight="1">
      <c r="A25" s="459"/>
      <c r="B25" s="733"/>
      <c r="C25" s="730"/>
    </row>
    <row r="26" spans="1:3" s="17" customFormat="1" ht="25.2" customHeight="1">
      <c r="A26" s="459"/>
      <c r="B26" s="733"/>
      <c r="C26" s="730"/>
    </row>
    <row r="27" spans="1:3" s="17" customFormat="1" ht="2.4500000000000002" customHeight="1">
      <c r="A27" s="459"/>
      <c r="B27" s="733"/>
      <c r="C27" s="730"/>
    </row>
    <row r="28" spans="1:3" s="17" customFormat="1" ht="27.85" customHeight="1">
      <c r="A28" s="459"/>
      <c r="B28" s="733"/>
      <c r="C28" s="730"/>
    </row>
    <row r="29" spans="1:3" s="17" customFormat="1" ht="50.4" customHeight="1">
      <c r="A29" s="459"/>
      <c r="B29" s="733"/>
      <c r="C29" s="730"/>
    </row>
    <row r="30" spans="1:3" s="21" customFormat="1" ht="54" customHeight="1" thickBot="1">
      <c r="A30" s="471"/>
      <c r="B30" s="192"/>
      <c r="C30" s="193"/>
    </row>
  </sheetData>
  <mergeCells count="15">
    <mergeCell ref="B5:C5"/>
    <mergeCell ref="B10:C10"/>
    <mergeCell ref="A1:C1"/>
    <mergeCell ref="A2:C2"/>
    <mergeCell ref="A3:C3"/>
    <mergeCell ref="A4:C4"/>
    <mergeCell ref="B7:C7"/>
    <mergeCell ref="B23:C23"/>
    <mergeCell ref="B8:C8"/>
    <mergeCell ref="B19:C19"/>
    <mergeCell ref="B21:C21"/>
    <mergeCell ref="B12:C12"/>
    <mergeCell ref="B13:C13"/>
    <mergeCell ref="B15:C15"/>
    <mergeCell ref="B17:C17"/>
  </mergeCells>
  <phoneticPr fontId="4"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H34"/>
  <sheetViews>
    <sheetView view="pageBreakPreview" topLeftCell="A22" zoomScaleNormal="100" zoomScaleSheetLayoutView="100" workbookViewId="0">
      <selection activeCell="A4" sqref="A4:C4"/>
    </sheetView>
  </sheetViews>
  <sheetFormatPr defaultColWidth="9" defaultRowHeight="15.0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2.25">
      <c r="A1" s="1051" t="s">
        <v>62</v>
      </c>
      <c r="B1" s="1051"/>
      <c r="C1" s="1051"/>
      <c r="D1" s="146"/>
      <c r="E1" s="146"/>
      <c r="F1" s="1"/>
      <c r="G1" s="1"/>
      <c r="H1" s="1"/>
    </row>
    <row r="2" spans="1:8" s="2" customFormat="1" ht="22.25">
      <c r="A2" s="1051" t="s">
        <v>63</v>
      </c>
      <c r="B2" s="1051"/>
      <c r="C2" s="1051"/>
      <c r="D2" s="146"/>
      <c r="E2" s="146"/>
      <c r="F2" s="1"/>
      <c r="G2" s="1"/>
      <c r="H2" s="1"/>
    </row>
    <row r="3" spans="1:8" s="2" customFormat="1" ht="24.75" customHeight="1">
      <c r="A3" s="1053" t="s">
        <v>125</v>
      </c>
      <c r="B3" s="1053"/>
      <c r="C3" s="1053"/>
      <c r="D3" s="147"/>
      <c r="E3" s="147"/>
      <c r="F3" s="3"/>
      <c r="G3" s="3"/>
      <c r="H3" s="3"/>
    </row>
    <row r="4" spans="1:8" s="2" customFormat="1" ht="24.9" customHeight="1" thickBot="1">
      <c r="A4" s="1067" t="s">
        <v>1101</v>
      </c>
      <c r="B4" s="1067"/>
      <c r="C4" s="1067"/>
      <c r="D4" s="4"/>
      <c r="E4" s="4"/>
      <c r="F4" s="4"/>
      <c r="G4" s="4"/>
      <c r="H4" s="4"/>
    </row>
    <row r="5" spans="1:8" ht="29.95" customHeight="1">
      <c r="A5" s="419" t="s">
        <v>64</v>
      </c>
      <c r="B5" s="418" t="s">
        <v>126</v>
      </c>
      <c r="C5" s="420" t="s">
        <v>123</v>
      </c>
    </row>
    <row r="6" spans="1:8" ht="8.1999999999999993" customHeight="1">
      <c r="A6" s="421"/>
      <c r="B6" s="163"/>
      <c r="C6" s="164"/>
    </row>
    <row r="7" spans="1:8" s="9" customFormat="1" ht="32.1" customHeight="1">
      <c r="A7" s="474" t="s">
        <v>682</v>
      </c>
      <c r="B7" s="199">
        <v>625</v>
      </c>
      <c r="C7" s="34"/>
    </row>
    <row r="8" spans="1:8" s="9" customFormat="1" ht="32.1" customHeight="1">
      <c r="A8" s="474" t="s">
        <v>683</v>
      </c>
      <c r="B8" s="175"/>
      <c r="C8" s="42"/>
    </row>
    <row r="9" spans="1:8" s="9" customFormat="1" ht="32.1" customHeight="1">
      <c r="A9" s="474" t="s">
        <v>684</v>
      </c>
      <c r="B9" s="149" t="s">
        <v>15</v>
      </c>
      <c r="C9" s="42"/>
    </row>
    <row r="10" spans="1:8" s="9" customFormat="1" ht="32.1" customHeight="1">
      <c r="A10" s="474" t="s">
        <v>685</v>
      </c>
      <c r="B10" s="149" t="s">
        <v>15</v>
      </c>
      <c r="C10" s="22"/>
    </row>
    <row r="11" spans="1:8" s="9" customFormat="1" ht="32.1" customHeight="1">
      <c r="A11" s="474" t="s">
        <v>941</v>
      </c>
      <c r="B11" s="149" t="s">
        <v>15</v>
      </c>
      <c r="C11" s="22"/>
    </row>
    <row r="12" spans="1:8" s="9" customFormat="1" ht="32.1" customHeight="1">
      <c r="A12" s="738" t="s">
        <v>942</v>
      </c>
      <c r="B12" s="149" t="s">
        <v>15</v>
      </c>
      <c r="C12" s="150"/>
    </row>
    <row r="13" spans="1:8" s="9" customFormat="1" ht="32.1" customHeight="1">
      <c r="A13" s="738" t="s">
        <v>686</v>
      </c>
      <c r="B13" s="149" t="s">
        <v>15</v>
      </c>
      <c r="C13" s="150"/>
    </row>
    <row r="14" spans="1:8" s="9" customFormat="1" ht="32.1" customHeight="1">
      <c r="A14" s="738" t="s">
        <v>687</v>
      </c>
      <c r="B14" s="175"/>
      <c r="C14" s="150"/>
    </row>
    <row r="15" spans="1:8" s="9" customFormat="1" ht="32.1" customHeight="1">
      <c r="A15" s="738" t="s">
        <v>688</v>
      </c>
      <c r="B15" s="149" t="s">
        <v>15</v>
      </c>
      <c r="C15" s="150"/>
    </row>
    <row r="16" spans="1:8" s="9" customFormat="1" ht="32.1" customHeight="1">
      <c r="A16" s="738" t="s">
        <v>788</v>
      </c>
      <c r="B16" s="149" t="s">
        <v>15</v>
      </c>
      <c r="C16" s="150"/>
    </row>
    <row r="17" spans="1:3" s="9" customFormat="1" ht="32.1" customHeight="1">
      <c r="A17" s="738" t="s">
        <v>686</v>
      </c>
      <c r="B17" s="149" t="s">
        <v>15</v>
      </c>
      <c r="C17" s="150"/>
    </row>
    <row r="18" spans="1:3" s="9" customFormat="1" ht="32.1" customHeight="1">
      <c r="A18" s="738" t="s">
        <v>689</v>
      </c>
      <c r="B18" s="200">
        <f>B7+B8</f>
        <v>625</v>
      </c>
      <c r="C18" s="150"/>
    </row>
    <row r="19" spans="1:3">
      <c r="A19" s="151"/>
      <c r="B19" s="148"/>
      <c r="C19" s="150"/>
    </row>
    <row r="20" spans="1:3">
      <c r="A20" s="151"/>
      <c r="B20" s="148"/>
      <c r="C20" s="150"/>
    </row>
    <row r="21" spans="1:3">
      <c r="A21" s="152"/>
      <c r="B21" s="96"/>
      <c r="C21" s="102"/>
    </row>
    <row r="22" spans="1:3">
      <c r="A22" s="152"/>
      <c r="B22" s="96"/>
      <c r="C22" s="102"/>
    </row>
    <row r="23" spans="1:3">
      <c r="A23" s="152"/>
      <c r="B23" s="96"/>
      <c r="C23" s="102"/>
    </row>
    <row r="24" spans="1:3" ht="15.55" customHeight="1">
      <c r="A24" s="152"/>
      <c r="B24" s="96"/>
      <c r="C24" s="102"/>
    </row>
    <row r="25" spans="1:3">
      <c r="A25" s="152"/>
      <c r="B25" s="96"/>
      <c r="C25" s="102"/>
    </row>
    <row r="26" spans="1:3" ht="8.1999999999999993" customHeight="1">
      <c r="A26" s="152"/>
      <c r="B26" s="96"/>
      <c r="C26" s="102"/>
    </row>
    <row r="27" spans="1:3" ht="8.1999999999999993" customHeight="1">
      <c r="A27" s="152"/>
      <c r="B27" s="96"/>
      <c r="C27" s="102"/>
    </row>
    <row r="28" spans="1:3" ht="25.55" customHeight="1">
      <c r="A28" s="152"/>
      <c r="B28" s="96"/>
      <c r="C28" s="102"/>
    </row>
    <row r="29" spans="1:3" ht="9.85" customHeight="1">
      <c r="A29" s="152"/>
      <c r="B29" s="96"/>
      <c r="C29" s="102"/>
    </row>
    <row r="30" spans="1:3" ht="10.15" customHeight="1">
      <c r="A30" s="152"/>
      <c r="B30" s="96"/>
      <c r="C30" s="102"/>
    </row>
    <row r="31" spans="1:3" ht="6.75" customHeight="1">
      <c r="A31" s="152"/>
      <c r="B31" s="96"/>
      <c r="C31" s="102"/>
    </row>
    <row r="32" spans="1:3" ht="7.2" customHeight="1">
      <c r="A32" s="152"/>
      <c r="B32" s="96"/>
      <c r="C32" s="102"/>
    </row>
    <row r="33" spans="1:3" ht="23.4" customHeight="1">
      <c r="A33" s="151"/>
      <c r="B33" s="148"/>
      <c r="C33" s="153"/>
    </row>
    <row r="34" spans="1:3" ht="45.65" customHeight="1" thickBot="1">
      <c r="A34" s="154"/>
      <c r="B34" s="155"/>
      <c r="C34" s="110"/>
    </row>
  </sheetData>
  <mergeCells count="4">
    <mergeCell ref="A1:C1"/>
    <mergeCell ref="A2:C2"/>
    <mergeCell ref="A3:C3"/>
    <mergeCell ref="A4:C4"/>
  </mergeCells>
  <phoneticPr fontId="4"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18"/>
  <sheetViews>
    <sheetView view="pageBreakPreview" zoomScaleNormal="100" zoomScaleSheetLayoutView="100" workbookViewId="0">
      <selection activeCell="J14" sqref="J14"/>
    </sheetView>
  </sheetViews>
  <sheetFormatPr defaultColWidth="8.875" defaultRowHeight="16.399999999999999"/>
  <cols>
    <col min="1" max="1" width="12.625" style="915" customWidth="1"/>
    <col min="2" max="4" width="5.375" style="915" customWidth="1"/>
    <col min="5" max="5" width="6.75" style="915" customWidth="1"/>
    <col min="6" max="7" width="5.75" style="915" customWidth="1"/>
    <col min="8" max="8" width="6.75" style="915" customWidth="1"/>
    <col min="9" max="9" width="5.75" style="915" customWidth="1"/>
    <col min="10" max="10" width="11.5" style="928" customWidth="1"/>
    <col min="11" max="11" width="5.875" style="915" customWidth="1"/>
    <col min="12" max="12" width="12.75" style="928" customWidth="1"/>
    <col min="13" max="16384" width="8.875" style="915"/>
  </cols>
  <sheetData>
    <row r="1" spans="1:12" s="2" customFormat="1" ht="20.3">
      <c r="A1" s="1209" t="s">
        <v>62</v>
      </c>
      <c r="B1" s="1209"/>
      <c r="C1" s="1209"/>
      <c r="D1" s="1210"/>
      <c r="E1" s="1210"/>
      <c r="F1" s="1210"/>
      <c r="G1" s="1210"/>
      <c r="H1" s="1210"/>
      <c r="I1" s="1210"/>
      <c r="J1" s="1210"/>
      <c r="K1" s="1210"/>
      <c r="L1" s="1210"/>
    </row>
    <row r="2" spans="1:12" s="2" customFormat="1" ht="20.3">
      <c r="A2" s="1209" t="s">
        <v>63</v>
      </c>
      <c r="B2" s="1209"/>
      <c r="C2" s="1209"/>
      <c r="D2" s="1210"/>
      <c r="E2" s="1210"/>
      <c r="F2" s="1210"/>
      <c r="G2" s="1210"/>
      <c r="H2" s="1210"/>
      <c r="I2" s="1210"/>
      <c r="J2" s="1210"/>
      <c r="K2" s="1210"/>
      <c r="L2" s="1210"/>
    </row>
    <row r="3" spans="1:12" s="2" customFormat="1" ht="24.75" customHeight="1">
      <c r="A3" s="1211" t="s">
        <v>1082</v>
      </c>
      <c r="B3" s="1212"/>
      <c r="C3" s="1212"/>
      <c r="D3" s="1213"/>
      <c r="E3" s="1213"/>
      <c r="F3" s="1213"/>
      <c r="G3" s="1213"/>
      <c r="H3" s="1213"/>
      <c r="I3" s="1213"/>
      <c r="J3" s="1213"/>
      <c r="K3" s="1213"/>
      <c r="L3" s="1213"/>
    </row>
    <row r="4" spans="1:12" s="830" customFormat="1" ht="24.75" customHeight="1" thickBot="1">
      <c r="A4" s="1214" t="s">
        <v>1108</v>
      </c>
      <c r="B4" s="1214"/>
      <c r="C4" s="1214"/>
      <c r="D4" s="1214"/>
      <c r="E4" s="1214"/>
      <c r="F4" s="1214"/>
      <c r="G4" s="1214"/>
      <c r="H4" s="1214"/>
      <c r="I4" s="1214"/>
      <c r="J4" s="1214"/>
      <c r="K4" s="1215"/>
      <c r="L4" s="1215"/>
    </row>
    <row r="5" spans="1:12" ht="54" customHeight="1">
      <c r="A5" s="1216" t="s">
        <v>1068</v>
      </c>
      <c r="B5" s="1218" t="s">
        <v>1048</v>
      </c>
      <c r="C5" s="1218"/>
      <c r="D5" s="1218"/>
      <c r="E5" s="1218"/>
      <c r="F5" s="1218"/>
      <c r="G5" s="1218"/>
      <c r="H5" s="1218"/>
      <c r="I5" s="1218"/>
      <c r="J5" s="1219" t="s">
        <v>1049</v>
      </c>
      <c r="K5" s="1221" t="s">
        <v>1028</v>
      </c>
      <c r="L5" s="1222" t="s">
        <v>1029</v>
      </c>
    </row>
    <row r="6" spans="1:12" ht="50.4" customHeight="1">
      <c r="A6" s="1217"/>
      <c r="B6" s="970" t="s">
        <v>1069</v>
      </c>
      <c r="C6" s="971" t="s">
        <v>1030</v>
      </c>
      <c r="D6" s="971" t="s">
        <v>1031</v>
      </c>
      <c r="E6" s="972" t="s">
        <v>1070</v>
      </c>
      <c r="F6" s="971" t="s">
        <v>1032</v>
      </c>
      <c r="G6" s="971" t="s">
        <v>1033</v>
      </c>
      <c r="H6" s="971" t="s">
        <v>1034</v>
      </c>
      <c r="I6" s="971" t="s">
        <v>1071</v>
      </c>
      <c r="J6" s="1220"/>
      <c r="K6" s="1220"/>
      <c r="L6" s="1223"/>
    </row>
    <row r="7" spans="1:12" s="917" customFormat="1" ht="49.95" customHeight="1">
      <c r="A7" s="967" t="s">
        <v>1062</v>
      </c>
      <c r="B7" s="916">
        <v>0</v>
      </c>
      <c r="C7" s="916">
        <v>0</v>
      </c>
      <c r="D7" s="916">
        <v>0</v>
      </c>
      <c r="E7" s="916">
        <v>0</v>
      </c>
      <c r="F7" s="916">
        <v>0</v>
      </c>
      <c r="G7" s="916">
        <v>0</v>
      </c>
      <c r="H7" s="916">
        <v>0</v>
      </c>
      <c r="I7" s="916">
        <v>0</v>
      </c>
      <c r="J7" s="922">
        <v>1931021</v>
      </c>
      <c r="K7" s="918">
        <v>0</v>
      </c>
      <c r="L7" s="929">
        <f>SUM(B7:K7)</f>
        <v>1931021</v>
      </c>
    </row>
    <row r="8" spans="1:12" s="917" customFormat="1" ht="49.95" customHeight="1">
      <c r="A8" s="966" t="s">
        <v>1063</v>
      </c>
      <c r="B8" s="916">
        <v>0</v>
      </c>
      <c r="C8" s="916">
        <v>0</v>
      </c>
      <c r="D8" s="916">
        <v>0</v>
      </c>
      <c r="E8" s="916">
        <v>0</v>
      </c>
      <c r="F8" s="916">
        <v>0</v>
      </c>
      <c r="G8" s="916">
        <v>0</v>
      </c>
      <c r="H8" s="916">
        <v>0</v>
      </c>
      <c r="I8" s="916">
        <v>0</v>
      </c>
      <c r="J8" s="982">
        <v>0</v>
      </c>
      <c r="K8" s="916">
        <v>0</v>
      </c>
      <c r="L8" s="931">
        <f>SUM(B8:K8)</f>
        <v>0</v>
      </c>
    </row>
    <row r="9" spans="1:12" s="917" customFormat="1" ht="49.95" customHeight="1">
      <c r="A9" s="966" t="s">
        <v>1064</v>
      </c>
      <c r="B9" s="916">
        <f t="shared" ref="B9:H9" si="0">B7-B8</f>
        <v>0</v>
      </c>
      <c r="C9" s="916">
        <f t="shared" si="0"/>
        <v>0</v>
      </c>
      <c r="D9" s="916">
        <f t="shared" si="0"/>
        <v>0</v>
      </c>
      <c r="E9" s="916">
        <f t="shared" si="0"/>
        <v>0</v>
      </c>
      <c r="F9" s="916">
        <f t="shared" si="0"/>
        <v>0</v>
      </c>
      <c r="G9" s="916">
        <f t="shared" si="0"/>
        <v>0</v>
      </c>
      <c r="H9" s="916">
        <f t="shared" si="0"/>
        <v>0</v>
      </c>
      <c r="I9" s="916">
        <v>0</v>
      </c>
      <c r="J9" s="982">
        <v>0</v>
      </c>
      <c r="K9" s="916">
        <f t="shared" ref="K9" si="1">K7-K8</f>
        <v>0</v>
      </c>
      <c r="L9" s="931">
        <f>SUM(B9:K9)</f>
        <v>0</v>
      </c>
    </row>
    <row r="10" spans="1:12" s="917" customFormat="1" ht="49.95" customHeight="1">
      <c r="A10" s="966" t="s">
        <v>1065</v>
      </c>
      <c r="B10" s="916">
        <v>0</v>
      </c>
      <c r="C10" s="916">
        <v>0</v>
      </c>
      <c r="D10" s="916">
        <v>0</v>
      </c>
      <c r="E10" s="916">
        <v>0</v>
      </c>
      <c r="F10" s="916">
        <v>0</v>
      </c>
      <c r="G10" s="916">
        <v>0</v>
      </c>
      <c r="H10" s="916">
        <v>0</v>
      </c>
      <c r="I10" s="916">
        <v>0</v>
      </c>
      <c r="J10" s="982">
        <v>0</v>
      </c>
      <c r="K10" s="916">
        <v>0</v>
      </c>
      <c r="L10" s="931">
        <f t="shared" ref="L10:L14" si="2">SUM(B10:K10)</f>
        <v>0</v>
      </c>
    </row>
    <row r="11" spans="1:12" ht="49.95" customHeight="1">
      <c r="A11" s="968" t="s">
        <v>1066</v>
      </c>
      <c r="B11" s="916">
        <v>0</v>
      </c>
      <c r="C11" s="916">
        <v>0</v>
      </c>
      <c r="D11" s="916">
        <v>0</v>
      </c>
      <c r="E11" s="916">
        <v>0</v>
      </c>
      <c r="F11" s="916">
        <v>0</v>
      </c>
      <c r="G11" s="916">
        <v>0</v>
      </c>
      <c r="H11" s="916">
        <v>0</v>
      </c>
      <c r="I11" s="916">
        <v>0</v>
      </c>
      <c r="J11" s="923">
        <v>1931021</v>
      </c>
      <c r="K11" s="916">
        <v>0</v>
      </c>
      <c r="L11" s="930">
        <f t="shared" si="2"/>
        <v>1931021</v>
      </c>
    </row>
    <row r="12" spans="1:12" ht="49.95" customHeight="1">
      <c r="A12" s="968" t="s">
        <v>1067</v>
      </c>
      <c r="B12" s="916">
        <v>0</v>
      </c>
      <c r="C12" s="916">
        <v>0</v>
      </c>
      <c r="D12" s="916">
        <v>0</v>
      </c>
      <c r="E12" s="916">
        <v>0</v>
      </c>
      <c r="F12" s="916">
        <v>0</v>
      </c>
      <c r="G12" s="916">
        <v>0</v>
      </c>
      <c r="H12" s="916">
        <v>0</v>
      </c>
      <c r="I12" s="916">
        <v>0</v>
      </c>
      <c r="J12" s="924">
        <f>J13</f>
        <v>16154</v>
      </c>
      <c r="K12" s="916">
        <v>0</v>
      </c>
      <c r="L12" s="930">
        <f t="shared" si="2"/>
        <v>16154</v>
      </c>
    </row>
    <row r="13" spans="1:12" ht="49.95" customHeight="1">
      <c r="A13" s="983" t="s">
        <v>1073</v>
      </c>
      <c r="B13" s="916">
        <v>0</v>
      </c>
      <c r="C13" s="916">
        <v>0</v>
      </c>
      <c r="D13" s="916">
        <v>0</v>
      </c>
      <c r="E13" s="916">
        <v>0</v>
      </c>
      <c r="F13" s="916">
        <v>0</v>
      </c>
      <c r="G13" s="916">
        <v>0</v>
      </c>
      <c r="H13" s="916">
        <v>0</v>
      </c>
      <c r="I13" s="916">
        <v>0</v>
      </c>
      <c r="J13" s="924">
        <f>J14</f>
        <v>16154</v>
      </c>
      <c r="K13" s="916">
        <v>0</v>
      </c>
      <c r="L13" s="930">
        <f t="shared" si="2"/>
        <v>16154</v>
      </c>
    </row>
    <row r="14" spans="1:12" ht="49.95" customHeight="1">
      <c r="A14" s="969" t="s">
        <v>1072</v>
      </c>
      <c r="B14" s="916">
        <v>0</v>
      </c>
      <c r="C14" s="916">
        <v>0</v>
      </c>
      <c r="D14" s="916">
        <v>0</v>
      </c>
      <c r="E14" s="916">
        <v>0</v>
      </c>
      <c r="F14" s="916">
        <v>0</v>
      </c>
      <c r="G14" s="916">
        <v>0</v>
      </c>
      <c r="H14" s="916">
        <v>0</v>
      </c>
      <c r="I14" s="916">
        <v>0</v>
      </c>
      <c r="J14" s="924">
        <v>16154</v>
      </c>
      <c r="K14" s="916">
        <v>0</v>
      </c>
      <c r="L14" s="930">
        <f t="shared" si="2"/>
        <v>16154</v>
      </c>
    </row>
    <row r="15" spans="1:12" ht="72.650000000000006" customHeight="1">
      <c r="A15" s="920"/>
      <c r="B15" s="916"/>
      <c r="C15" s="916"/>
      <c r="D15" s="916"/>
      <c r="E15" s="916"/>
      <c r="F15" s="916"/>
      <c r="G15" s="916"/>
      <c r="H15" s="916"/>
      <c r="I15" s="916"/>
      <c r="J15" s="925"/>
      <c r="K15" s="918"/>
      <c r="L15" s="930"/>
    </row>
    <row r="16" spans="1:12" ht="56.45" customHeight="1">
      <c r="A16" s="920"/>
      <c r="B16" s="918"/>
      <c r="C16" s="918"/>
      <c r="D16" s="918"/>
      <c r="E16" s="918"/>
      <c r="F16" s="918"/>
      <c r="G16" s="918"/>
      <c r="H16" s="918"/>
      <c r="I16" s="916"/>
      <c r="J16" s="926"/>
      <c r="K16" s="918"/>
      <c r="L16" s="931"/>
    </row>
    <row r="17" spans="1:12" ht="45.65" customHeight="1" thickBot="1">
      <c r="A17" s="921"/>
      <c r="B17" s="919"/>
      <c r="C17" s="919"/>
      <c r="D17" s="919"/>
      <c r="E17" s="919"/>
      <c r="F17" s="919"/>
      <c r="G17" s="919"/>
      <c r="H17" s="919"/>
      <c r="I17" s="919"/>
      <c r="J17" s="927"/>
      <c r="K17" s="919"/>
      <c r="L17" s="973"/>
    </row>
    <row r="18" spans="1:12">
      <c r="A18" s="915" t="s">
        <v>1035</v>
      </c>
    </row>
  </sheetData>
  <mergeCells count="9">
    <mergeCell ref="A1:L1"/>
    <mergeCell ref="A2:L2"/>
    <mergeCell ref="A3:L3"/>
    <mergeCell ref="A4:L4"/>
    <mergeCell ref="A5:A6"/>
    <mergeCell ref="B5:I5"/>
    <mergeCell ref="J5:J6"/>
    <mergeCell ref="K5:K6"/>
    <mergeCell ref="L5:L6"/>
  </mergeCells>
  <phoneticPr fontId="4"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horizontalDpi="1200" verticalDpi="1200" r:id="rId1"/>
  <headerFooter scaleWithDoc="0">
    <oddFooter>&amp;C&amp;"+,標準"&amp;P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V24"/>
  <sheetViews>
    <sheetView showGridLines="0" view="pageBreakPreview" zoomScaleNormal="100" zoomScaleSheetLayoutView="100" workbookViewId="0">
      <selection activeCell="C13" sqref="C13"/>
    </sheetView>
  </sheetViews>
  <sheetFormatPr defaultColWidth="12" defaultRowHeight="20.3"/>
  <cols>
    <col min="1" max="1" width="12.125" style="844" customWidth="1"/>
    <col min="2" max="2" width="6.5" style="844" customWidth="1"/>
    <col min="3" max="3" width="12.375" style="844" customWidth="1"/>
    <col min="4" max="4" width="12.625" style="844" customWidth="1"/>
    <col min="5" max="5" width="12.875" style="844" customWidth="1"/>
    <col min="6" max="6" width="12.125" style="844" customWidth="1"/>
    <col min="7" max="7" width="2.75" style="844" customWidth="1"/>
    <col min="8" max="8" width="18.625" style="844" customWidth="1"/>
    <col min="9" max="9" width="0" style="844" hidden="1" customWidth="1"/>
    <col min="10" max="10" width="13.5" style="844" bestFit="1" customWidth="1"/>
    <col min="11" max="11" width="20.875" style="844" customWidth="1"/>
    <col min="12" max="16384" width="12" style="844"/>
  </cols>
  <sheetData>
    <row r="1" spans="1:22" s="2" customFormat="1" ht="22.25">
      <c r="A1" s="1051" t="s">
        <v>62</v>
      </c>
      <c r="B1" s="1051"/>
      <c r="C1" s="1051"/>
      <c r="D1" s="1051"/>
      <c r="E1" s="1051"/>
      <c r="F1" s="1051"/>
      <c r="G1" s="1051"/>
      <c r="H1" s="1051"/>
      <c r="I1" s="1"/>
    </row>
    <row r="2" spans="1:22" s="2" customFormat="1" ht="22.25">
      <c r="A2" s="1051" t="s">
        <v>63</v>
      </c>
      <c r="B2" s="1051"/>
      <c r="C2" s="1051"/>
      <c r="D2" s="1051"/>
      <c r="E2" s="1051"/>
      <c r="F2" s="1051"/>
      <c r="G2" s="1051"/>
      <c r="H2" s="1051"/>
      <c r="I2" s="1"/>
    </row>
    <row r="3" spans="1:22" s="2" customFormat="1" ht="24.75" customHeight="1">
      <c r="A3" s="1052" t="s">
        <v>946</v>
      </c>
      <c r="B3" s="1053"/>
      <c r="C3" s="1053"/>
      <c r="D3" s="1053"/>
      <c r="E3" s="1053"/>
      <c r="F3" s="1053"/>
      <c r="G3" s="1053"/>
      <c r="H3" s="1053"/>
      <c r="I3" s="3"/>
    </row>
    <row r="4" spans="1:22" s="830" customFormat="1" ht="24.75" customHeight="1" thickBot="1">
      <c r="A4" s="1214" t="s">
        <v>1109</v>
      </c>
      <c r="B4" s="1214"/>
      <c r="C4" s="1214"/>
      <c r="D4" s="1214"/>
      <c r="E4" s="1214"/>
      <c r="F4" s="1214"/>
      <c r="G4" s="1214"/>
      <c r="H4" s="1214"/>
    </row>
    <row r="5" spans="1:22" s="833" customFormat="1" ht="51.05" customHeight="1">
      <c r="A5" s="831" t="s">
        <v>944</v>
      </c>
      <c r="B5" s="832" t="s">
        <v>923</v>
      </c>
      <c r="C5" s="832" t="s">
        <v>924</v>
      </c>
      <c r="D5" s="832" t="s">
        <v>930</v>
      </c>
      <c r="E5" s="846" t="s">
        <v>925</v>
      </c>
      <c r="F5" s="832" t="s">
        <v>954</v>
      </c>
      <c r="G5" s="1225" t="s">
        <v>1079</v>
      </c>
      <c r="H5" s="1226"/>
    </row>
    <row r="6" spans="1:22" s="830" customFormat="1" ht="85.25" customHeight="1">
      <c r="A6" s="974" t="s">
        <v>1074</v>
      </c>
      <c r="B6" s="847">
        <v>110</v>
      </c>
      <c r="C6" s="848">
        <v>3872000</v>
      </c>
      <c r="D6" s="848"/>
      <c r="E6" s="849">
        <v>97000</v>
      </c>
      <c r="F6" s="850">
        <f>+C6+D6-E6</f>
        <v>3775000</v>
      </c>
      <c r="G6" s="1227" t="s">
        <v>953</v>
      </c>
      <c r="H6" s="1228"/>
      <c r="I6" s="834" t="s">
        <v>926</v>
      </c>
    </row>
    <row r="7" spans="1:22" s="836" customFormat="1" ht="80.05" customHeight="1">
      <c r="A7" s="975" t="s">
        <v>1075</v>
      </c>
      <c r="B7" s="851">
        <v>110</v>
      </c>
      <c r="C7" s="852">
        <v>285000</v>
      </c>
      <c r="D7" s="853">
        <v>1500000</v>
      </c>
      <c r="E7" s="854">
        <v>1500000</v>
      </c>
      <c r="F7" s="855">
        <f>+C7+D7-E7</f>
        <v>285000</v>
      </c>
      <c r="G7" s="1229"/>
      <c r="H7" s="1075"/>
      <c r="I7" s="835" t="s">
        <v>927</v>
      </c>
      <c r="K7" s="856" t="s">
        <v>928</v>
      </c>
    </row>
    <row r="8" spans="1:22" s="836" customFormat="1" ht="80.05" customHeight="1">
      <c r="A8" s="975" t="s">
        <v>1076</v>
      </c>
      <c r="B8" s="851"/>
      <c r="C8" s="852">
        <f>SUM(C6:C7)</f>
        <v>4157000</v>
      </c>
      <c r="D8" s="853">
        <f>SUM(D6:D7)</f>
        <v>1500000</v>
      </c>
      <c r="E8" s="849">
        <f>SUM(E6:E7)</f>
        <v>1597000</v>
      </c>
      <c r="F8" s="855">
        <f>SUM(F6:F7)</f>
        <v>4060000</v>
      </c>
      <c r="G8" s="1229"/>
      <c r="H8" s="1075"/>
      <c r="I8" s="835"/>
      <c r="K8" s="856"/>
    </row>
    <row r="9" spans="1:22" s="836" customFormat="1" ht="69.55" customHeight="1">
      <c r="A9" s="976" t="s">
        <v>1077</v>
      </c>
      <c r="B9" s="851">
        <v>110</v>
      </c>
      <c r="C9" s="855">
        <v>10471000</v>
      </c>
      <c r="D9" s="855">
        <v>11100000</v>
      </c>
      <c r="E9" s="855">
        <v>9700000</v>
      </c>
      <c r="F9" s="855">
        <f>+C9+D9-E9</f>
        <v>11871000</v>
      </c>
      <c r="G9" s="867" t="s">
        <v>957</v>
      </c>
      <c r="H9" s="1230" t="s">
        <v>1080</v>
      </c>
      <c r="I9" s="835" t="s">
        <v>927</v>
      </c>
      <c r="K9" s="856" t="s">
        <v>928</v>
      </c>
    </row>
    <row r="10" spans="1:22" s="836" customFormat="1" ht="82.15" customHeight="1">
      <c r="A10" s="976"/>
      <c r="B10" s="859"/>
      <c r="C10" s="869"/>
      <c r="D10" s="869"/>
      <c r="E10" s="855"/>
      <c r="F10" s="855"/>
      <c r="G10" s="867"/>
      <c r="H10" s="1231"/>
      <c r="I10" s="835"/>
      <c r="K10" s="856"/>
    </row>
    <row r="11" spans="1:22" s="836" customFormat="1" ht="97.2" customHeight="1">
      <c r="A11" s="977" t="s">
        <v>1078</v>
      </c>
      <c r="B11" s="870">
        <v>110</v>
      </c>
      <c r="C11" s="871">
        <v>0</v>
      </c>
      <c r="D11" s="871">
        <v>0</v>
      </c>
      <c r="E11" s="872">
        <v>1500000</v>
      </c>
      <c r="F11" s="872">
        <f>+C11+D11-E11</f>
        <v>-1500000</v>
      </c>
      <c r="G11" s="867" t="s">
        <v>956</v>
      </c>
      <c r="H11" s="1230" t="s">
        <v>1193</v>
      </c>
      <c r="I11" s="835"/>
      <c r="K11" s="856"/>
    </row>
    <row r="12" spans="1:22" s="836" customFormat="1" ht="49.25" customHeight="1">
      <c r="A12" s="975" t="s">
        <v>1076</v>
      </c>
      <c r="B12" s="838"/>
      <c r="C12" s="855">
        <f>SUM(C9:C11)</f>
        <v>10471000</v>
      </c>
      <c r="D12" s="855">
        <f>SUM(D9:D11)</f>
        <v>11100000</v>
      </c>
      <c r="E12" s="855">
        <f>SUM(E9:E11)</f>
        <v>11200000</v>
      </c>
      <c r="F12" s="855">
        <f>SUM(F9:F11)</f>
        <v>10371000</v>
      </c>
      <c r="G12" s="868" t="s">
        <v>955</v>
      </c>
      <c r="H12" s="1231"/>
    </row>
    <row r="13" spans="1:22" s="836" customFormat="1" ht="52.2" customHeight="1">
      <c r="A13" s="837"/>
      <c r="B13" s="839"/>
      <c r="C13" s="839"/>
      <c r="D13" s="840"/>
      <c r="E13" s="839"/>
      <c r="F13" s="841"/>
      <c r="G13" s="841"/>
      <c r="H13" s="865"/>
      <c r="I13" s="830"/>
      <c r="J13" s="830"/>
      <c r="K13" s="830"/>
      <c r="L13" s="830"/>
      <c r="M13" s="830"/>
      <c r="N13" s="830"/>
      <c r="O13" s="830"/>
      <c r="P13" s="830"/>
      <c r="Q13" s="830"/>
      <c r="R13" s="830"/>
      <c r="S13" s="830"/>
      <c r="T13" s="830"/>
      <c r="U13" s="830"/>
      <c r="V13" s="830"/>
    </row>
    <row r="14" spans="1:22" s="836" customFormat="1" ht="24.55" hidden="1" customHeight="1">
      <c r="A14" s="837"/>
      <c r="B14" s="842"/>
      <c r="C14" s="842"/>
      <c r="D14" s="838"/>
      <c r="E14" s="839"/>
      <c r="F14" s="841"/>
      <c r="G14" s="841"/>
      <c r="H14" s="865"/>
      <c r="I14" s="830"/>
      <c r="J14" s="830"/>
      <c r="K14" s="830"/>
      <c r="L14" s="830"/>
      <c r="M14" s="830"/>
      <c r="N14" s="830"/>
      <c r="O14" s="830"/>
      <c r="P14" s="830"/>
      <c r="Q14" s="830"/>
      <c r="R14" s="830"/>
      <c r="S14" s="830"/>
      <c r="T14" s="830"/>
      <c r="U14" s="830"/>
      <c r="V14" s="830"/>
    </row>
    <row r="15" spans="1:22" s="836" customFormat="1" ht="24.9" hidden="1" customHeight="1">
      <c r="A15" s="837"/>
      <c r="B15" s="842"/>
      <c r="C15" s="842"/>
      <c r="D15" s="838"/>
      <c r="E15" s="839"/>
      <c r="F15" s="841"/>
      <c r="G15" s="841"/>
      <c r="H15" s="865"/>
      <c r="I15" s="830"/>
      <c r="J15" s="830"/>
      <c r="K15" s="830"/>
      <c r="L15" s="830"/>
      <c r="M15" s="830"/>
      <c r="N15" s="830"/>
      <c r="O15" s="830"/>
      <c r="P15" s="830"/>
      <c r="Q15" s="830"/>
      <c r="R15" s="830"/>
      <c r="S15" s="830"/>
      <c r="T15" s="830"/>
      <c r="U15" s="830"/>
      <c r="V15" s="830"/>
    </row>
    <row r="16" spans="1:22" s="836" customFormat="1" ht="24.9" hidden="1" customHeight="1">
      <c r="A16" s="837"/>
      <c r="B16" s="842"/>
      <c r="C16" s="842"/>
      <c r="D16" s="838"/>
      <c r="E16" s="839"/>
      <c r="F16" s="841"/>
      <c r="G16" s="841"/>
      <c r="H16" s="865"/>
      <c r="I16" s="830"/>
      <c r="J16" s="830"/>
      <c r="K16" s="830"/>
      <c r="L16" s="830"/>
      <c r="M16" s="830"/>
      <c r="N16" s="830"/>
      <c r="O16" s="830"/>
      <c r="P16" s="830"/>
      <c r="Q16" s="830"/>
      <c r="R16" s="830"/>
      <c r="S16" s="830"/>
      <c r="T16" s="830"/>
      <c r="U16" s="830"/>
      <c r="V16" s="830"/>
    </row>
    <row r="17" spans="1:22" s="836" customFormat="1" ht="24.9" hidden="1" customHeight="1">
      <c r="A17" s="837"/>
      <c r="B17" s="842"/>
      <c r="C17" s="842"/>
      <c r="D17" s="838"/>
      <c r="E17" s="839"/>
      <c r="F17" s="841"/>
      <c r="G17" s="841"/>
      <c r="H17" s="865"/>
      <c r="I17" s="830"/>
      <c r="J17" s="830"/>
      <c r="K17" s="830"/>
      <c r="L17" s="830"/>
      <c r="M17" s="830"/>
      <c r="N17" s="830"/>
      <c r="O17" s="830"/>
      <c r="P17" s="830"/>
      <c r="Q17" s="830"/>
      <c r="R17" s="830"/>
      <c r="S17" s="830"/>
      <c r="T17" s="830"/>
      <c r="U17" s="830"/>
      <c r="V17" s="830"/>
    </row>
    <row r="18" spans="1:22" s="836" customFormat="1" ht="24.9" hidden="1" customHeight="1">
      <c r="A18" s="837"/>
      <c r="B18" s="842"/>
      <c r="C18" s="842"/>
      <c r="D18" s="839"/>
      <c r="E18" s="839"/>
      <c r="F18" s="841"/>
      <c r="G18" s="841"/>
      <c r="H18" s="865"/>
      <c r="I18" s="830"/>
      <c r="J18" s="830"/>
      <c r="K18" s="830"/>
      <c r="L18" s="830"/>
      <c r="M18" s="830"/>
      <c r="N18" s="830"/>
      <c r="O18" s="830"/>
      <c r="P18" s="830"/>
      <c r="Q18" s="830"/>
      <c r="R18" s="830"/>
      <c r="S18" s="830"/>
      <c r="T18" s="830"/>
      <c r="U18" s="830"/>
      <c r="V18" s="830"/>
    </row>
    <row r="19" spans="1:22" s="836" customFormat="1" ht="24.9" hidden="1" customHeight="1">
      <c r="A19" s="837"/>
      <c r="B19" s="839"/>
      <c r="C19" s="839"/>
      <c r="D19" s="839"/>
      <c r="E19" s="839"/>
      <c r="F19" s="841"/>
      <c r="G19" s="841"/>
      <c r="H19" s="865"/>
      <c r="I19" s="830"/>
      <c r="J19" s="830"/>
      <c r="K19" s="830"/>
      <c r="L19" s="830"/>
      <c r="M19" s="830"/>
      <c r="N19" s="830"/>
      <c r="O19" s="830"/>
      <c r="P19" s="830"/>
      <c r="Q19" s="830"/>
      <c r="R19" s="830"/>
      <c r="S19" s="830"/>
      <c r="T19" s="830"/>
      <c r="U19" s="830"/>
      <c r="V19" s="830"/>
    </row>
    <row r="20" spans="1:22" s="830" customFormat="1" ht="24.9" hidden="1" customHeight="1">
      <c r="A20" s="837"/>
      <c r="B20" s="839"/>
      <c r="C20" s="839"/>
      <c r="D20" s="839"/>
      <c r="E20" s="839"/>
      <c r="F20" s="841"/>
      <c r="G20" s="841"/>
      <c r="H20" s="865"/>
    </row>
    <row r="21" spans="1:22" s="830" customFormat="1" ht="29.95" customHeight="1" thickBot="1">
      <c r="A21" s="857" t="s">
        <v>929</v>
      </c>
      <c r="B21" s="843"/>
      <c r="C21" s="858">
        <f>+C8+C12</f>
        <v>14628000</v>
      </c>
      <c r="D21" s="858">
        <f>+D8+D12</f>
        <v>12600000</v>
      </c>
      <c r="E21" s="858">
        <f>+E8+E12</f>
        <v>12797000</v>
      </c>
      <c r="F21" s="858">
        <f>+F8+F12</f>
        <v>14431000</v>
      </c>
      <c r="G21" s="864"/>
      <c r="H21" s="866"/>
      <c r="J21" s="860">
        <f>+D21-D7-D6</f>
        <v>11100000</v>
      </c>
      <c r="K21" s="830">
        <f>14783450-2100000</f>
        <v>12683450</v>
      </c>
    </row>
    <row r="22" spans="1:22" ht="49.6" customHeight="1">
      <c r="A22" s="1224"/>
      <c r="B22" s="1224"/>
      <c r="C22" s="1224"/>
      <c r="D22" s="1224"/>
      <c r="E22" s="1224"/>
      <c r="F22" s="1224"/>
      <c r="G22" s="1224"/>
      <c r="H22" s="1224"/>
    </row>
    <row r="24" spans="1:22">
      <c r="A24" s="845"/>
    </row>
  </sheetData>
  <mergeCells count="9">
    <mergeCell ref="A1:H1"/>
    <mergeCell ref="A2:H2"/>
    <mergeCell ref="A3:H3"/>
    <mergeCell ref="A4:H4"/>
    <mergeCell ref="A22:H22"/>
    <mergeCell ref="G5:H5"/>
    <mergeCell ref="G6:H8"/>
    <mergeCell ref="H9:H10"/>
    <mergeCell ref="H11:H12"/>
  </mergeCells>
  <phoneticPr fontId="4" type="noConversion"/>
  <printOptions horizontalCentered="1"/>
  <pageMargins left="0.59055118110236227" right="0.59055118110236227" top="0.59055118110236227" bottom="0.78740157480314965" header="0.51181102362204722" footer="0.51181102362204722"/>
  <pageSetup paperSize="9" firstPageNumber="44" fitToHeight="0" orientation="portrait" useFirstPageNumber="1"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F50"/>
  <sheetViews>
    <sheetView view="pageBreakPreview" topLeftCell="A40" zoomScaleNormal="100" zoomScaleSheetLayoutView="100" workbookViewId="0">
      <selection activeCell="A49" sqref="A49:E49"/>
    </sheetView>
  </sheetViews>
  <sheetFormatPr defaultColWidth="9" defaultRowHeight="15.05"/>
  <cols>
    <col min="1" max="1" width="15" style="6" customWidth="1"/>
    <col min="2" max="2" width="32.25" style="6" customWidth="1"/>
    <col min="3" max="3" width="14.75" style="6" customWidth="1"/>
    <col min="4" max="4" width="14.625" style="19" customWidth="1"/>
    <col min="5" max="5" width="12.875" style="6" customWidth="1"/>
    <col min="6" max="6" width="14.625" style="6" bestFit="1" customWidth="1"/>
    <col min="7" max="16384" width="9" style="6"/>
  </cols>
  <sheetData>
    <row r="1" spans="1:6" ht="22.25">
      <c r="A1" s="1051" t="s">
        <v>62</v>
      </c>
      <c r="B1" s="1051"/>
      <c r="C1" s="1051"/>
      <c r="D1" s="1051"/>
      <c r="E1" s="1051"/>
    </row>
    <row r="2" spans="1:6" ht="22.25">
      <c r="A2" s="1051" t="s">
        <v>63</v>
      </c>
      <c r="B2" s="1051"/>
      <c r="C2" s="1051"/>
      <c r="D2" s="1051"/>
      <c r="E2" s="1051"/>
    </row>
    <row r="3" spans="1:6" ht="24.75" customHeight="1">
      <c r="A3" s="1053" t="s">
        <v>127</v>
      </c>
      <c r="B3" s="1053"/>
      <c r="C3" s="1053"/>
      <c r="D3" s="1053"/>
      <c r="E3" s="1053"/>
    </row>
    <row r="4" spans="1:6" ht="24.75" customHeight="1" thickBot="1">
      <c r="A4" s="1067" t="s">
        <v>1111</v>
      </c>
      <c r="B4" s="1067"/>
      <c r="C4" s="1067"/>
      <c r="D4" s="1067"/>
      <c r="E4" s="1067"/>
    </row>
    <row r="5" spans="1:6" ht="15.75" customHeight="1">
      <c r="A5" s="1235" t="s">
        <v>1110</v>
      </c>
      <c r="B5" s="1238" t="s">
        <v>128</v>
      </c>
      <c r="C5" s="1244" t="s">
        <v>1112</v>
      </c>
      <c r="D5" s="1244" t="s">
        <v>1113</v>
      </c>
      <c r="E5" s="1241" t="s">
        <v>936</v>
      </c>
    </row>
    <row r="6" spans="1:6" ht="15.75" customHeight="1">
      <c r="A6" s="1236"/>
      <c r="B6" s="1239"/>
      <c r="C6" s="1245"/>
      <c r="D6" s="1245"/>
      <c r="E6" s="1242"/>
    </row>
    <row r="7" spans="1:6" ht="15.75" customHeight="1">
      <c r="A7" s="1237"/>
      <c r="B7" s="1240"/>
      <c r="C7" s="1246"/>
      <c r="D7" s="1246"/>
      <c r="E7" s="1243"/>
    </row>
    <row r="8" spans="1:6" ht="8.1999999999999993" customHeight="1">
      <c r="A8" s="724"/>
      <c r="B8" s="725"/>
      <c r="C8" s="723"/>
      <c r="D8" s="726"/>
      <c r="E8" s="727"/>
    </row>
    <row r="9" spans="1:6" s="30" customFormat="1" ht="29.95" customHeight="1">
      <c r="A9" s="260">
        <v>1001854042</v>
      </c>
      <c r="B9" s="739" t="s">
        <v>386</v>
      </c>
      <c r="C9" s="116">
        <f>+C10+C16+C19+C21+C23</f>
        <v>964904931</v>
      </c>
      <c r="D9" s="116">
        <f>+D10+D16+D19+D21+D23</f>
        <v>969792668</v>
      </c>
      <c r="E9" s="117">
        <f>+E10+E16+E19+E21+E23</f>
        <v>-4887737</v>
      </c>
      <c r="F9" s="792"/>
    </row>
    <row r="10" spans="1:6" s="30" customFormat="1" ht="29.95" customHeight="1">
      <c r="A10" s="114">
        <v>797078535</v>
      </c>
      <c r="B10" s="118" t="s">
        <v>387</v>
      </c>
      <c r="C10" s="116">
        <f>SUM(C11:C15)</f>
        <v>672415927</v>
      </c>
      <c r="D10" s="116">
        <f>SUM(D11:D15)</f>
        <v>677583438</v>
      </c>
      <c r="E10" s="117">
        <f>SUM(E11:E15)</f>
        <v>-5167511</v>
      </c>
      <c r="F10" s="821"/>
    </row>
    <row r="11" spans="1:6" s="9" customFormat="1" ht="29.95" customHeight="1">
      <c r="A11" s="119">
        <v>52901353</v>
      </c>
      <c r="B11" s="120" t="s">
        <v>388</v>
      </c>
      <c r="C11" s="121">
        <v>38616900</v>
      </c>
      <c r="D11" s="121">
        <v>40647380</v>
      </c>
      <c r="E11" s="122">
        <f>C11-D11</f>
        <v>-2030480</v>
      </c>
    </row>
    <row r="12" spans="1:6" s="9" customFormat="1" ht="29.95" customHeight="1">
      <c r="A12" s="119">
        <v>656234803</v>
      </c>
      <c r="B12" s="120" t="s">
        <v>421</v>
      </c>
      <c r="C12" s="121">
        <v>541269060</v>
      </c>
      <c r="D12" s="121">
        <v>543381401</v>
      </c>
      <c r="E12" s="122">
        <f>C12-D12</f>
        <v>-2112341</v>
      </c>
    </row>
    <row r="13" spans="1:6" s="9" customFormat="1" ht="29.95" customHeight="1">
      <c r="A13" s="119">
        <v>83580945</v>
      </c>
      <c r="B13" s="120" t="s">
        <v>422</v>
      </c>
      <c r="C13" s="121">
        <v>88461967</v>
      </c>
      <c r="D13" s="121">
        <v>89389657</v>
      </c>
      <c r="E13" s="122">
        <f>C13-D13</f>
        <v>-927690</v>
      </c>
    </row>
    <row r="14" spans="1:6" s="9" customFormat="1" ht="29.95" customHeight="1">
      <c r="A14" s="119">
        <v>119218</v>
      </c>
      <c r="B14" s="120" t="s">
        <v>391</v>
      </c>
      <c r="C14" s="121">
        <v>8000</v>
      </c>
      <c r="D14" s="121">
        <v>8000</v>
      </c>
      <c r="E14" s="132">
        <f>C14-D14</f>
        <v>0</v>
      </c>
    </row>
    <row r="15" spans="1:6" s="9" customFormat="1" ht="29.95" customHeight="1">
      <c r="A15" s="119">
        <v>4242215</v>
      </c>
      <c r="B15" s="120" t="s">
        <v>392</v>
      </c>
      <c r="C15" s="121">
        <v>4060000</v>
      </c>
      <c r="D15" s="121">
        <v>4157000</v>
      </c>
      <c r="E15" s="122">
        <f>C15-D15</f>
        <v>-97000</v>
      </c>
    </row>
    <row r="16" spans="1:6" s="30" customFormat="1" ht="29.95" customHeight="1">
      <c r="A16" s="114">
        <v>169650187</v>
      </c>
      <c r="B16" s="123" t="s">
        <v>393</v>
      </c>
      <c r="C16" s="116">
        <f>SUM(C17:C18)</f>
        <v>264741786</v>
      </c>
      <c r="D16" s="116">
        <f>SUM(D17:D18)</f>
        <v>263810847</v>
      </c>
      <c r="E16" s="117">
        <f>SUM(E17:E18)</f>
        <v>930939</v>
      </c>
      <c r="F16" s="821"/>
    </row>
    <row r="17" spans="1:6" s="9" customFormat="1" ht="29.95" customHeight="1">
      <c r="A17" s="119">
        <v>160783756</v>
      </c>
      <c r="B17" s="120" t="s">
        <v>525</v>
      </c>
      <c r="C17" s="121">
        <v>254370786</v>
      </c>
      <c r="D17" s="121">
        <v>253339847</v>
      </c>
      <c r="E17" s="122">
        <f>C17-D17</f>
        <v>1030939</v>
      </c>
    </row>
    <row r="18" spans="1:6" s="9" customFormat="1" ht="29.95" customHeight="1">
      <c r="A18" s="119">
        <v>8866432</v>
      </c>
      <c r="B18" s="120" t="s">
        <v>394</v>
      </c>
      <c r="C18" s="121">
        <v>10371000</v>
      </c>
      <c r="D18" s="121">
        <v>10471000</v>
      </c>
      <c r="E18" s="122">
        <f>C18-D18</f>
        <v>-100000</v>
      </c>
    </row>
    <row r="19" spans="1:6" s="30" customFormat="1" ht="29.95" customHeight="1">
      <c r="A19" s="114">
        <v>1434151</v>
      </c>
      <c r="B19" s="123" t="s">
        <v>505</v>
      </c>
      <c r="C19" s="116">
        <f>+C20</f>
        <v>1401843</v>
      </c>
      <c r="D19" s="116">
        <f>+D20</f>
        <v>1417997</v>
      </c>
      <c r="E19" s="117">
        <f>+E20</f>
        <v>-16154</v>
      </c>
    </row>
    <row r="20" spans="1:6" s="9" customFormat="1" ht="29.95" customHeight="1">
      <c r="A20" s="119">
        <v>1434151</v>
      </c>
      <c r="B20" s="120" t="s">
        <v>690</v>
      </c>
      <c r="C20" s="121">
        <v>1401843</v>
      </c>
      <c r="D20" s="121">
        <v>1417997</v>
      </c>
      <c r="E20" s="122">
        <f>C20-D20</f>
        <v>-16154</v>
      </c>
    </row>
    <row r="21" spans="1:6" s="30" customFormat="1" ht="29.95" customHeight="1">
      <c r="A21" s="130">
        <v>1034</v>
      </c>
      <c r="B21" s="118" t="s">
        <v>59</v>
      </c>
      <c r="C21" s="116">
        <f>C22</f>
        <v>24</v>
      </c>
      <c r="D21" s="131">
        <f>D22</f>
        <v>530</v>
      </c>
      <c r="E21" s="117">
        <f>+E22</f>
        <v>-506</v>
      </c>
    </row>
    <row r="22" spans="1:6" s="9" customFormat="1" ht="29.95" customHeight="1">
      <c r="A22" s="133">
        <v>1034</v>
      </c>
      <c r="B22" s="120" t="s">
        <v>60</v>
      </c>
      <c r="C22" s="121">
        <v>24</v>
      </c>
      <c r="D22" s="129">
        <v>530</v>
      </c>
      <c r="E22" s="122">
        <f>C22-D22</f>
        <v>-506</v>
      </c>
    </row>
    <row r="23" spans="1:6" s="30" customFormat="1" ht="29.95" customHeight="1">
      <c r="A23" s="114">
        <v>33690135</v>
      </c>
      <c r="B23" s="118" t="s">
        <v>424</v>
      </c>
      <c r="C23" s="116">
        <f>+C24+C25+C26</f>
        <v>26345351</v>
      </c>
      <c r="D23" s="116">
        <f>+D24+D25+D26</f>
        <v>26979856</v>
      </c>
      <c r="E23" s="117">
        <f>+E24+E25</f>
        <v>-634505</v>
      </c>
      <c r="F23" s="821"/>
    </row>
    <row r="24" spans="1:6" s="9" customFormat="1" ht="29.95" customHeight="1">
      <c r="A24" s="119">
        <v>40361</v>
      </c>
      <c r="B24" s="120" t="s">
        <v>574</v>
      </c>
      <c r="C24" s="121">
        <v>39143</v>
      </c>
      <c r="D24" s="121">
        <v>39752</v>
      </c>
      <c r="E24" s="122">
        <f>C24-D24</f>
        <v>-609</v>
      </c>
    </row>
    <row r="25" spans="1:6" s="9" customFormat="1" ht="29.95" customHeight="1">
      <c r="A25" s="119">
        <v>33411462</v>
      </c>
      <c r="B25" s="120" t="s">
        <v>23</v>
      </c>
      <c r="C25" s="121">
        <v>26067896</v>
      </c>
      <c r="D25" s="121">
        <v>26701792</v>
      </c>
      <c r="E25" s="122">
        <f>C25-D25</f>
        <v>-633896</v>
      </c>
    </row>
    <row r="26" spans="1:6" s="9" customFormat="1" ht="29.95" customHeight="1">
      <c r="A26" s="119">
        <v>238312</v>
      </c>
      <c r="B26" s="120" t="s">
        <v>575</v>
      </c>
      <c r="C26" s="121">
        <v>238312</v>
      </c>
      <c r="D26" s="121">
        <v>238312</v>
      </c>
      <c r="E26" s="132">
        <f>C26-D26</f>
        <v>0</v>
      </c>
    </row>
    <row r="27" spans="1:6" s="9" customFormat="1" ht="27.65" customHeight="1">
      <c r="A27" s="119"/>
      <c r="B27" s="120"/>
      <c r="C27" s="121"/>
      <c r="D27" s="121"/>
      <c r="E27" s="122"/>
    </row>
    <row r="28" spans="1:6" s="9" customFormat="1" ht="24.55" customHeight="1">
      <c r="A28" s="119"/>
      <c r="B28" s="120"/>
      <c r="C28" s="121"/>
      <c r="D28" s="121"/>
      <c r="E28" s="122"/>
    </row>
    <row r="29" spans="1:6" s="30" customFormat="1" ht="29.95" customHeight="1" thickBot="1">
      <c r="A29" s="125">
        <v>1001854042</v>
      </c>
      <c r="B29" s="126" t="s">
        <v>38</v>
      </c>
      <c r="C29" s="127">
        <f>C9</f>
        <v>964904931</v>
      </c>
      <c r="D29" s="127">
        <f>D9</f>
        <v>969792668</v>
      </c>
      <c r="E29" s="128">
        <f>E9</f>
        <v>-4887737</v>
      </c>
    </row>
    <row r="30" spans="1:6" s="30" customFormat="1" ht="29.95" customHeight="1">
      <c r="A30" s="114">
        <v>1001848833</v>
      </c>
      <c r="B30" s="739" t="s">
        <v>20</v>
      </c>
      <c r="C30" s="116">
        <f>C31+C36</f>
        <v>964899722</v>
      </c>
      <c r="D30" s="116">
        <f>D31+D36</f>
        <v>969787459</v>
      </c>
      <c r="E30" s="117">
        <f>E31+E36</f>
        <v>-4887737</v>
      </c>
      <c r="F30" s="821"/>
    </row>
    <row r="31" spans="1:6" s="30" customFormat="1" ht="29.95" customHeight="1">
      <c r="A31" s="114">
        <v>19133620</v>
      </c>
      <c r="B31" s="118" t="s">
        <v>432</v>
      </c>
      <c r="C31" s="116">
        <f>SUM(C32:C35)</f>
        <v>18836648</v>
      </c>
      <c r="D31" s="116">
        <f>SUM(D32:D35)</f>
        <v>18970747</v>
      </c>
      <c r="E31" s="117">
        <f>SUM(E32:E35)</f>
        <v>-134099</v>
      </c>
    </row>
    <row r="32" spans="1:6" s="9" customFormat="1" ht="29.95" customHeight="1">
      <c r="A32" s="119">
        <v>4150000</v>
      </c>
      <c r="B32" s="120" t="s">
        <v>691</v>
      </c>
      <c r="C32" s="121">
        <v>3775000</v>
      </c>
      <c r="D32" s="121">
        <v>3872000</v>
      </c>
      <c r="E32" s="122">
        <f>C32-D32</f>
        <v>-97000</v>
      </c>
    </row>
    <row r="33" spans="1:6" s="9" customFormat="1" ht="29.95" customHeight="1">
      <c r="A33" s="119">
        <v>14564662</v>
      </c>
      <c r="B33" s="120" t="s">
        <v>24</v>
      </c>
      <c r="C33" s="121">
        <v>14599365</v>
      </c>
      <c r="D33" s="121">
        <v>14635481</v>
      </c>
      <c r="E33" s="122">
        <f>C33-D33</f>
        <v>-36116</v>
      </c>
    </row>
    <row r="34" spans="1:6" s="9" customFormat="1" ht="29.95" customHeight="1">
      <c r="A34" s="119">
        <v>317537</v>
      </c>
      <c r="B34" s="120" t="s">
        <v>25</v>
      </c>
      <c r="C34" s="121">
        <v>360862</v>
      </c>
      <c r="D34" s="121">
        <v>361845</v>
      </c>
      <c r="E34" s="122">
        <f>C34-D34</f>
        <v>-983</v>
      </c>
    </row>
    <row r="35" spans="1:6" s="9" customFormat="1" ht="29.95" customHeight="1">
      <c r="A35" s="119">
        <v>101421</v>
      </c>
      <c r="B35" s="120" t="s">
        <v>402</v>
      </c>
      <c r="C35" s="129">
        <v>101421</v>
      </c>
      <c r="D35" s="129">
        <v>101421</v>
      </c>
      <c r="E35" s="132">
        <f>C35-D35</f>
        <v>0</v>
      </c>
    </row>
    <row r="36" spans="1:6" s="30" customFormat="1" ht="29.95" customHeight="1">
      <c r="A36" s="114">
        <v>982715213</v>
      </c>
      <c r="B36" s="123" t="s">
        <v>403</v>
      </c>
      <c r="C36" s="116">
        <f>SUM(C37:C39)</f>
        <v>946063074</v>
      </c>
      <c r="D36" s="116">
        <f>SUM(D37:D39)</f>
        <v>950816712</v>
      </c>
      <c r="E36" s="117">
        <f>SUM(E37:E39)</f>
        <v>-4753638</v>
      </c>
    </row>
    <row r="37" spans="1:6" s="30" customFormat="1" ht="29.95" customHeight="1">
      <c r="A37" s="119">
        <v>4036091</v>
      </c>
      <c r="B37" s="120" t="s">
        <v>576</v>
      </c>
      <c r="C37" s="121">
        <v>3914261</v>
      </c>
      <c r="D37" s="121">
        <v>3975176</v>
      </c>
      <c r="E37" s="122">
        <f>C37-D37</f>
        <v>-60915</v>
      </c>
    </row>
    <row r="38" spans="1:6" s="9" customFormat="1" ht="29.95" customHeight="1">
      <c r="A38" s="119">
        <v>978610126</v>
      </c>
      <c r="B38" s="120" t="s">
        <v>26</v>
      </c>
      <c r="C38" s="121">
        <f>942085867+300</f>
        <v>942086167</v>
      </c>
      <c r="D38" s="121">
        <v>946778890</v>
      </c>
      <c r="E38" s="122">
        <f>C38-D38</f>
        <v>-4692723</v>
      </c>
    </row>
    <row r="39" spans="1:6" s="9" customFormat="1" ht="29.95" customHeight="1">
      <c r="A39" s="119">
        <v>68997</v>
      </c>
      <c r="B39" s="120" t="s">
        <v>27</v>
      </c>
      <c r="C39" s="121">
        <v>62646</v>
      </c>
      <c r="D39" s="121">
        <v>62646</v>
      </c>
      <c r="E39" s="124">
        <f>C39-D39</f>
        <v>0</v>
      </c>
    </row>
    <row r="40" spans="1:6" s="30" customFormat="1" ht="29.95" customHeight="1">
      <c r="A40" s="114">
        <v>5209</v>
      </c>
      <c r="B40" s="739" t="s">
        <v>406</v>
      </c>
      <c r="C40" s="116">
        <f>C41+C43+C45</f>
        <v>5209</v>
      </c>
      <c r="D40" s="116">
        <f>D41+D43+D45</f>
        <v>5209</v>
      </c>
      <c r="E40" s="124">
        <f>E41+E43+E45</f>
        <v>0</v>
      </c>
    </row>
    <row r="41" spans="1:6" s="30" customFormat="1" ht="29.95" customHeight="1">
      <c r="A41" s="114">
        <v>625</v>
      </c>
      <c r="B41" s="118" t="s">
        <v>407</v>
      </c>
      <c r="C41" s="116">
        <f>C42</f>
        <v>625</v>
      </c>
      <c r="D41" s="116">
        <f>D42</f>
        <v>625</v>
      </c>
      <c r="E41" s="124">
        <f>E42</f>
        <v>0</v>
      </c>
    </row>
    <row r="42" spans="1:6" s="9" customFormat="1" ht="29.95" customHeight="1">
      <c r="A42" s="119">
        <v>625</v>
      </c>
      <c r="B42" s="120" t="s">
        <v>692</v>
      </c>
      <c r="C42" s="121">
        <v>625</v>
      </c>
      <c r="D42" s="121">
        <v>625</v>
      </c>
      <c r="E42" s="132">
        <f>C42-D42</f>
        <v>0</v>
      </c>
    </row>
    <row r="43" spans="1:6" s="30" customFormat="1" ht="29.95" customHeight="1">
      <c r="A43" s="114">
        <v>4584</v>
      </c>
      <c r="B43" s="118" t="s">
        <v>693</v>
      </c>
      <c r="C43" s="116">
        <f>C44</f>
        <v>4584</v>
      </c>
      <c r="D43" s="116">
        <f>+D44</f>
        <v>4584</v>
      </c>
      <c r="E43" s="124">
        <f>E44</f>
        <v>0</v>
      </c>
    </row>
    <row r="44" spans="1:6" s="9" customFormat="1" ht="29.95" customHeight="1">
      <c r="A44" s="119">
        <v>4584</v>
      </c>
      <c r="B44" s="120" t="s">
        <v>410</v>
      </c>
      <c r="C44" s="121">
        <v>4584</v>
      </c>
      <c r="D44" s="121">
        <v>4584</v>
      </c>
      <c r="E44" s="132">
        <f>C44-D44</f>
        <v>0</v>
      </c>
    </row>
    <row r="45" spans="1:6" s="30" customFormat="1" ht="29" customHeight="1">
      <c r="A45" s="133">
        <f>A46</f>
        <v>0</v>
      </c>
      <c r="B45" s="118" t="s">
        <v>566</v>
      </c>
      <c r="C45" s="129">
        <f>C46</f>
        <v>0</v>
      </c>
      <c r="D45" s="129">
        <f>D46</f>
        <v>0</v>
      </c>
      <c r="E45" s="124">
        <f>E46</f>
        <v>0</v>
      </c>
    </row>
    <row r="46" spans="1:6" s="9" customFormat="1" ht="44.2" customHeight="1">
      <c r="A46" s="130">
        <v>0</v>
      </c>
      <c r="B46" s="120" t="s">
        <v>28</v>
      </c>
      <c r="C46" s="131">
        <v>0</v>
      </c>
      <c r="D46" s="131">
        <v>0</v>
      </c>
      <c r="E46" s="132">
        <v>0</v>
      </c>
    </row>
    <row r="47" spans="1:6" s="1003" customFormat="1" ht="32.4" customHeight="1">
      <c r="A47" s="130"/>
      <c r="B47" s="120"/>
      <c r="C47" s="131"/>
      <c r="D47" s="131"/>
      <c r="E47" s="132"/>
    </row>
    <row r="48" spans="1:6" s="30" customFormat="1" ht="30.8" customHeight="1" thickBot="1">
      <c r="A48" s="125">
        <v>1001854042</v>
      </c>
      <c r="B48" s="126" t="s">
        <v>38</v>
      </c>
      <c r="C48" s="127">
        <f>C30+C40</f>
        <v>964904931</v>
      </c>
      <c r="D48" s="127">
        <f>D30+D40</f>
        <v>969792668</v>
      </c>
      <c r="E48" s="128">
        <f>E30+E40</f>
        <v>-4887737</v>
      </c>
      <c r="F48" s="821"/>
    </row>
    <row r="49" spans="1:5" s="201" customFormat="1" ht="36" customHeight="1">
      <c r="A49" s="1234" t="s">
        <v>1433</v>
      </c>
      <c r="B49" s="1234"/>
      <c r="C49" s="1234"/>
      <c r="D49" s="1234"/>
      <c r="E49" s="1234"/>
    </row>
    <row r="50" spans="1:5" ht="6.55" customHeight="1">
      <c r="A50" s="1232" t="s">
        <v>773</v>
      </c>
      <c r="B50" s="1233"/>
      <c r="C50" s="1233"/>
      <c r="D50" s="1233"/>
      <c r="E50" s="1233"/>
    </row>
  </sheetData>
  <mergeCells count="11">
    <mergeCell ref="A50:E50"/>
    <mergeCell ref="A49:E49"/>
    <mergeCell ref="A1:E1"/>
    <mergeCell ref="A5:A7"/>
    <mergeCell ref="B5:B7"/>
    <mergeCell ref="E5:E7"/>
    <mergeCell ref="C5:C7"/>
    <mergeCell ref="D5:D7"/>
    <mergeCell ref="A4:E4"/>
    <mergeCell ref="A3:E3"/>
    <mergeCell ref="A2:E2"/>
  </mergeCells>
  <phoneticPr fontId="4"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rowBreaks count="1" manualBreakCount="1">
    <brk id="29"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42"/>
  <sheetViews>
    <sheetView view="pageBreakPreview" zoomScaleNormal="100" zoomScaleSheetLayoutView="100" workbookViewId="0">
      <selection activeCell="E13" sqref="E13"/>
    </sheetView>
  </sheetViews>
  <sheetFormatPr defaultColWidth="9" defaultRowHeight="15.05"/>
  <cols>
    <col min="1" max="1" width="22.75" style="2" bestFit="1" customWidth="1"/>
    <col min="2" max="2" width="5.25" style="56" customWidth="1"/>
    <col min="3" max="3" width="9.25" style="2" bestFit="1" customWidth="1"/>
    <col min="4" max="4" width="12.625" style="2" customWidth="1"/>
    <col min="5" max="5" width="17.125" style="2" customWidth="1"/>
    <col min="6" max="6" width="23.25" style="2" customWidth="1"/>
    <col min="7" max="16384" width="9" style="2"/>
  </cols>
  <sheetData>
    <row r="1" spans="1:6" ht="22.25">
      <c r="A1" s="1051" t="s">
        <v>62</v>
      </c>
      <c r="B1" s="1051"/>
      <c r="C1" s="1051"/>
      <c r="D1" s="1051"/>
      <c r="E1" s="1051"/>
      <c r="F1" s="1051"/>
    </row>
    <row r="2" spans="1:6" ht="22.25">
      <c r="A2" s="1051" t="s">
        <v>63</v>
      </c>
      <c r="B2" s="1051"/>
      <c r="C2" s="1051"/>
      <c r="D2" s="1051"/>
      <c r="E2" s="1051"/>
      <c r="F2" s="1051"/>
    </row>
    <row r="3" spans="1:6" ht="24.9" customHeight="1">
      <c r="A3" s="1053" t="s">
        <v>1</v>
      </c>
      <c r="B3" s="1053"/>
      <c r="C3" s="1053"/>
      <c r="D3" s="1053"/>
      <c r="E3" s="1053"/>
      <c r="F3" s="1053"/>
    </row>
    <row r="4" spans="1:6" ht="24.9" customHeight="1" thickBot="1">
      <c r="A4" s="1055" t="s">
        <v>1114</v>
      </c>
      <c r="B4" s="1055"/>
      <c r="C4" s="1055"/>
      <c r="D4" s="1055"/>
      <c r="E4" s="1055"/>
      <c r="F4" s="1055"/>
    </row>
    <row r="5" spans="1:6" ht="51.05" customHeight="1">
      <c r="A5" s="422" t="s">
        <v>129</v>
      </c>
      <c r="B5" s="415" t="s">
        <v>89</v>
      </c>
      <c r="C5" s="395" t="s">
        <v>130</v>
      </c>
      <c r="D5" s="423" t="s">
        <v>131</v>
      </c>
      <c r="E5" s="815" t="s">
        <v>809</v>
      </c>
      <c r="F5" s="424" t="s">
        <v>123</v>
      </c>
    </row>
    <row r="6" spans="1:6" ht="8.1999999999999993" customHeight="1">
      <c r="A6" s="7"/>
      <c r="B6" s="397"/>
      <c r="C6" s="397"/>
      <c r="D6" s="397"/>
      <c r="E6" s="397"/>
      <c r="F6" s="417"/>
    </row>
    <row r="7" spans="1:6" s="30" customFormat="1" ht="18.850000000000001" customHeight="1">
      <c r="A7" s="458" t="s">
        <v>3</v>
      </c>
      <c r="B7" s="63"/>
      <c r="C7" s="64"/>
      <c r="D7" s="64"/>
      <c r="E7" s="27">
        <f>E8</f>
        <v>522018918</v>
      </c>
      <c r="F7" s="76"/>
    </row>
    <row r="8" spans="1:6" s="9" customFormat="1" ht="19" customHeight="1">
      <c r="A8" s="459" t="s">
        <v>694</v>
      </c>
      <c r="B8" s="33"/>
      <c r="C8" s="69"/>
      <c r="D8" s="69"/>
      <c r="E8" s="31">
        <f>SUM(E9:E12)</f>
        <v>522018918</v>
      </c>
      <c r="F8" s="65"/>
    </row>
    <row r="9" spans="1:6" s="9" customFormat="1" ht="19" customHeight="1">
      <c r="A9" s="459" t="s">
        <v>695</v>
      </c>
      <c r="B9" s="33"/>
      <c r="C9" s="69"/>
      <c r="D9" s="69"/>
      <c r="E9" s="31">
        <v>491651979</v>
      </c>
      <c r="F9" s="65"/>
    </row>
    <row r="10" spans="1:6" s="9" customFormat="1" ht="19" customHeight="1">
      <c r="A10" s="459" t="s">
        <v>696</v>
      </c>
      <c r="B10" s="33"/>
      <c r="C10" s="67"/>
      <c r="D10" s="69"/>
      <c r="E10" s="31">
        <v>22823256</v>
      </c>
      <c r="F10" s="65"/>
    </row>
    <row r="11" spans="1:6" s="9" customFormat="1" ht="19" customHeight="1">
      <c r="A11" s="459" t="s">
        <v>1002</v>
      </c>
      <c r="B11" s="33"/>
      <c r="C11" s="69"/>
      <c r="D11" s="69"/>
      <c r="E11" s="66">
        <v>6916286</v>
      </c>
      <c r="F11" s="65"/>
    </row>
    <row r="12" spans="1:6" s="9" customFormat="1" ht="19" customHeight="1">
      <c r="A12" s="459" t="s">
        <v>698</v>
      </c>
      <c r="B12" s="33"/>
      <c r="C12" s="69"/>
      <c r="D12" s="69"/>
      <c r="E12" s="66">
        <v>627397</v>
      </c>
      <c r="F12" s="65"/>
    </row>
    <row r="13" spans="1:6" s="9" customFormat="1" ht="10.15" customHeight="1">
      <c r="A13" s="459"/>
      <c r="B13" s="63"/>
      <c r="C13" s="64"/>
      <c r="D13" s="64"/>
      <c r="E13" s="77"/>
      <c r="F13" s="65"/>
    </row>
    <row r="14" spans="1:6" s="30" customFormat="1" ht="19" customHeight="1">
      <c r="A14" s="458" t="s">
        <v>37</v>
      </c>
      <c r="B14" s="63"/>
      <c r="C14" s="77"/>
      <c r="D14" s="64"/>
      <c r="E14" s="27">
        <f>E15</f>
        <v>512331819</v>
      </c>
      <c r="F14" s="76"/>
    </row>
    <row r="15" spans="1:6" s="9" customFormat="1" ht="19" customHeight="1">
      <c r="A15" s="459" t="s">
        <v>694</v>
      </c>
      <c r="B15" s="33"/>
      <c r="C15" s="69"/>
      <c r="D15" s="69"/>
      <c r="E15" s="31">
        <f>SUM(E16:E19)</f>
        <v>512331819</v>
      </c>
      <c r="F15" s="65"/>
    </row>
    <row r="16" spans="1:6" s="9" customFormat="1" ht="19" customHeight="1">
      <c r="A16" s="459" t="s">
        <v>695</v>
      </c>
      <c r="B16" s="33"/>
      <c r="C16" s="69"/>
      <c r="D16" s="69"/>
      <c r="E16" s="31">
        <v>483060007</v>
      </c>
      <c r="F16" s="65"/>
    </row>
    <row r="17" spans="1:6" s="9" customFormat="1" ht="19" customHeight="1">
      <c r="A17" s="459" t="s">
        <v>696</v>
      </c>
      <c r="B17" s="33"/>
      <c r="C17" s="67"/>
      <c r="D17" s="69"/>
      <c r="E17" s="31">
        <v>21553412</v>
      </c>
      <c r="F17" s="65"/>
    </row>
    <row r="18" spans="1:6" s="9" customFormat="1" ht="19" customHeight="1">
      <c r="A18" s="459" t="s">
        <v>1336</v>
      </c>
      <c r="B18" s="33"/>
      <c r="C18" s="69"/>
      <c r="D18" s="69"/>
      <c r="E18" s="66">
        <v>7156168</v>
      </c>
      <c r="F18" s="65"/>
    </row>
    <row r="19" spans="1:6" s="9" customFormat="1" ht="19" customHeight="1">
      <c r="A19" s="459" t="s">
        <v>698</v>
      </c>
      <c r="B19" s="33"/>
      <c r="C19" s="69"/>
      <c r="D19" s="69"/>
      <c r="E19" s="66">
        <v>562232</v>
      </c>
      <c r="F19" s="65"/>
    </row>
    <row r="20" spans="1:6" s="9" customFormat="1" ht="10.8" customHeight="1">
      <c r="A20" s="140"/>
      <c r="B20" s="33"/>
      <c r="C20" s="67"/>
      <c r="D20" s="64"/>
      <c r="E20" s="66"/>
      <c r="F20" s="65"/>
    </row>
    <row r="21" spans="1:6" s="30" customFormat="1" ht="19" customHeight="1">
      <c r="A21" s="458" t="s">
        <v>2</v>
      </c>
      <c r="B21" s="63"/>
      <c r="C21" s="64"/>
      <c r="D21" s="64"/>
      <c r="E21" s="27">
        <f>E22</f>
        <v>450783076</v>
      </c>
      <c r="F21" s="76"/>
    </row>
    <row r="22" spans="1:6" s="9" customFormat="1" ht="19" customHeight="1">
      <c r="A22" s="459" t="s">
        <v>694</v>
      </c>
      <c r="B22" s="33"/>
      <c r="C22" s="69"/>
      <c r="D22" s="69"/>
      <c r="E22" s="31">
        <f>SUM(E23:E26)</f>
        <v>450783076</v>
      </c>
      <c r="F22" s="65"/>
    </row>
    <row r="23" spans="1:6" s="9" customFormat="1" ht="19" customHeight="1">
      <c r="A23" s="459" t="s">
        <v>695</v>
      </c>
      <c r="B23" s="33"/>
      <c r="C23" s="69"/>
      <c r="D23" s="69"/>
      <c r="E23" s="78">
        <v>422565841</v>
      </c>
      <c r="F23" s="65"/>
    </row>
    <row r="24" spans="1:6" s="9" customFormat="1" ht="19" customHeight="1">
      <c r="A24" s="459" t="s">
        <v>696</v>
      </c>
      <c r="B24" s="33"/>
      <c r="C24" s="69"/>
      <c r="D24" s="69"/>
      <c r="E24" s="78">
        <v>20300207</v>
      </c>
      <c r="F24" s="65"/>
    </row>
    <row r="25" spans="1:6" s="9" customFormat="1" ht="19" customHeight="1">
      <c r="A25" s="459" t="s">
        <v>697</v>
      </c>
      <c r="B25" s="33"/>
      <c r="C25" s="69"/>
      <c r="D25" s="69"/>
      <c r="E25" s="78">
        <v>7383282</v>
      </c>
      <c r="F25" s="65"/>
    </row>
    <row r="26" spans="1:6" s="9" customFormat="1" ht="19" customHeight="1">
      <c r="A26" s="459" t="s">
        <v>698</v>
      </c>
      <c r="B26" s="33"/>
      <c r="C26" s="69"/>
      <c r="D26" s="69"/>
      <c r="E26" s="78">
        <v>533746</v>
      </c>
      <c r="F26" s="65"/>
    </row>
    <row r="27" spans="1:6" s="9" customFormat="1" ht="11.45" customHeight="1">
      <c r="A27" s="458"/>
      <c r="B27" s="33"/>
      <c r="C27" s="69"/>
      <c r="D27" s="69"/>
      <c r="E27" s="79"/>
      <c r="F27" s="65"/>
    </row>
    <row r="28" spans="1:6" s="30" customFormat="1" ht="19" customHeight="1">
      <c r="A28" s="458" t="s">
        <v>1116</v>
      </c>
      <c r="B28" s="63"/>
      <c r="C28" s="64"/>
      <c r="D28" s="64"/>
      <c r="E28" s="27">
        <f>E29</f>
        <v>423404481</v>
      </c>
      <c r="F28" s="76"/>
    </row>
    <row r="29" spans="1:6" s="9" customFormat="1" ht="19" customHeight="1">
      <c r="A29" s="459" t="s">
        <v>694</v>
      </c>
      <c r="B29" s="33"/>
      <c r="C29" s="69"/>
      <c r="D29" s="69"/>
      <c r="E29" s="31">
        <f>SUM(E30:E33)</f>
        <v>423404481</v>
      </c>
      <c r="F29" s="65"/>
    </row>
    <row r="30" spans="1:6" s="9" customFormat="1" ht="19" customHeight="1">
      <c r="A30" s="459" t="s">
        <v>695</v>
      </c>
      <c r="B30" s="33"/>
      <c r="C30" s="69"/>
      <c r="D30" s="69"/>
      <c r="E30" s="78">
        <v>396271221</v>
      </c>
      <c r="F30" s="65"/>
    </row>
    <row r="31" spans="1:6" s="9" customFormat="1" ht="19" customHeight="1">
      <c r="A31" s="459" t="s">
        <v>696</v>
      </c>
      <c r="B31" s="33"/>
      <c r="C31" s="69"/>
      <c r="D31" s="69"/>
      <c r="E31" s="78">
        <v>19252036</v>
      </c>
      <c r="F31" s="65"/>
    </row>
    <row r="32" spans="1:6" s="9" customFormat="1" ht="19" customHeight="1">
      <c r="A32" s="459" t="s">
        <v>697</v>
      </c>
      <c r="B32" s="33"/>
      <c r="C32" s="69"/>
      <c r="D32" s="69"/>
      <c r="E32" s="78">
        <v>7378009</v>
      </c>
      <c r="F32" s="65"/>
    </row>
    <row r="33" spans="1:6" s="9" customFormat="1" ht="19" customHeight="1">
      <c r="A33" s="459" t="s">
        <v>698</v>
      </c>
      <c r="B33" s="33"/>
      <c r="C33" s="69"/>
      <c r="D33" s="69"/>
      <c r="E33" s="78">
        <v>503215</v>
      </c>
      <c r="F33" s="65"/>
    </row>
    <row r="34" spans="1:6" s="9" customFormat="1" ht="10.15" customHeight="1">
      <c r="A34" s="458"/>
      <c r="B34" s="33"/>
      <c r="C34" s="69"/>
      <c r="D34" s="69"/>
      <c r="E34" s="79"/>
      <c r="F34" s="65"/>
    </row>
    <row r="35" spans="1:6" s="30" customFormat="1" ht="19" customHeight="1">
      <c r="A35" s="776" t="s">
        <v>1115</v>
      </c>
      <c r="B35" s="63"/>
      <c r="C35" s="64"/>
      <c r="D35" s="64"/>
      <c r="E35" s="27">
        <f>E36</f>
        <v>416716372</v>
      </c>
      <c r="F35" s="76"/>
    </row>
    <row r="36" spans="1:6" s="9" customFormat="1" ht="18" customHeight="1">
      <c r="A36" s="459" t="s">
        <v>694</v>
      </c>
      <c r="B36" s="33"/>
      <c r="C36" s="69"/>
      <c r="D36" s="69"/>
      <c r="E36" s="31">
        <f>SUM(E37:E40)-1</f>
        <v>416716372</v>
      </c>
      <c r="F36" s="65"/>
    </row>
    <row r="37" spans="1:6" s="9" customFormat="1" ht="20.95" customHeight="1">
      <c r="A37" s="459" t="s">
        <v>695</v>
      </c>
      <c r="B37" s="33"/>
      <c r="C37" s="69"/>
      <c r="D37" s="69"/>
      <c r="E37" s="78">
        <v>389544849</v>
      </c>
      <c r="F37" s="65"/>
    </row>
    <row r="38" spans="1:6" s="9" customFormat="1" ht="20.95" customHeight="1">
      <c r="A38" s="459" t="s">
        <v>696</v>
      </c>
      <c r="B38" s="33"/>
      <c r="C38" s="69"/>
      <c r="D38" s="69"/>
      <c r="E38" s="78">
        <v>19246459</v>
      </c>
      <c r="F38" s="65"/>
    </row>
    <row r="39" spans="1:6" s="9" customFormat="1" ht="21.6" customHeight="1">
      <c r="A39" s="459" t="s">
        <v>697</v>
      </c>
      <c r="B39" s="33"/>
      <c r="C39" s="69"/>
      <c r="D39" s="69"/>
      <c r="E39" s="78">
        <v>7432570</v>
      </c>
      <c r="F39" s="65"/>
    </row>
    <row r="40" spans="1:6" s="9" customFormat="1" ht="19" customHeight="1">
      <c r="A40" s="459" t="s">
        <v>698</v>
      </c>
      <c r="B40" s="33"/>
      <c r="C40" s="69"/>
      <c r="D40" s="69"/>
      <c r="E40" s="78">
        <v>492495</v>
      </c>
      <c r="F40" s="65"/>
    </row>
    <row r="41" spans="1:6" s="9" customFormat="1" ht="3.6" customHeight="1" thickBot="1">
      <c r="A41" s="198"/>
      <c r="B41" s="70"/>
      <c r="C41" s="71"/>
      <c r="D41" s="71"/>
      <c r="E41" s="299"/>
      <c r="F41" s="72"/>
    </row>
    <row r="42" spans="1:6" s="9" customFormat="1" ht="18.850000000000001" customHeight="1">
      <c r="A42" s="301"/>
      <c r="B42" s="300"/>
      <c r="C42" s="301"/>
      <c r="D42" s="301"/>
      <c r="E42" s="302"/>
      <c r="F42" s="301"/>
    </row>
  </sheetData>
  <mergeCells count="4">
    <mergeCell ref="A1:F1"/>
    <mergeCell ref="A2:F2"/>
    <mergeCell ref="A3:F3"/>
    <mergeCell ref="A4:F4"/>
  </mergeCells>
  <phoneticPr fontId="4"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35"/>
  <sheetViews>
    <sheetView view="pageBreakPreview" zoomScaleNormal="100" zoomScaleSheetLayoutView="100" workbookViewId="0">
      <selection activeCell="G31" sqref="G31"/>
    </sheetView>
  </sheetViews>
  <sheetFormatPr defaultColWidth="9" defaultRowHeight="15.0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7.125" style="2" customWidth="1"/>
    <col min="10" max="16384" width="9" style="2"/>
  </cols>
  <sheetData>
    <row r="1" spans="1:9" ht="22.25">
      <c r="A1" s="1051" t="s">
        <v>530</v>
      </c>
      <c r="B1" s="1051"/>
      <c r="C1" s="1051"/>
      <c r="D1" s="1051"/>
      <c r="E1" s="1051"/>
      <c r="F1" s="1051"/>
      <c r="G1" s="1051"/>
      <c r="H1" s="1051"/>
      <c r="I1" s="1051"/>
    </row>
    <row r="2" spans="1:9" ht="19.149999999999999" customHeight="1">
      <c r="A2" s="1051" t="s">
        <v>531</v>
      </c>
      <c r="B2" s="1051"/>
      <c r="C2" s="1051"/>
      <c r="D2" s="1051"/>
      <c r="E2" s="1051"/>
      <c r="F2" s="1051"/>
      <c r="G2" s="1051"/>
      <c r="H2" s="1051"/>
      <c r="I2" s="1051"/>
    </row>
    <row r="3" spans="1:9" ht="20" customHeight="1">
      <c r="A3" s="1053" t="s">
        <v>532</v>
      </c>
      <c r="B3" s="1053"/>
      <c r="C3" s="1053"/>
      <c r="D3" s="1053"/>
      <c r="E3" s="1053"/>
      <c r="F3" s="1053"/>
      <c r="G3" s="1053"/>
      <c r="H3" s="1053"/>
      <c r="I3" s="1053"/>
    </row>
    <row r="4" spans="1:9" ht="21.6" customHeight="1" thickBot="1">
      <c r="A4" s="667" t="s">
        <v>529</v>
      </c>
      <c r="B4" s="667"/>
      <c r="C4" s="667"/>
      <c r="D4" s="1253" t="s">
        <v>1118</v>
      </c>
      <c r="E4" s="1253"/>
      <c r="F4" s="667"/>
      <c r="G4" s="667"/>
      <c r="H4" s="1252" t="s">
        <v>533</v>
      </c>
      <c r="I4" s="1252"/>
    </row>
    <row r="5" spans="1:9" ht="18.850000000000001" customHeight="1">
      <c r="A5" s="677" t="s">
        <v>121</v>
      </c>
      <c r="B5" s="678" t="s">
        <v>122</v>
      </c>
      <c r="C5" s="1247" t="s">
        <v>132</v>
      </c>
      <c r="D5" s="1249" t="s">
        <v>82</v>
      </c>
      <c r="E5" s="1250"/>
      <c r="F5" s="1250"/>
      <c r="G5" s="1250"/>
      <c r="H5" s="1250"/>
      <c r="I5" s="1251"/>
    </row>
    <row r="6" spans="1:9" ht="29.95" customHeight="1">
      <c r="A6" s="679" t="s">
        <v>124</v>
      </c>
      <c r="B6" s="676" t="s">
        <v>65</v>
      </c>
      <c r="C6" s="1248"/>
      <c r="D6" s="674" t="s">
        <v>133</v>
      </c>
      <c r="E6" s="653" t="s">
        <v>506</v>
      </c>
      <c r="F6" s="425" t="s">
        <v>134</v>
      </c>
      <c r="G6" s="425" t="s">
        <v>135</v>
      </c>
      <c r="H6" s="425" t="s">
        <v>136</v>
      </c>
      <c r="I6" s="680" t="s">
        <v>137</v>
      </c>
    </row>
    <row r="7" spans="1:9" ht="9.65" customHeight="1">
      <c r="A7" s="681"/>
      <c r="B7" s="674"/>
      <c r="C7" s="675"/>
      <c r="D7" s="674"/>
      <c r="E7" s="425"/>
      <c r="F7" s="425"/>
      <c r="G7" s="425"/>
      <c r="H7" s="425"/>
      <c r="I7" s="680"/>
    </row>
    <row r="8" spans="1:9" s="195" customFormat="1" ht="27" customHeight="1">
      <c r="A8" s="682">
        <v>981649</v>
      </c>
      <c r="B8" s="659">
        <f>SUM(B9:B16)</f>
        <v>919933</v>
      </c>
      <c r="C8" s="700" t="s">
        <v>699</v>
      </c>
      <c r="D8" s="194">
        <f>SUM(D9:D16)</f>
        <v>976124</v>
      </c>
      <c r="E8" s="194">
        <f>SUM(E9:E16)</f>
        <v>2867</v>
      </c>
      <c r="F8" s="194">
        <f t="shared" ref="F8:I8" si="0">SUM(F9:F16)</f>
        <v>973257</v>
      </c>
      <c r="G8" s="194">
        <f t="shared" si="0"/>
        <v>0</v>
      </c>
      <c r="H8" s="194">
        <f t="shared" si="0"/>
        <v>0</v>
      </c>
      <c r="I8" s="683">
        <f t="shared" si="0"/>
        <v>0</v>
      </c>
    </row>
    <row r="9" spans="1:9" s="197" customFormat="1" ht="27" customHeight="1">
      <c r="A9" s="686">
        <v>2</v>
      </c>
      <c r="B9" s="661">
        <v>7</v>
      </c>
      <c r="C9" s="655" t="s">
        <v>717</v>
      </c>
      <c r="D9" s="196">
        <f>SUM(E9:I9)</f>
        <v>7</v>
      </c>
      <c r="E9" s="196">
        <v>7</v>
      </c>
      <c r="F9" s="654">
        <v>0</v>
      </c>
      <c r="G9" s="196">
        <v>0</v>
      </c>
      <c r="H9" s="196">
        <v>0</v>
      </c>
      <c r="I9" s="685">
        <v>0</v>
      </c>
    </row>
    <row r="10" spans="1:9" s="197" customFormat="1" ht="27" hidden="1" customHeight="1">
      <c r="A10" s="686">
        <v>0</v>
      </c>
      <c r="B10" s="661">
        <v>0</v>
      </c>
      <c r="C10" s="655" t="s">
        <v>718</v>
      </c>
      <c r="D10" s="196">
        <f>SUM(E10:I10)</f>
        <v>0</v>
      </c>
      <c r="E10" s="196">
        <v>0</v>
      </c>
      <c r="F10" s="654">
        <v>0</v>
      </c>
      <c r="G10" s="196">
        <v>0</v>
      </c>
      <c r="H10" s="196">
        <v>0</v>
      </c>
      <c r="I10" s="685">
        <v>0</v>
      </c>
    </row>
    <row r="11" spans="1:9" s="197" customFormat="1" ht="27" hidden="1" customHeight="1">
      <c r="A11" s="686">
        <v>0</v>
      </c>
      <c r="B11" s="661">
        <v>0</v>
      </c>
      <c r="C11" s="655" t="s">
        <v>719</v>
      </c>
      <c r="D11" s="196">
        <f>SUM(E11:I11)</f>
        <v>0</v>
      </c>
      <c r="E11" s="196">
        <v>0</v>
      </c>
      <c r="F11" s="654">
        <v>0</v>
      </c>
      <c r="G11" s="196">
        <v>0</v>
      </c>
      <c r="H11" s="196">
        <v>0</v>
      </c>
      <c r="I11" s="685">
        <v>0</v>
      </c>
    </row>
    <row r="12" spans="1:9" s="197" customFormat="1" ht="27" customHeight="1">
      <c r="A12" s="686">
        <v>0</v>
      </c>
      <c r="B12" s="660">
        <v>5</v>
      </c>
      <c r="C12" s="655" t="s">
        <v>720</v>
      </c>
      <c r="D12" s="196">
        <f t="shared" ref="D12:D20" si="1">SUM(E12:I12)</f>
        <v>0</v>
      </c>
      <c r="E12" s="196">
        <v>0</v>
      </c>
      <c r="F12" s="654">
        <v>0</v>
      </c>
      <c r="G12" s="196">
        <v>0</v>
      </c>
      <c r="H12" s="196">
        <v>0</v>
      </c>
      <c r="I12" s="685">
        <v>0</v>
      </c>
    </row>
    <row r="13" spans="1:9" s="197" customFormat="1" ht="27" customHeight="1">
      <c r="A13" s="684">
        <v>2747</v>
      </c>
      <c r="B13" s="660">
        <v>1889</v>
      </c>
      <c r="C13" s="655" t="s">
        <v>721</v>
      </c>
      <c r="D13" s="196">
        <f t="shared" si="1"/>
        <v>2195</v>
      </c>
      <c r="E13" s="196">
        <v>2195</v>
      </c>
      <c r="F13" s="654">
        <v>0</v>
      </c>
      <c r="G13" s="196">
        <v>0</v>
      </c>
      <c r="H13" s="196">
        <v>0</v>
      </c>
      <c r="I13" s="685">
        <v>0</v>
      </c>
    </row>
    <row r="14" spans="1:9" s="197" customFormat="1" ht="27" customHeight="1">
      <c r="A14" s="686">
        <v>0</v>
      </c>
      <c r="B14" s="660">
        <v>121</v>
      </c>
      <c r="C14" s="655" t="s">
        <v>722</v>
      </c>
      <c r="D14" s="196">
        <f t="shared" si="1"/>
        <v>121</v>
      </c>
      <c r="E14" s="196">
        <v>121</v>
      </c>
      <c r="F14" s="654">
        <v>0</v>
      </c>
      <c r="G14" s="196">
        <v>0</v>
      </c>
      <c r="H14" s="196">
        <v>0</v>
      </c>
      <c r="I14" s="685">
        <v>0</v>
      </c>
    </row>
    <row r="15" spans="1:9" s="197" customFormat="1" ht="27" customHeight="1">
      <c r="A15" s="684">
        <v>975580</v>
      </c>
      <c r="B15" s="660">
        <v>880734</v>
      </c>
      <c r="C15" s="655" t="s">
        <v>723</v>
      </c>
      <c r="D15" s="196">
        <f t="shared" si="1"/>
        <v>937596</v>
      </c>
      <c r="E15" s="196">
        <v>394</v>
      </c>
      <c r="F15" s="196">
        <v>937202</v>
      </c>
      <c r="G15" s="196">
        <v>0</v>
      </c>
      <c r="H15" s="196">
        <v>0</v>
      </c>
      <c r="I15" s="685">
        <v>0</v>
      </c>
    </row>
    <row r="16" spans="1:9" s="197" customFormat="1" ht="27" customHeight="1">
      <c r="A16" s="684">
        <v>3319</v>
      </c>
      <c r="B16" s="660">
        <v>37177</v>
      </c>
      <c r="C16" s="655" t="s">
        <v>724</v>
      </c>
      <c r="D16" s="196">
        <f t="shared" si="1"/>
        <v>36205</v>
      </c>
      <c r="E16" s="196">
        <v>150</v>
      </c>
      <c r="F16" s="196">
        <v>36055</v>
      </c>
      <c r="G16" s="196">
        <v>0</v>
      </c>
      <c r="H16" s="196">
        <v>0</v>
      </c>
      <c r="I16" s="685">
        <v>0</v>
      </c>
    </row>
    <row r="17" spans="1:9" s="195" customFormat="1" ht="27" hidden="1" customHeight="1">
      <c r="A17" s="687">
        <v>0</v>
      </c>
      <c r="B17" s="194">
        <f>B18</f>
        <v>0</v>
      </c>
      <c r="C17" s="700" t="s">
        <v>725</v>
      </c>
      <c r="D17" s="194">
        <f>D18</f>
        <v>0</v>
      </c>
      <c r="E17" s="194">
        <f t="shared" ref="E17:I19" si="2">E18</f>
        <v>0</v>
      </c>
      <c r="F17" s="194">
        <f t="shared" si="2"/>
        <v>0</v>
      </c>
      <c r="G17" s="194">
        <f t="shared" si="2"/>
        <v>0</v>
      </c>
      <c r="H17" s="194">
        <f t="shared" si="2"/>
        <v>0</v>
      </c>
      <c r="I17" s="683">
        <f t="shared" si="2"/>
        <v>0</v>
      </c>
    </row>
    <row r="18" spans="1:9" s="197" customFormat="1" ht="27" hidden="1" customHeight="1">
      <c r="A18" s="686">
        <v>0</v>
      </c>
      <c r="B18" s="196">
        <v>0</v>
      </c>
      <c r="C18" s="655" t="s">
        <v>726</v>
      </c>
      <c r="D18" s="196">
        <f t="shared" si="1"/>
        <v>0</v>
      </c>
      <c r="E18" s="196">
        <v>0</v>
      </c>
      <c r="F18" s="196">
        <v>0</v>
      </c>
      <c r="G18" s="196">
        <v>0</v>
      </c>
      <c r="H18" s="196">
        <v>0</v>
      </c>
      <c r="I18" s="685">
        <v>0</v>
      </c>
    </row>
    <row r="19" spans="1:9" s="195" customFormat="1" ht="27" customHeight="1">
      <c r="A19" s="682">
        <v>178014</v>
      </c>
      <c r="B19" s="659">
        <f>B20</f>
        <v>36635</v>
      </c>
      <c r="C19" s="700" t="s">
        <v>727</v>
      </c>
      <c r="D19" s="194">
        <f>D20</f>
        <v>32750</v>
      </c>
      <c r="E19" s="194">
        <f t="shared" si="2"/>
        <v>0</v>
      </c>
      <c r="F19" s="194">
        <f t="shared" si="2"/>
        <v>0</v>
      </c>
      <c r="G19" s="194">
        <f t="shared" si="2"/>
        <v>0</v>
      </c>
      <c r="H19" s="194">
        <f t="shared" si="2"/>
        <v>32750</v>
      </c>
      <c r="I19" s="683">
        <f t="shared" si="2"/>
        <v>0</v>
      </c>
    </row>
    <row r="20" spans="1:9" s="197" customFormat="1" ht="27" customHeight="1">
      <c r="A20" s="686">
        <v>178014</v>
      </c>
      <c r="B20" s="196">
        <v>36635</v>
      </c>
      <c r="C20" s="655" t="s">
        <v>728</v>
      </c>
      <c r="D20" s="196">
        <f t="shared" si="1"/>
        <v>32750</v>
      </c>
      <c r="E20" s="196">
        <v>0</v>
      </c>
      <c r="F20" s="196">
        <v>0</v>
      </c>
      <c r="G20" s="196">
        <v>0</v>
      </c>
      <c r="H20" s="196">
        <v>32750</v>
      </c>
      <c r="I20" s="685">
        <v>0</v>
      </c>
    </row>
    <row r="21" spans="1:9" s="195" customFormat="1" ht="27" customHeight="1">
      <c r="A21" s="687">
        <v>17664</v>
      </c>
      <c r="B21" s="194">
        <f>B22+B23</f>
        <v>17267</v>
      </c>
      <c r="C21" s="700" t="s">
        <v>729</v>
      </c>
      <c r="D21" s="194">
        <f>D22+D23</f>
        <v>17269</v>
      </c>
      <c r="E21" s="194">
        <f>E22+E23</f>
        <v>16763</v>
      </c>
      <c r="F21" s="194">
        <f t="shared" ref="F21:I21" si="3">F22+F23</f>
        <v>506</v>
      </c>
      <c r="G21" s="194">
        <f t="shared" si="3"/>
        <v>0</v>
      </c>
      <c r="H21" s="194">
        <f t="shared" si="3"/>
        <v>0</v>
      </c>
      <c r="I21" s="683">
        <f t="shared" si="3"/>
        <v>0</v>
      </c>
    </row>
    <row r="22" spans="1:9" s="197" customFormat="1" ht="27" customHeight="1">
      <c r="A22" s="686">
        <v>16551</v>
      </c>
      <c r="B22" s="196">
        <v>16154</v>
      </c>
      <c r="C22" s="655" t="s">
        <v>730</v>
      </c>
      <c r="D22" s="196">
        <f>SUM(E22:I22)</f>
        <v>16154</v>
      </c>
      <c r="E22" s="196">
        <v>16154</v>
      </c>
      <c r="F22" s="196">
        <v>0</v>
      </c>
      <c r="G22" s="196">
        <v>0</v>
      </c>
      <c r="H22" s="196">
        <v>0</v>
      </c>
      <c r="I22" s="685">
        <v>0</v>
      </c>
    </row>
    <row r="23" spans="1:9" s="197" customFormat="1" ht="27" customHeight="1">
      <c r="A23" s="686">
        <v>1114</v>
      </c>
      <c r="B23" s="196">
        <v>1113</v>
      </c>
      <c r="C23" s="655" t="s">
        <v>731</v>
      </c>
      <c r="D23" s="196">
        <f>SUM(E23:I23)</f>
        <v>1115</v>
      </c>
      <c r="E23" s="196">
        <v>609</v>
      </c>
      <c r="F23" s="196">
        <v>506</v>
      </c>
      <c r="G23" s="196">
        <v>0</v>
      </c>
      <c r="H23" s="196">
        <v>0</v>
      </c>
      <c r="I23" s="685">
        <v>0</v>
      </c>
    </row>
    <row r="24" spans="1:9" s="195" customFormat="1" ht="27" customHeight="1">
      <c r="A24" s="682">
        <v>1483</v>
      </c>
      <c r="B24" s="659">
        <f>SUM(B25:B27)</f>
        <v>701</v>
      </c>
      <c r="C24" s="700" t="s">
        <v>732</v>
      </c>
      <c r="D24" s="194">
        <f>D25+D26+D27</f>
        <v>1488</v>
      </c>
      <c r="E24" s="194">
        <f t="shared" ref="E24:I24" si="4">E25+E26+E27</f>
        <v>1488</v>
      </c>
      <c r="F24" s="194">
        <f t="shared" si="4"/>
        <v>0</v>
      </c>
      <c r="G24" s="194">
        <f t="shared" si="4"/>
        <v>0</v>
      </c>
      <c r="H24" s="194">
        <f t="shared" si="4"/>
        <v>0</v>
      </c>
      <c r="I24" s="683">
        <f t="shared" si="4"/>
        <v>0</v>
      </c>
    </row>
    <row r="25" spans="1:9" s="197" customFormat="1" ht="27" customHeight="1">
      <c r="A25" s="686">
        <v>1467</v>
      </c>
      <c r="B25" s="196">
        <v>689</v>
      </c>
      <c r="C25" s="655" t="s">
        <v>733</v>
      </c>
      <c r="D25" s="196">
        <f>SUM(E25:I25)</f>
        <v>1467</v>
      </c>
      <c r="E25" s="196">
        <v>1467</v>
      </c>
      <c r="F25" s="196">
        <v>0</v>
      </c>
      <c r="G25" s="196">
        <v>0</v>
      </c>
      <c r="H25" s="196">
        <v>0</v>
      </c>
      <c r="I25" s="685">
        <v>0</v>
      </c>
    </row>
    <row r="26" spans="1:9" s="197" customFormat="1" ht="27" customHeight="1">
      <c r="A26" s="684">
        <v>13</v>
      </c>
      <c r="B26" s="660">
        <v>4</v>
      </c>
      <c r="C26" s="655" t="s">
        <v>734</v>
      </c>
      <c r="D26" s="196">
        <f t="shared" ref="D26:D27" si="5">SUM(E26:I26)</f>
        <v>13</v>
      </c>
      <c r="E26" s="196">
        <v>13</v>
      </c>
      <c r="F26" s="196">
        <v>0</v>
      </c>
      <c r="G26" s="196">
        <v>0</v>
      </c>
      <c r="H26" s="196">
        <v>0</v>
      </c>
      <c r="I26" s="685">
        <v>0</v>
      </c>
    </row>
    <row r="27" spans="1:9" s="197" customFormat="1" ht="27" customHeight="1">
      <c r="A27" s="684">
        <v>2</v>
      </c>
      <c r="B27" s="660">
        <v>8</v>
      </c>
      <c r="C27" s="655" t="s">
        <v>735</v>
      </c>
      <c r="D27" s="196">
        <f t="shared" si="5"/>
        <v>8</v>
      </c>
      <c r="E27" s="196">
        <v>8</v>
      </c>
      <c r="F27" s="196">
        <v>0</v>
      </c>
      <c r="G27" s="196">
        <v>0</v>
      </c>
      <c r="H27" s="196">
        <v>0</v>
      </c>
      <c r="I27" s="685">
        <v>0</v>
      </c>
    </row>
    <row r="28" spans="1:9" s="195" customFormat="1" ht="27" customHeight="1">
      <c r="A28" s="682">
        <v>603129960</v>
      </c>
      <c r="B28" s="659">
        <f>SUM(B29:B31)</f>
        <v>520779854</v>
      </c>
      <c r="C28" s="700" t="s">
        <v>736</v>
      </c>
      <c r="D28" s="194">
        <f>D29+D30+D31</f>
        <v>529508697</v>
      </c>
      <c r="E28" s="194">
        <f>E29+E30+E31</f>
        <v>0</v>
      </c>
      <c r="F28" s="194">
        <f>F29+F30+F31</f>
        <v>0</v>
      </c>
      <c r="G28" s="194">
        <f>G30+G31+G29</f>
        <v>529456737</v>
      </c>
      <c r="H28" s="194">
        <f>H30+H31+H29</f>
        <v>51960</v>
      </c>
      <c r="I28" s="683">
        <v>0</v>
      </c>
    </row>
    <row r="29" spans="1:9" s="197" customFormat="1" ht="30.8" customHeight="1">
      <c r="A29" s="684">
        <v>76222483</v>
      </c>
      <c r="B29" s="196">
        <v>766785</v>
      </c>
      <c r="C29" s="655" t="s">
        <v>737</v>
      </c>
      <c r="D29" s="196">
        <f>SUM(E29:I29)</f>
        <v>750494</v>
      </c>
      <c r="E29" s="196">
        <v>0</v>
      </c>
      <c r="F29" s="196">
        <v>0</v>
      </c>
      <c r="G29" s="196">
        <v>750494</v>
      </c>
      <c r="H29" s="196">
        <v>0</v>
      </c>
      <c r="I29" s="685">
        <v>0</v>
      </c>
    </row>
    <row r="30" spans="1:9" s="197" customFormat="1" ht="29.3" customHeight="1">
      <c r="A30" s="684">
        <v>450834616</v>
      </c>
      <c r="B30" s="660">
        <v>512380499</v>
      </c>
      <c r="C30" s="655" t="s">
        <v>738</v>
      </c>
      <c r="D30" s="196">
        <f>SUM(E30:I30)</f>
        <v>522070878</v>
      </c>
      <c r="E30" s="196">
        <v>0</v>
      </c>
      <c r="F30" s="196">
        <v>0</v>
      </c>
      <c r="G30" s="196">
        <f>522019218-300</f>
        <v>522018918</v>
      </c>
      <c r="H30" s="196">
        <v>51960</v>
      </c>
      <c r="I30" s="685">
        <v>0</v>
      </c>
    </row>
    <row r="31" spans="1:9" s="197" customFormat="1" ht="32.25" customHeight="1">
      <c r="A31" s="684">
        <v>76072861</v>
      </c>
      <c r="B31" s="660">
        <v>7632570</v>
      </c>
      <c r="C31" s="655" t="s">
        <v>739</v>
      </c>
      <c r="D31" s="196">
        <f>SUM(E31:I31)</f>
        <v>6687325</v>
      </c>
      <c r="E31" s="196">
        <v>0</v>
      </c>
      <c r="F31" s="196">
        <v>0</v>
      </c>
      <c r="G31" s="196">
        <v>6687325</v>
      </c>
      <c r="H31" s="196">
        <v>0</v>
      </c>
      <c r="I31" s="685">
        <v>0</v>
      </c>
    </row>
    <row r="32" spans="1:9" s="195" customFormat="1" ht="27" customHeight="1">
      <c r="A32" s="682">
        <v>2141111</v>
      </c>
      <c r="B32" s="659">
        <f>SUM(B33:B33)</f>
        <v>2897625</v>
      </c>
      <c r="C32" s="700" t="s">
        <v>740</v>
      </c>
      <c r="D32" s="194">
        <f>D33</f>
        <v>3428252</v>
      </c>
      <c r="E32" s="194">
        <f>E33</f>
        <v>162</v>
      </c>
      <c r="F32" s="194">
        <f t="shared" ref="F32:I32" si="6">F33</f>
        <v>0</v>
      </c>
      <c r="G32" s="194">
        <f t="shared" si="6"/>
        <v>0</v>
      </c>
      <c r="H32" s="194">
        <f t="shared" si="6"/>
        <v>3428053</v>
      </c>
      <c r="I32" s="683">
        <f t="shared" si="6"/>
        <v>37</v>
      </c>
    </row>
    <row r="33" spans="1:9" s="197" customFormat="1" ht="27.65" customHeight="1">
      <c r="A33" s="686">
        <v>2141111</v>
      </c>
      <c r="B33" s="196">
        <v>2897625</v>
      </c>
      <c r="C33" s="655" t="s">
        <v>741</v>
      </c>
      <c r="D33" s="196">
        <f>SUM(E33:I33)</f>
        <v>3428252</v>
      </c>
      <c r="E33" s="196">
        <v>162</v>
      </c>
      <c r="F33" s="196">
        <v>0</v>
      </c>
      <c r="G33" s="196">
        <v>0</v>
      </c>
      <c r="H33" s="196">
        <v>3428053</v>
      </c>
      <c r="I33" s="688">
        <v>37</v>
      </c>
    </row>
    <row r="34" spans="1:9" s="197" customFormat="1" ht="24.55" customHeight="1" thickBot="1">
      <c r="A34" s="689">
        <v>606449881</v>
      </c>
      <c r="B34" s="690">
        <f>+B8+B17+B19+B21+B24+B28+B32</f>
        <v>524652015</v>
      </c>
      <c r="C34" s="741" t="s">
        <v>742</v>
      </c>
      <c r="D34" s="690">
        <f>+D8+D17+D19+D21+D24+D28+D32</f>
        <v>533964580</v>
      </c>
      <c r="E34" s="690">
        <f>+E8+E17+E19+E21+E24+E28+E32</f>
        <v>21280</v>
      </c>
      <c r="F34" s="690">
        <f>+F8+F17+F19+F21+F24+F28+F32</f>
        <v>973763</v>
      </c>
      <c r="G34" s="690">
        <f>+G8+G17+G19+G21+G24+G28+G32</f>
        <v>529456737</v>
      </c>
      <c r="H34" s="690">
        <f t="shared" ref="H34:I34" si="7">+H8+H17+H19+H21+H24+H28+H32</f>
        <v>3512763</v>
      </c>
      <c r="I34" s="711">
        <f t="shared" si="7"/>
        <v>37</v>
      </c>
    </row>
    <row r="35" spans="1:9">
      <c r="A35" s="794"/>
    </row>
  </sheetData>
  <mergeCells count="7">
    <mergeCell ref="C5:C6"/>
    <mergeCell ref="D5:I5"/>
    <mergeCell ref="A1:I1"/>
    <mergeCell ref="A2:I2"/>
    <mergeCell ref="A3:I3"/>
    <mergeCell ref="H4:I4"/>
    <mergeCell ref="D4:E4"/>
  </mergeCells>
  <phoneticPr fontId="4" type="noConversion"/>
  <printOptions horizontalCentered="1"/>
  <pageMargins left="0.59055118110236227" right="0.59055118110236227" top="0.59055118110236227" bottom="0.78740157480314965" header="0.51181102362204722" footer="0.51181102362204722"/>
  <pageSetup paperSize="9" firstPageNumber="48"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34"/>
  <sheetViews>
    <sheetView view="pageBreakPreview" zoomScaleNormal="100" zoomScaleSheetLayoutView="100" workbookViewId="0">
      <pane xSplit="1" ySplit="6" topLeftCell="B7" activePane="bottomRight" state="frozen"/>
      <selection activeCell="C18" sqref="C18"/>
      <selection pane="topRight" activeCell="C18" sqref="C18"/>
      <selection pane="bottomLeft" activeCell="C18" sqref="C18"/>
      <selection pane="bottomRight" activeCell="L31" sqref="L31"/>
    </sheetView>
  </sheetViews>
  <sheetFormatPr defaultColWidth="9" defaultRowHeight="15.05"/>
  <cols>
    <col min="1" max="1" width="24.375" style="2" bestFit="1" customWidth="1"/>
    <col min="2" max="2" width="13.375" style="2" customWidth="1"/>
    <col min="3" max="3" width="12.625" style="2" customWidth="1"/>
    <col min="4" max="4" width="9.5" style="2" customWidth="1"/>
    <col min="5" max="5" width="12.5" style="2" customWidth="1"/>
    <col min="6" max="6" width="8.625" style="2" customWidth="1"/>
    <col min="7" max="7" width="9"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2.25">
      <c r="A1" s="1051" t="s">
        <v>62</v>
      </c>
      <c r="B1" s="1051"/>
      <c r="C1" s="1051"/>
      <c r="D1" s="1051"/>
      <c r="E1" s="1051"/>
      <c r="F1" s="1051"/>
      <c r="G1" s="1051"/>
      <c r="H1" s="1051"/>
      <c r="I1" s="1051"/>
      <c r="J1" s="1051"/>
      <c r="K1" s="1051"/>
      <c r="L1" s="1051"/>
      <c r="M1" s="1051"/>
      <c r="N1" s="1051"/>
    </row>
    <row r="2" spans="1:14" ht="22.25">
      <c r="A2" s="1051" t="s">
        <v>138</v>
      </c>
      <c r="B2" s="1051"/>
      <c r="C2" s="1051"/>
      <c r="D2" s="1051"/>
      <c r="E2" s="1051"/>
      <c r="F2" s="1051"/>
      <c r="G2" s="1051"/>
      <c r="H2" s="1051"/>
      <c r="I2" s="1051"/>
      <c r="J2" s="1051"/>
      <c r="K2" s="1051"/>
      <c r="L2" s="1051"/>
      <c r="M2" s="1051"/>
      <c r="N2" s="1051"/>
    </row>
    <row r="3" spans="1:14" ht="21.6" customHeight="1">
      <c r="B3" s="147"/>
      <c r="C3" s="147"/>
      <c r="D3" s="147"/>
      <c r="E3" s="147"/>
      <c r="F3" s="1261" t="s">
        <v>139</v>
      </c>
      <c r="G3" s="1261"/>
      <c r="H3" s="1261"/>
      <c r="I3" s="1261"/>
      <c r="J3" s="1261"/>
      <c r="K3" s="147"/>
      <c r="L3" s="147"/>
      <c r="M3" s="147"/>
      <c r="N3" s="147"/>
    </row>
    <row r="4" spans="1:14" ht="22.25" customHeight="1" thickBot="1">
      <c r="B4" s="4"/>
      <c r="C4" s="4"/>
      <c r="D4" s="4"/>
      <c r="E4" s="4"/>
      <c r="F4" s="1253" t="s">
        <v>1117</v>
      </c>
      <c r="G4" s="1253"/>
      <c r="H4" s="1253"/>
      <c r="I4" s="1253"/>
      <c r="J4" s="1253"/>
      <c r="K4" s="4"/>
      <c r="M4" s="4"/>
      <c r="N4" s="668" t="s">
        <v>140</v>
      </c>
    </row>
    <row r="5" spans="1:14" ht="27.65" customHeight="1">
      <c r="A5" s="1259" t="s">
        <v>132</v>
      </c>
      <c r="B5" s="1256" t="s">
        <v>133</v>
      </c>
      <c r="C5" s="1254" t="s">
        <v>602</v>
      </c>
      <c r="D5" s="1255"/>
      <c r="E5" s="1255"/>
      <c r="F5" s="1255"/>
      <c r="G5" s="1258"/>
      <c r="H5" s="1254" t="s">
        <v>603</v>
      </c>
      <c r="I5" s="1262"/>
      <c r="J5" s="1263"/>
      <c r="K5" s="1254" t="s">
        <v>604</v>
      </c>
      <c r="L5" s="1255"/>
      <c r="M5" s="1255"/>
      <c r="N5" s="995" t="s">
        <v>1194</v>
      </c>
    </row>
    <row r="6" spans="1:14" ht="32.25" customHeight="1">
      <c r="A6" s="1260"/>
      <c r="B6" s="1257"/>
      <c r="C6" s="703" t="s">
        <v>141</v>
      </c>
      <c r="D6" s="425" t="s">
        <v>134</v>
      </c>
      <c r="E6" s="425" t="s">
        <v>135</v>
      </c>
      <c r="F6" s="425" t="s">
        <v>136</v>
      </c>
      <c r="G6" s="426" t="s">
        <v>137</v>
      </c>
      <c r="H6" s="703" t="s">
        <v>141</v>
      </c>
      <c r="I6" s="656" t="s">
        <v>507</v>
      </c>
      <c r="J6" s="426" t="s">
        <v>134</v>
      </c>
      <c r="K6" s="703" t="s">
        <v>141</v>
      </c>
      <c r="L6" s="425" t="s">
        <v>135</v>
      </c>
      <c r="M6" s="425" t="s">
        <v>136</v>
      </c>
      <c r="N6" s="680" t="s">
        <v>136</v>
      </c>
    </row>
    <row r="7" spans="1:14" ht="5.4" customHeight="1">
      <c r="A7" s="7"/>
      <c r="B7" s="703"/>
      <c r="C7" s="84"/>
      <c r="D7" s="425"/>
      <c r="E7" s="425"/>
      <c r="F7" s="425"/>
      <c r="G7" s="426"/>
      <c r="H7" s="84"/>
      <c r="I7" s="426"/>
      <c r="J7" s="426"/>
      <c r="K7" s="84"/>
      <c r="L7" s="425"/>
      <c r="M7" s="425"/>
      <c r="N7" s="680"/>
    </row>
    <row r="8" spans="1:14" s="195" customFormat="1" ht="26.2" customHeight="1">
      <c r="A8" s="701" t="s">
        <v>699</v>
      </c>
      <c r="B8" s="194">
        <f>SUM(B9:B16)</f>
        <v>976124</v>
      </c>
      <c r="C8" s="194">
        <f>SUM(D8:G8)</f>
        <v>68000</v>
      </c>
      <c r="D8" s="194">
        <f t="shared" ref="D8:J8" si="0">SUM(D9:D16)</f>
        <v>68000</v>
      </c>
      <c r="E8" s="194">
        <f t="shared" si="0"/>
        <v>0</v>
      </c>
      <c r="F8" s="194">
        <f t="shared" si="0"/>
        <v>0</v>
      </c>
      <c r="G8" s="194">
        <f t="shared" si="0"/>
        <v>0</v>
      </c>
      <c r="H8" s="194">
        <f>SUM(I8:J8)</f>
        <v>908124</v>
      </c>
      <c r="I8" s="194">
        <f t="shared" si="0"/>
        <v>2867</v>
      </c>
      <c r="J8" s="194">
        <f t="shared" si="0"/>
        <v>905257</v>
      </c>
      <c r="K8" s="194">
        <f t="shared" ref="K8:K34" si="1">SUM(L8:M8)</f>
        <v>0</v>
      </c>
      <c r="L8" s="194">
        <f>SUM(L9:L16)</f>
        <v>0</v>
      </c>
      <c r="M8" s="335">
        <f>SUM(M9:M16)</f>
        <v>0</v>
      </c>
      <c r="N8" s="683">
        <f>SUM(N9:N16)</f>
        <v>0</v>
      </c>
    </row>
    <row r="9" spans="1:14" s="197" customFormat="1" ht="26.05" customHeight="1">
      <c r="A9" s="691" t="s">
        <v>700</v>
      </c>
      <c r="B9" s="196">
        <f>+C9+H9+K9+N9</f>
        <v>7</v>
      </c>
      <c r="C9" s="196">
        <f t="shared" ref="C9:C34" si="2">SUM(D9:G9)</f>
        <v>0</v>
      </c>
      <c r="D9" s="196">
        <v>0</v>
      </c>
      <c r="E9" s="196">
        <v>0</v>
      </c>
      <c r="F9" s="196">
        <v>0</v>
      </c>
      <c r="G9" s="196">
        <v>0</v>
      </c>
      <c r="H9" s="196">
        <f>SUM(I9:J9)</f>
        <v>7</v>
      </c>
      <c r="I9" s="196">
        <v>7</v>
      </c>
      <c r="J9" s="196">
        <v>0</v>
      </c>
      <c r="K9" s="196">
        <f t="shared" si="1"/>
        <v>0</v>
      </c>
      <c r="L9" s="196">
        <v>0</v>
      </c>
      <c r="M9" s="336">
        <v>0</v>
      </c>
      <c r="N9" s="685">
        <v>0</v>
      </c>
    </row>
    <row r="10" spans="1:14" s="197" customFormat="1" ht="29.95" hidden="1" customHeight="1">
      <c r="A10" s="691" t="s">
        <v>593</v>
      </c>
      <c r="B10" s="196">
        <f t="shared" ref="B10:B16" si="3">+C10+H10+K10+N10</f>
        <v>0</v>
      </c>
      <c r="C10" s="196">
        <f t="shared" ref="C10" si="4">SUM(D10:G10)</f>
        <v>0</v>
      </c>
      <c r="D10" s="196">
        <v>0</v>
      </c>
      <c r="E10" s="196">
        <v>0</v>
      </c>
      <c r="F10" s="196">
        <v>0</v>
      </c>
      <c r="G10" s="196">
        <v>0</v>
      </c>
      <c r="H10" s="196">
        <f>SUM(I10:J10)</f>
        <v>0</v>
      </c>
      <c r="I10" s="196">
        <v>0</v>
      </c>
      <c r="J10" s="196">
        <v>0</v>
      </c>
      <c r="K10" s="196">
        <f t="shared" ref="K10" si="5">SUM(L10:M10)</f>
        <v>0</v>
      </c>
      <c r="L10" s="196">
        <v>0</v>
      </c>
      <c r="M10" s="336">
        <v>0</v>
      </c>
      <c r="N10" s="685">
        <v>0</v>
      </c>
    </row>
    <row r="11" spans="1:14" s="197" customFormat="1" ht="29.95" hidden="1" customHeight="1">
      <c r="A11" s="691" t="s">
        <v>775</v>
      </c>
      <c r="B11" s="196">
        <f t="shared" si="3"/>
        <v>0</v>
      </c>
      <c r="C11" s="196">
        <f t="shared" ref="C11" si="6">SUM(D11:G11)</f>
        <v>0</v>
      </c>
      <c r="D11" s="196">
        <v>0</v>
      </c>
      <c r="E11" s="196">
        <v>0</v>
      </c>
      <c r="F11" s="196">
        <v>0</v>
      </c>
      <c r="G11" s="196">
        <v>0</v>
      </c>
      <c r="H11" s="196">
        <f t="shared" ref="H11:H24" si="7">SUM(I11:J11)</f>
        <v>0</v>
      </c>
      <c r="I11" s="196">
        <v>0</v>
      </c>
      <c r="J11" s="196">
        <v>0</v>
      </c>
      <c r="K11" s="196">
        <f t="shared" ref="K11" si="8">SUM(L11:M11)</f>
        <v>0</v>
      </c>
      <c r="L11" s="196">
        <v>0</v>
      </c>
      <c r="M11" s="336">
        <v>0</v>
      </c>
      <c r="N11" s="685">
        <v>0</v>
      </c>
    </row>
    <row r="12" spans="1:14" s="197" customFormat="1" ht="31.6" hidden="1" customHeight="1">
      <c r="A12" s="691" t="s">
        <v>701</v>
      </c>
      <c r="B12" s="196">
        <f t="shared" si="3"/>
        <v>0</v>
      </c>
      <c r="C12" s="196">
        <f t="shared" si="2"/>
        <v>0</v>
      </c>
      <c r="D12" s="196">
        <v>0</v>
      </c>
      <c r="E12" s="196">
        <v>0</v>
      </c>
      <c r="F12" s="196">
        <v>0</v>
      </c>
      <c r="G12" s="196">
        <v>0</v>
      </c>
      <c r="H12" s="196">
        <f t="shared" si="7"/>
        <v>0</v>
      </c>
      <c r="I12" s="196">
        <v>0</v>
      </c>
      <c r="J12" s="196">
        <v>0</v>
      </c>
      <c r="K12" s="196">
        <f t="shared" si="1"/>
        <v>0</v>
      </c>
      <c r="L12" s="196">
        <v>0</v>
      </c>
      <c r="M12" s="336">
        <v>0</v>
      </c>
      <c r="N12" s="685">
        <v>0</v>
      </c>
    </row>
    <row r="13" spans="1:14" s="197" customFormat="1" ht="27" customHeight="1">
      <c r="A13" s="691" t="s">
        <v>702</v>
      </c>
      <c r="B13" s="196">
        <f t="shared" si="3"/>
        <v>2195</v>
      </c>
      <c r="C13" s="196">
        <f t="shared" si="2"/>
        <v>0</v>
      </c>
      <c r="D13" s="196">
        <v>0</v>
      </c>
      <c r="E13" s="196">
        <v>0</v>
      </c>
      <c r="F13" s="196">
        <v>0</v>
      </c>
      <c r="G13" s="196">
        <v>0</v>
      </c>
      <c r="H13" s="196">
        <f t="shared" si="7"/>
        <v>2195</v>
      </c>
      <c r="I13" s="196">
        <v>2195</v>
      </c>
      <c r="J13" s="196">
        <v>0</v>
      </c>
      <c r="K13" s="196">
        <f t="shared" si="1"/>
        <v>0</v>
      </c>
      <c r="L13" s="196">
        <v>0</v>
      </c>
      <c r="M13" s="336">
        <v>0</v>
      </c>
      <c r="N13" s="685">
        <v>0</v>
      </c>
    </row>
    <row r="14" spans="1:14" s="197" customFormat="1" ht="27.85" customHeight="1">
      <c r="A14" s="691" t="s">
        <v>703</v>
      </c>
      <c r="B14" s="196">
        <f t="shared" si="3"/>
        <v>121</v>
      </c>
      <c r="C14" s="196">
        <f t="shared" si="2"/>
        <v>0</v>
      </c>
      <c r="D14" s="196">
        <v>0</v>
      </c>
      <c r="E14" s="196">
        <v>0</v>
      </c>
      <c r="F14" s="196">
        <v>0</v>
      </c>
      <c r="G14" s="196">
        <v>0</v>
      </c>
      <c r="H14" s="196">
        <f t="shared" si="7"/>
        <v>121</v>
      </c>
      <c r="I14" s="196">
        <v>121</v>
      </c>
      <c r="J14" s="196">
        <v>0</v>
      </c>
      <c r="K14" s="196">
        <f t="shared" si="1"/>
        <v>0</v>
      </c>
      <c r="L14" s="196">
        <v>0</v>
      </c>
      <c r="M14" s="336">
        <v>0</v>
      </c>
      <c r="N14" s="685">
        <v>0</v>
      </c>
    </row>
    <row r="15" spans="1:14" s="197" customFormat="1" ht="27" customHeight="1">
      <c r="A15" s="691" t="s">
        <v>704</v>
      </c>
      <c r="B15" s="196">
        <f t="shared" si="3"/>
        <v>937596</v>
      </c>
      <c r="C15" s="196">
        <f t="shared" si="2"/>
        <v>68000</v>
      </c>
      <c r="D15" s="196">
        <v>68000</v>
      </c>
      <c r="E15" s="196">
        <v>0</v>
      </c>
      <c r="F15" s="196">
        <v>0</v>
      </c>
      <c r="G15" s="196">
        <v>0</v>
      </c>
      <c r="H15" s="196">
        <f t="shared" si="7"/>
        <v>869596</v>
      </c>
      <c r="I15" s="196">
        <v>394</v>
      </c>
      <c r="J15" s="196">
        <v>869202</v>
      </c>
      <c r="K15" s="196">
        <f t="shared" si="1"/>
        <v>0</v>
      </c>
      <c r="L15" s="196">
        <v>0</v>
      </c>
      <c r="M15" s="336">
        <v>0</v>
      </c>
      <c r="N15" s="685">
        <v>0</v>
      </c>
    </row>
    <row r="16" spans="1:14" s="197" customFormat="1" ht="29.95" customHeight="1">
      <c r="A16" s="691" t="s">
        <v>705</v>
      </c>
      <c r="B16" s="196">
        <f t="shared" si="3"/>
        <v>36205</v>
      </c>
      <c r="C16" s="196">
        <f t="shared" si="2"/>
        <v>0</v>
      </c>
      <c r="D16" s="196">
        <v>0</v>
      </c>
      <c r="E16" s="196">
        <v>0</v>
      </c>
      <c r="F16" s="196">
        <v>0</v>
      </c>
      <c r="G16" s="196">
        <v>0</v>
      </c>
      <c r="H16" s="196">
        <f t="shared" si="7"/>
        <v>36205</v>
      </c>
      <c r="I16" s="196">
        <v>150</v>
      </c>
      <c r="J16" s="196">
        <v>36055</v>
      </c>
      <c r="K16" s="196">
        <f t="shared" si="1"/>
        <v>0</v>
      </c>
      <c r="L16" s="196">
        <v>0</v>
      </c>
      <c r="M16" s="336">
        <v>0</v>
      </c>
      <c r="N16" s="685">
        <v>0</v>
      </c>
    </row>
    <row r="17" spans="1:14" s="195" customFormat="1" ht="27.85" hidden="1" customHeight="1">
      <c r="A17" s="701" t="s">
        <v>592</v>
      </c>
      <c r="B17" s="194">
        <f>+B18</f>
        <v>0</v>
      </c>
      <c r="C17" s="194">
        <f>SUM(D17:G17)</f>
        <v>0</v>
      </c>
      <c r="D17" s="194">
        <f t="shared" ref="D17:J19" si="9">D18</f>
        <v>0</v>
      </c>
      <c r="E17" s="194">
        <f t="shared" si="9"/>
        <v>0</v>
      </c>
      <c r="F17" s="194">
        <f t="shared" si="9"/>
        <v>0</v>
      </c>
      <c r="G17" s="194">
        <f t="shared" si="9"/>
        <v>0</v>
      </c>
      <c r="H17" s="194">
        <f t="shared" ref="H17:H18" si="10">SUM(I17:J17)</f>
        <v>0</v>
      </c>
      <c r="I17" s="194">
        <f t="shared" si="9"/>
        <v>0</v>
      </c>
      <c r="J17" s="194">
        <f t="shared" si="9"/>
        <v>0</v>
      </c>
      <c r="K17" s="194">
        <f t="shared" ref="K17:K18" si="11">SUM(L17:M17)</f>
        <v>0</v>
      </c>
      <c r="L17" s="194">
        <f>L18</f>
        <v>0</v>
      </c>
      <c r="M17" s="335">
        <f>M18</f>
        <v>0</v>
      </c>
      <c r="N17" s="683">
        <f>N18</f>
        <v>0</v>
      </c>
    </row>
    <row r="18" spans="1:14" s="197" customFormat="1" ht="24.05" hidden="1" customHeight="1">
      <c r="A18" s="691" t="s">
        <v>706</v>
      </c>
      <c r="B18" s="196">
        <f>+C18+H18+K18+N18</f>
        <v>0</v>
      </c>
      <c r="C18" s="196">
        <f t="shared" ref="C18" si="12">SUM(D18:G18)</f>
        <v>0</v>
      </c>
      <c r="D18" s="196">
        <v>0</v>
      </c>
      <c r="E18" s="196">
        <v>0</v>
      </c>
      <c r="F18" s="196">
        <v>0</v>
      </c>
      <c r="G18" s="196">
        <v>0</v>
      </c>
      <c r="H18" s="196">
        <f t="shared" si="10"/>
        <v>0</v>
      </c>
      <c r="I18" s="196">
        <v>0</v>
      </c>
      <c r="J18" s="196">
        <v>0</v>
      </c>
      <c r="K18" s="196">
        <f t="shared" si="11"/>
        <v>0</v>
      </c>
      <c r="L18" s="196">
        <v>0</v>
      </c>
      <c r="M18" s="336">
        <v>0</v>
      </c>
      <c r="N18" s="685">
        <v>0</v>
      </c>
    </row>
    <row r="19" spans="1:14" s="195" customFormat="1" ht="28.15" customHeight="1">
      <c r="A19" s="701" t="s">
        <v>707</v>
      </c>
      <c r="B19" s="194">
        <f>+B20</f>
        <v>32750</v>
      </c>
      <c r="C19" s="194">
        <f>SUM(D19:G19)</f>
        <v>32750</v>
      </c>
      <c r="D19" s="194">
        <f t="shared" si="9"/>
        <v>0</v>
      </c>
      <c r="E19" s="194">
        <f t="shared" si="9"/>
        <v>0</v>
      </c>
      <c r="F19" s="194">
        <f t="shared" si="9"/>
        <v>32750</v>
      </c>
      <c r="G19" s="194">
        <f t="shared" si="9"/>
        <v>0</v>
      </c>
      <c r="H19" s="194">
        <f t="shared" si="7"/>
        <v>0</v>
      </c>
      <c r="I19" s="194">
        <f t="shared" si="9"/>
        <v>0</v>
      </c>
      <c r="J19" s="194">
        <f t="shared" si="9"/>
        <v>0</v>
      </c>
      <c r="K19" s="194">
        <f t="shared" si="1"/>
        <v>0</v>
      </c>
      <c r="L19" s="194">
        <f>L20</f>
        <v>0</v>
      </c>
      <c r="M19" s="335">
        <f>M20</f>
        <v>0</v>
      </c>
      <c r="N19" s="683">
        <f>N20</f>
        <v>0</v>
      </c>
    </row>
    <row r="20" spans="1:14" s="197" customFormat="1" ht="24.05" customHeight="1">
      <c r="A20" s="691" t="s">
        <v>708</v>
      </c>
      <c r="B20" s="196">
        <f>+C20+H20+K20+N20</f>
        <v>32750</v>
      </c>
      <c r="C20" s="196">
        <f t="shared" si="2"/>
        <v>32750</v>
      </c>
      <c r="D20" s="196">
        <v>0</v>
      </c>
      <c r="E20" s="196">
        <v>0</v>
      </c>
      <c r="F20" s="196">
        <v>32750</v>
      </c>
      <c r="G20" s="196">
        <v>0</v>
      </c>
      <c r="H20" s="196">
        <f t="shared" si="7"/>
        <v>0</v>
      </c>
      <c r="I20" s="196">
        <v>0</v>
      </c>
      <c r="J20" s="196">
        <v>0</v>
      </c>
      <c r="K20" s="196">
        <f t="shared" si="1"/>
        <v>0</v>
      </c>
      <c r="L20" s="196">
        <v>0</v>
      </c>
      <c r="M20" s="336">
        <v>0</v>
      </c>
      <c r="N20" s="685">
        <v>0</v>
      </c>
    </row>
    <row r="21" spans="1:14" s="195" customFormat="1" ht="29.95" customHeight="1">
      <c r="A21" s="701" t="s">
        <v>743</v>
      </c>
      <c r="B21" s="194">
        <f>+B22+B23</f>
        <v>17269</v>
      </c>
      <c r="C21" s="194">
        <f>SUM(D21:G21)</f>
        <v>0</v>
      </c>
      <c r="D21" s="194">
        <f t="shared" ref="D21:G21" si="13">D23</f>
        <v>0</v>
      </c>
      <c r="E21" s="194">
        <f t="shared" si="13"/>
        <v>0</v>
      </c>
      <c r="F21" s="194">
        <f t="shared" si="13"/>
        <v>0</v>
      </c>
      <c r="G21" s="194">
        <f t="shared" si="13"/>
        <v>0</v>
      </c>
      <c r="H21" s="194">
        <f t="shared" si="7"/>
        <v>17269</v>
      </c>
      <c r="I21" s="194">
        <f>I22+I23</f>
        <v>16763</v>
      </c>
      <c r="J21" s="194">
        <f>J22+J23</f>
        <v>506</v>
      </c>
      <c r="K21" s="194">
        <f t="shared" ref="K21:K23" si="14">SUM(L21:M21)</f>
        <v>0</v>
      </c>
      <c r="L21" s="194">
        <f>L23</f>
        <v>0</v>
      </c>
      <c r="M21" s="335">
        <f>M23</f>
        <v>0</v>
      </c>
      <c r="N21" s="683">
        <f>N23</f>
        <v>0</v>
      </c>
    </row>
    <row r="22" spans="1:14" s="197" customFormat="1" ht="28.15" customHeight="1">
      <c r="A22" s="691" t="s">
        <v>744</v>
      </c>
      <c r="B22" s="196">
        <f>+C22+H22+K22+N22</f>
        <v>16154</v>
      </c>
      <c r="C22" s="196">
        <f t="shared" ref="C22" si="15">SUM(D22:G22)</f>
        <v>0</v>
      </c>
      <c r="D22" s="196">
        <v>0</v>
      </c>
      <c r="E22" s="196">
        <v>0</v>
      </c>
      <c r="F22" s="196">
        <v>0</v>
      </c>
      <c r="G22" s="196">
        <v>0</v>
      </c>
      <c r="H22" s="196">
        <f t="shared" si="7"/>
        <v>16154</v>
      </c>
      <c r="I22" s="196">
        <v>16154</v>
      </c>
      <c r="J22" s="196">
        <v>0</v>
      </c>
      <c r="K22" s="196">
        <f t="shared" ref="K22" si="16">SUM(L22:M22)</f>
        <v>0</v>
      </c>
      <c r="L22" s="196">
        <v>0</v>
      </c>
      <c r="M22" s="336">
        <v>0</v>
      </c>
      <c r="N22" s="685">
        <v>0</v>
      </c>
    </row>
    <row r="23" spans="1:14" s="197" customFormat="1" ht="29.95" customHeight="1">
      <c r="A23" s="691" t="s">
        <v>745</v>
      </c>
      <c r="B23" s="196">
        <f>+C23+H23+K23+N23</f>
        <v>1115</v>
      </c>
      <c r="C23" s="196">
        <f t="shared" ref="C23" si="17">SUM(D23:G23)</f>
        <v>0</v>
      </c>
      <c r="D23" s="196">
        <v>0</v>
      </c>
      <c r="E23" s="196">
        <v>0</v>
      </c>
      <c r="F23" s="196">
        <v>0</v>
      </c>
      <c r="G23" s="196">
        <v>0</v>
      </c>
      <c r="H23" s="196">
        <f t="shared" si="7"/>
        <v>1115</v>
      </c>
      <c r="I23" s="196">
        <v>609</v>
      </c>
      <c r="J23" s="196">
        <v>506</v>
      </c>
      <c r="K23" s="196">
        <f t="shared" si="14"/>
        <v>0</v>
      </c>
      <c r="L23" s="196">
        <v>0</v>
      </c>
      <c r="M23" s="336">
        <v>0</v>
      </c>
      <c r="N23" s="685">
        <v>0</v>
      </c>
    </row>
    <row r="24" spans="1:14" s="195" customFormat="1" ht="29.3" customHeight="1">
      <c r="A24" s="701" t="s">
        <v>746</v>
      </c>
      <c r="B24" s="194">
        <f>+B25+B26+B27</f>
        <v>1488</v>
      </c>
      <c r="C24" s="194">
        <f>SUM(D24:G24)</f>
        <v>0</v>
      </c>
      <c r="D24" s="194">
        <f t="shared" ref="D24:J24" si="18">SUM(D25:D27)</f>
        <v>0</v>
      </c>
      <c r="E24" s="194">
        <f t="shared" si="18"/>
        <v>0</v>
      </c>
      <c r="F24" s="194">
        <f t="shared" si="18"/>
        <v>0</v>
      </c>
      <c r="G24" s="194">
        <f t="shared" si="18"/>
        <v>0</v>
      </c>
      <c r="H24" s="194">
        <f t="shared" si="7"/>
        <v>1488</v>
      </c>
      <c r="I24" s="194">
        <f t="shared" si="18"/>
        <v>1488</v>
      </c>
      <c r="J24" s="194">
        <f t="shared" si="18"/>
        <v>0</v>
      </c>
      <c r="K24" s="194">
        <f t="shared" si="1"/>
        <v>0</v>
      </c>
      <c r="L24" s="194">
        <f>SUM(L25:L27)</f>
        <v>0</v>
      </c>
      <c r="M24" s="335">
        <f>SUM(M25:M27)</f>
        <v>0</v>
      </c>
      <c r="N24" s="683">
        <f>SUM(N25:N27)</f>
        <v>0</v>
      </c>
    </row>
    <row r="25" spans="1:14" s="197" customFormat="1" ht="25.55" customHeight="1">
      <c r="A25" s="691" t="s">
        <v>709</v>
      </c>
      <c r="B25" s="196">
        <f>+C25+H25+K25+N25</f>
        <v>1467</v>
      </c>
      <c r="C25" s="196">
        <f t="shared" si="2"/>
        <v>0</v>
      </c>
      <c r="D25" s="196">
        <v>0</v>
      </c>
      <c r="E25" s="196">
        <v>0</v>
      </c>
      <c r="F25" s="196">
        <v>0</v>
      </c>
      <c r="G25" s="196">
        <v>0</v>
      </c>
      <c r="H25" s="196">
        <f>SUM(I25:J25)</f>
        <v>1467</v>
      </c>
      <c r="I25" s="196">
        <v>1467</v>
      </c>
      <c r="J25" s="196">
        <v>0</v>
      </c>
      <c r="K25" s="196">
        <f t="shared" si="1"/>
        <v>0</v>
      </c>
      <c r="L25" s="196">
        <v>0</v>
      </c>
      <c r="M25" s="336">
        <v>0</v>
      </c>
      <c r="N25" s="685">
        <v>0</v>
      </c>
    </row>
    <row r="26" spans="1:14" s="197" customFormat="1" ht="27.85" customHeight="1">
      <c r="A26" s="691" t="s">
        <v>710</v>
      </c>
      <c r="B26" s="196">
        <f t="shared" ref="B26:B27" si="19">+C26+H26+K26+N26</f>
        <v>13</v>
      </c>
      <c r="C26" s="196">
        <f t="shared" si="2"/>
        <v>0</v>
      </c>
      <c r="D26" s="196">
        <v>0</v>
      </c>
      <c r="E26" s="196">
        <v>0</v>
      </c>
      <c r="F26" s="196">
        <v>0</v>
      </c>
      <c r="G26" s="196">
        <v>0</v>
      </c>
      <c r="H26" s="196">
        <f t="shared" ref="H26:H34" si="20">SUM(I26:J26)</f>
        <v>13</v>
      </c>
      <c r="I26" s="196">
        <v>13</v>
      </c>
      <c r="J26" s="196">
        <v>0</v>
      </c>
      <c r="K26" s="196">
        <f t="shared" si="1"/>
        <v>0</v>
      </c>
      <c r="L26" s="196">
        <v>0</v>
      </c>
      <c r="M26" s="336">
        <v>0</v>
      </c>
      <c r="N26" s="685">
        <v>0</v>
      </c>
    </row>
    <row r="27" spans="1:14" s="197" customFormat="1" ht="29.95" customHeight="1">
      <c r="A27" s="691" t="s">
        <v>711</v>
      </c>
      <c r="B27" s="196">
        <f t="shared" si="19"/>
        <v>8</v>
      </c>
      <c r="C27" s="196">
        <f t="shared" si="2"/>
        <v>0</v>
      </c>
      <c r="D27" s="196">
        <v>0</v>
      </c>
      <c r="E27" s="196">
        <v>0</v>
      </c>
      <c r="F27" s="196">
        <v>0</v>
      </c>
      <c r="G27" s="196">
        <v>0</v>
      </c>
      <c r="H27" s="196">
        <f t="shared" si="20"/>
        <v>8</v>
      </c>
      <c r="I27" s="196">
        <v>8</v>
      </c>
      <c r="J27" s="196">
        <v>0</v>
      </c>
      <c r="K27" s="196">
        <f t="shared" si="1"/>
        <v>0</v>
      </c>
      <c r="L27" s="196">
        <v>0</v>
      </c>
      <c r="M27" s="336">
        <v>0</v>
      </c>
      <c r="N27" s="685">
        <v>0</v>
      </c>
    </row>
    <row r="28" spans="1:14" s="195" customFormat="1" ht="29.95" customHeight="1">
      <c r="A28" s="701" t="s">
        <v>747</v>
      </c>
      <c r="B28" s="194">
        <f>+B29+B30+B31</f>
        <v>529508697</v>
      </c>
      <c r="C28" s="194">
        <f t="shared" si="2"/>
        <v>528829340</v>
      </c>
      <c r="D28" s="194">
        <f t="shared" ref="D28:J28" si="21">SUM(D29:D31)</f>
        <v>0</v>
      </c>
      <c r="E28" s="194">
        <f t="shared" si="21"/>
        <v>528829340</v>
      </c>
      <c r="F28" s="194">
        <f t="shared" si="21"/>
        <v>0</v>
      </c>
      <c r="G28" s="194">
        <f t="shared" si="21"/>
        <v>0</v>
      </c>
      <c r="H28" s="194">
        <f t="shared" si="20"/>
        <v>0</v>
      </c>
      <c r="I28" s="194">
        <f t="shared" si="21"/>
        <v>0</v>
      </c>
      <c r="J28" s="194">
        <f t="shared" si="21"/>
        <v>0</v>
      </c>
      <c r="K28" s="194">
        <f t="shared" si="1"/>
        <v>679357</v>
      </c>
      <c r="L28" s="194">
        <f>SUM(L29:L31)</f>
        <v>627397</v>
      </c>
      <c r="M28" s="335">
        <f>SUM(M29:M31)</f>
        <v>51960</v>
      </c>
      <c r="N28" s="683">
        <f>SUM(N29:N31)</f>
        <v>0</v>
      </c>
    </row>
    <row r="29" spans="1:14" s="197" customFormat="1" ht="29.95" customHeight="1">
      <c r="A29" s="691" t="s">
        <v>748</v>
      </c>
      <c r="B29" s="196">
        <f>+C29+H29+K29+N29</f>
        <v>750494</v>
      </c>
      <c r="C29" s="196">
        <f t="shared" si="2"/>
        <v>750494</v>
      </c>
      <c r="D29" s="196">
        <v>0</v>
      </c>
      <c r="E29" s="196">
        <v>750494</v>
      </c>
      <c r="F29" s="196">
        <v>0</v>
      </c>
      <c r="G29" s="196">
        <v>0</v>
      </c>
      <c r="H29" s="196">
        <f t="shared" si="20"/>
        <v>0</v>
      </c>
      <c r="I29" s="196">
        <v>0</v>
      </c>
      <c r="J29" s="196">
        <v>0</v>
      </c>
      <c r="K29" s="196">
        <f t="shared" si="1"/>
        <v>0</v>
      </c>
      <c r="L29" s="196">
        <v>0</v>
      </c>
      <c r="M29" s="336">
        <v>0</v>
      </c>
      <c r="N29" s="685">
        <v>0</v>
      </c>
    </row>
    <row r="30" spans="1:14" s="197" customFormat="1" ht="29.95" customHeight="1">
      <c r="A30" s="691" t="s">
        <v>712</v>
      </c>
      <c r="B30" s="196">
        <f t="shared" ref="B30:B31" si="22">+C30+H30+K30+N30</f>
        <v>522070878</v>
      </c>
      <c r="C30" s="196">
        <f t="shared" si="2"/>
        <v>521391521</v>
      </c>
      <c r="D30" s="196">
        <v>0</v>
      </c>
      <c r="E30" s="196">
        <v>521391521</v>
      </c>
      <c r="F30" s="196">
        <v>0</v>
      </c>
      <c r="G30" s="196">
        <v>0</v>
      </c>
      <c r="H30" s="196">
        <f t="shared" si="20"/>
        <v>0</v>
      </c>
      <c r="I30" s="196">
        <v>0</v>
      </c>
      <c r="J30" s="196">
        <v>0</v>
      </c>
      <c r="K30" s="196">
        <f>+L30+M30</f>
        <v>679357</v>
      </c>
      <c r="L30" s="196">
        <v>627397</v>
      </c>
      <c r="M30" s="336">
        <v>51960</v>
      </c>
      <c r="N30" s="685">
        <v>0</v>
      </c>
    </row>
    <row r="31" spans="1:14" s="197" customFormat="1" ht="29.95" customHeight="1">
      <c r="A31" s="691" t="s">
        <v>713</v>
      </c>
      <c r="B31" s="196">
        <f t="shared" si="22"/>
        <v>6687325</v>
      </c>
      <c r="C31" s="196">
        <f t="shared" si="2"/>
        <v>6687325</v>
      </c>
      <c r="D31" s="196">
        <v>0</v>
      </c>
      <c r="E31" s="196">
        <v>6687325</v>
      </c>
      <c r="F31" s="196">
        <v>0</v>
      </c>
      <c r="G31" s="196">
        <v>0</v>
      </c>
      <c r="H31" s="196">
        <f t="shared" si="20"/>
        <v>0</v>
      </c>
      <c r="I31" s="196">
        <v>0</v>
      </c>
      <c r="J31" s="196">
        <v>0</v>
      </c>
      <c r="K31" s="196">
        <f t="shared" si="1"/>
        <v>0</v>
      </c>
      <c r="L31" s="196">
        <v>0</v>
      </c>
      <c r="M31" s="336">
        <v>0</v>
      </c>
      <c r="N31" s="685">
        <v>0</v>
      </c>
    </row>
    <row r="32" spans="1:14" s="195" customFormat="1" ht="29.95" customHeight="1">
      <c r="A32" s="701" t="s">
        <v>714</v>
      </c>
      <c r="B32" s="194">
        <f>+B33</f>
        <v>3428252</v>
      </c>
      <c r="C32" s="194">
        <f t="shared" si="2"/>
        <v>37</v>
      </c>
      <c r="D32" s="194">
        <f t="shared" ref="D32:J32" si="23">D33</f>
        <v>0</v>
      </c>
      <c r="E32" s="194">
        <f t="shared" si="23"/>
        <v>0</v>
      </c>
      <c r="F32" s="194">
        <f t="shared" si="23"/>
        <v>0</v>
      </c>
      <c r="G32" s="194">
        <f t="shared" si="23"/>
        <v>37</v>
      </c>
      <c r="H32" s="194">
        <f t="shared" si="20"/>
        <v>162</v>
      </c>
      <c r="I32" s="194">
        <f t="shared" si="23"/>
        <v>162</v>
      </c>
      <c r="J32" s="194">
        <f t="shared" si="23"/>
        <v>0</v>
      </c>
      <c r="K32" s="335">
        <f t="shared" si="1"/>
        <v>0</v>
      </c>
      <c r="L32" s="194">
        <f>L33</f>
        <v>0</v>
      </c>
      <c r="M32" s="361">
        <f>M33</f>
        <v>0</v>
      </c>
      <c r="N32" s="683">
        <f>N33</f>
        <v>3428053</v>
      </c>
    </row>
    <row r="33" spans="1:14" s="197" customFormat="1" ht="27" customHeight="1">
      <c r="A33" s="691" t="s">
        <v>715</v>
      </c>
      <c r="B33" s="196">
        <f>+C33+H33+K33+N33</f>
        <v>3428252</v>
      </c>
      <c r="C33" s="196">
        <f t="shared" si="2"/>
        <v>37</v>
      </c>
      <c r="D33" s="196">
        <v>0</v>
      </c>
      <c r="E33" s="196">
        <v>0</v>
      </c>
      <c r="F33" s="196">
        <v>0</v>
      </c>
      <c r="G33" s="333">
        <v>37</v>
      </c>
      <c r="H33" s="196">
        <f t="shared" si="20"/>
        <v>162</v>
      </c>
      <c r="I33" s="196">
        <v>162</v>
      </c>
      <c r="J33" s="196">
        <v>0</v>
      </c>
      <c r="K33" s="196">
        <f t="shared" si="1"/>
        <v>0</v>
      </c>
      <c r="L33" s="196">
        <v>0</v>
      </c>
      <c r="M33" s="336">
        <v>0</v>
      </c>
      <c r="N33" s="685">
        <v>3428053</v>
      </c>
    </row>
    <row r="34" spans="1:14" s="195" customFormat="1" ht="24.75" customHeight="1" thickBot="1">
      <c r="A34" s="742" t="s">
        <v>716</v>
      </c>
      <c r="B34" s="690">
        <f>+B8+B17+B19+B21+B24+B28+B32</f>
        <v>533964580</v>
      </c>
      <c r="C34" s="690">
        <f t="shared" si="2"/>
        <v>528930127</v>
      </c>
      <c r="D34" s="690">
        <f>+D8+D17+D19+D21+D24+D28+D32</f>
        <v>68000</v>
      </c>
      <c r="E34" s="690">
        <f t="shared" ref="E34:N34" si="24">+E8+E17+E19+E21+E24+E28+E32</f>
        <v>528829340</v>
      </c>
      <c r="F34" s="690">
        <f t="shared" si="24"/>
        <v>32750</v>
      </c>
      <c r="G34" s="690">
        <f t="shared" si="24"/>
        <v>37</v>
      </c>
      <c r="H34" s="690">
        <f t="shared" si="20"/>
        <v>927043</v>
      </c>
      <c r="I34" s="690">
        <f t="shared" si="24"/>
        <v>21280</v>
      </c>
      <c r="J34" s="690">
        <f t="shared" si="24"/>
        <v>905763</v>
      </c>
      <c r="K34" s="690">
        <f t="shared" si="1"/>
        <v>679357</v>
      </c>
      <c r="L34" s="690">
        <f t="shared" si="24"/>
        <v>627397</v>
      </c>
      <c r="M34" s="690">
        <f t="shared" si="24"/>
        <v>51960</v>
      </c>
      <c r="N34" s="711">
        <f t="shared" si="24"/>
        <v>3428053</v>
      </c>
    </row>
  </sheetData>
  <mergeCells count="9">
    <mergeCell ref="K5:M5"/>
    <mergeCell ref="A1:N1"/>
    <mergeCell ref="A2:N2"/>
    <mergeCell ref="F4:J4"/>
    <mergeCell ref="B5:B6"/>
    <mergeCell ref="C5:G5"/>
    <mergeCell ref="A5:A6"/>
    <mergeCell ref="F3:J3"/>
    <mergeCell ref="H5:J5"/>
  </mergeCells>
  <phoneticPr fontId="4"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25"/>
  <sheetViews>
    <sheetView view="pageBreakPreview" zoomScaleNormal="100" zoomScaleSheetLayoutView="100" workbookViewId="0">
      <selection activeCell="E23" sqref="E23"/>
    </sheetView>
  </sheetViews>
  <sheetFormatPr defaultColWidth="9" defaultRowHeight="15.05"/>
  <cols>
    <col min="1" max="1" width="36.75" style="6" customWidth="1"/>
    <col min="2" max="5" width="13.375" style="6" customWidth="1"/>
    <col min="6" max="16384" width="9" style="6"/>
  </cols>
  <sheetData>
    <row r="1" spans="1:5" s="2" customFormat="1" ht="22.25">
      <c r="A1" s="1051" t="s">
        <v>62</v>
      </c>
      <c r="B1" s="1051"/>
      <c r="C1" s="1051"/>
      <c r="D1" s="1051"/>
      <c r="E1" s="1051"/>
    </row>
    <row r="2" spans="1:5" s="2" customFormat="1" ht="22.25">
      <c r="A2" s="1051" t="s">
        <v>63</v>
      </c>
      <c r="B2" s="1051"/>
      <c r="C2" s="1051"/>
      <c r="D2" s="1051"/>
      <c r="E2" s="1051"/>
    </row>
    <row r="3" spans="1:5" s="2" customFormat="1" ht="24.75" customHeight="1">
      <c r="A3" s="1052" t="s">
        <v>508</v>
      </c>
      <c r="B3" s="1053"/>
      <c r="C3" s="1053"/>
      <c r="D3" s="1053"/>
      <c r="E3" s="1053"/>
    </row>
    <row r="4" spans="1:5" s="2" customFormat="1" ht="24.9" customHeight="1" thickBot="1">
      <c r="A4" s="1067" t="s">
        <v>1119</v>
      </c>
      <c r="B4" s="1067"/>
      <c r="C4" s="1067"/>
      <c r="D4" s="1067"/>
      <c r="E4" s="1067"/>
    </row>
    <row r="5" spans="1:5">
      <c r="A5" s="1267" t="s">
        <v>142</v>
      </c>
      <c r="B5" s="1264" t="s">
        <v>143</v>
      </c>
      <c r="C5" s="1264"/>
      <c r="D5" s="1264"/>
      <c r="E5" s="1265" t="s">
        <v>144</v>
      </c>
    </row>
    <row r="6" spans="1:5" ht="32.75">
      <c r="A6" s="1268"/>
      <c r="B6" s="427" t="s">
        <v>145</v>
      </c>
      <c r="C6" s="427" t="s">
        <v>146</v>
      </c>
      <c r="D6" s="428" t="s">
        <v>147</v>
      </c>
      <c r="E6" s="1266"/>
    </row>
    <row r="7" spans="1:5" ht="8.1999999999999993" customHeight="1">
      <c r="A7" s="57"/>
      <c r="B7" s="58"/>
      <c r="C7" s="58"/>
      <c r="D7" s="58"/>
      <c r="E7" s="59"/>
    </row>
    <row r="8" spans="1:5" s="235" customFormat="1" ht="34.549999999999997" customHeight="1">
      <c r="A8" s="702" t="s">
        <v>594</v>
      </c>
      <c r="B8" s="62">
        <f>SUM(B9:B24)</f>
        <v>2130336</v>
      </c>
      <c r="C8" s="62"/>
      <c r="D8" s="62">
        <f>SUM(D9:D24)</f>
        <v>2130336</v>
      </c>
      <c r="E8" s="229">
        <f>SUM(E9:E24)</f>
        <v>281663</v>
      </c>
    </row>
    <row r="9" spans="1:5" ht="42.55" customHeight="1">
      <c r="A9" s="429" t="s">
        <v>749</v>
      </c>
      <c r="B9" s="60">
        <v>1640423</v>
      </c>
      <c r="C9" s="60"/>
      <c r="D9" s="60">
        <f>SUM(B9:C9)</f>
        <v>1640423</v>
      </c>
      <c r="E9" s="61">
        <v>147825</v>
      </c>
    </row>
    <row r="10" spans="1:5" s="30" customFormat="1" ht="32.25" customHeight="1">
      <c r="A10" s="429" t="s">
        <v>750</v>
      </c>
      <c r="B10" s="60"/>
      <c r="C10" s="60"/>
      <c r="D10" s="60"/>
      <c r="E10" s="61">
        <v>1447</v>
      </c>
    </row>
    <row r="11" spans="1:5" s="9" customFormat="1" ht="32.25" customHeight="1">
      <c r="A11" s="429" t="s">
        <v>751</v>
      </c>
      <c r="B11" s="60">
        <v>149250</v>
      </c>
      <c r="C11" s="60"/>
      <c r="D11" s="60">
        <f t="shared" ref="D11:D22" si="0">SUM(B11:C11)</f>
        <v>149250</v>
      </c>
      <c r="E11" s="61">
        <v>20013</v>
      </c>
    </row>
    <row r="12" spans="1:5" s="9" customFormat="1" ht="36.85" customHeight="1">
      <c r="A12" s="429" t="s">
        <v>752</v>
      </c>
      <c r="B12" s="60">
        <v>101728</v>
      </c>
      <c r="C12" s="60"/>
      <c r="D12" s="60">
        <f t="shared" si="0"/>
        <v>101728</v>
      </c>
      <c r="E12" s="61">
        <v>9737</v>
      </c>
    </row>
    <row r="13" spans="1:5" s="9" customFormat="1" ht="32.25" customHeight="1">
      <c r="A13" s="429" t="s">
        <v>595</v>
      </c>
      <c r="B13" s="60">
        <v>941</v>
      </c>
      <c r="C13" s="60"/>
      <c r="D13" s="60">
        <f t="shared" si="0"/>
        <v>941</v>
      </c>
      <c r="E13" s="391">
        <v>0</v>
      </c>
    </row>
    <row r="14" spans="1:5" s="9" customFormat="1" ht="32.25" customHeight="1">
      <c r="A14" s="429" t="s">
        <v>596</v>
      </c>
      <c r="B14" s="60">
        <v>1856</v>
      </c>
      <c r="C14" s="60"/>
      <c r="D14" s="60">
        <f t="shared" si="0"/>
        <v>1856</v>
      </c>
      <c r="E14" s="61">
        <v>359</v>
      </c>
    </row>
    <row r="15" spans="1:5" s="9" customFormat="1" ht="32.25" customHeight="1">
      <c r="A15" s="429" t="s">
        <v>753</v>
      </c>
      <c r="B15" s="60">
        <v>4059</v>
      </c>
      <c r="C15" s="60"/>
      <c r="D15" s="60">
        <f t="shared" si="0"/>
        <v>4059</v>
      </c>
      <c r="E15" s="61">
        <v>996</v>
      </c>
    </row>
    <row r="16" spans="1:5" ht="32.25" hidden="1" customHeight="1">
      <c r="A16" s="429" t="s">
        <v>754</v>
      </c>
      <c r="B16" s="60"/>
      <c r="C16" s="62"/>
      <c r="D16" s="60">
        <f t="shared" si="0"/>
        <v>0</v>
      </c>
      <c r="E16" s="391">
        <v>0</v>
      </c>
    </row>
    <row r="17" spans="1:5" ht="36.85" customHeight="1">
      <c r="A17" s="429" t="s">
        <v>755</v>
      </c>
      <c r="B17" s="60">
        <v>21246</v>
      </c>
      <c r="C17" s="60"/>
      <c r="D17" s="60">
        <f t="shared" si="0"/>
        <v>21246</v>
      </c>
      <c r="E17" s="391">
        <v>3750</v>
      </c>
    </row>
    <row r="18" spans="1:5" ht="36.85" customHeight="1">
      <c r="A18" s="429" t="s">
        <v>1003</v>
      </c>
      <c r="B18" s="60">
        <v>22185</v>
      </c>
      <c r="C18" s="60"/>
      <c r="D18" s="60">
        <f t="shared" si="0"/>
        <v>22185</v>
      </c>
      <c r="E18" s="61">
        <v>2002</v>
      </c>
    </row>
    <row r="19" spans="1:5" ht="36.85" customHeight="1">
      <c r="A19" s="429" t="s">
        <v>1004</v>
      </c>
      <c r="B19" s="60">
        <v>1142</v>
      </c>
      <c r="C19" s="60"/>
      <c r="D19" s="60">
        <f t="shared" si="0"/>
        <v>1142</v>
      </c>
      <c r="E19" s="61">
        <v>93</v>
      </c>
    </row>
    <row r="20" spans="1:5" ht="37.5" customHeight="1">
      <c r="A20" s="429" t="s">
        <v>756</v>
      </c>
      <c r="B20" s="60">
        <v>166581</v>
      </c>
      <c r="C20" s="60"/>
      <c r="D20" s="60">
        <f t="shared" si="0"/>
        <v>166581</v>
      </c>
      <c r="E20" s="61">
        <v>91302</v>
      </c>
    </row>
    <row r="21" spans="1:5" s="9" customFormat="1" ht="36.85" customHeight="1">
      <c r="A21" s="429" t="s">
        <v>757</v>
      </c>
      <c r="B21" s="60">
        <v>6329</v>
      </c>
      <c r="C21" s="60"/>
      <c r="D21" s="60">
        <f t="shared" si="0"/>
        <v>6329</v>
      </c>
      <c r="E21" s="61">
        <v>877</v>
      </c>
    </row>
    <row r="22" spans="1:5" ht="32.25" customHeight="1">
      <c r="A22" s="429" t="s">
        <v>758</v>
      </c>
      <c r="B22" s="60">
        <v>14596</v>
      </c>
      <c r="C22" s="60"/>
      <c r="D22" s="60">
        <f t="shared" si="0"/>
        <v>14596</v>
      </c>
      <c r="E22" s="61">
        <v>3262</v>
      </c>
    </row>
    <row r="23" spans="1:5" ht="76.25" customHeight="1">
      <c r="A23" s="429"/>
      <c r="B23" s="60"/>
      <c r="C23" s="60"/>
      <c r="D23" s="60"/>
      <c r="E23" s="61"/>
    </row>
    <row r="24" spans="1:5" ht="21.8" customHeight="1">
      <c r="A24" s="429"/>
      <c r="B24" s="60"/>
      <c r="C24" s="60"/>
      <c r="D24" s="60"/>
      <c r="E24" s="61"/>
    </row>
    <row r="25" spans="1:5" ht="29.95" customHeight="1" thickBot="1">
      <c r="A25" s="256"/>
      <c r="B25" s="257"/>
      <c r="C25" s="257"/>
      <c r="D25" s="257"/>
      <c r="E25" s="258"/>
    </row>
  </sheetData>
  <mergeCells count="7">
    <mergeCell ref="B5:D5"/>
    <mergeCell ref="E5:E6"/>
    <mergeCell ref="A4:E4"/>
    <mergeCell ref="A1:E1"/>
    <mergeCell ref="A2:E2"/>
    <mergeCell ref="A3:E3"/>
    <mergeCell ref="A5:A6"/>
  </mergeCells>
  <phoneticPr fontId="4" type="noConversion"/>
  <printOptions horizontalCentered="1"/>
  <pageMargins left="0.59055118110236227" right="0.59055118110236227" top="0.59055118110236227" bottom="0.78740157480314965" header="0.51181102362204722" footer="0.51181102362204722"/>
  <pageSetup paperSize="9" firstPageNumber="53"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48"/>
  <sheetViews>
    <sheetView tabSelected="1" view="pageBreakPreview" topLeftCell="A7" zoomScaleNormal="91" zoomScaleSheetLayoutView="100" workbookViewId="0">
      <selection activeCell="F14" sqref="F14"/>
    </sheetView>
  </sheetViews>
  <sheetFormatPr defaultColWidth="9" defaultRowHeight="15.05"/>
  <cols>
    <col min="1" max="1" width="24.625" style="6" customWidth="1"/>
    <col min="2" max="2" width="11.375" style="6" customWidth="1"/>
    <col min="3" max="3" width="11" style="6" customWidth="1"/>
    <col min="4" max="4" width="9.125" style="6" customWidth="1"/>
    <col min="5" max="5" width="12.75" style="6" customWidth="1"/>
    <col min="6" max="6" width="2.5" style="6" customWidth="1"/>
    <col min="7" max="7" width="3.25" style="6" customWidth="1"/>
    <col min="8" max="8" width="15.5" style="6" customWidth="1"/>
    <col min="9" max="9" width="9" style="6"/>
    <col min="10" max="10" width="26.375" style="6" customWidth="1"/>
    <col min="11" max="11" width="19.875" style="6" customWidth="1"/>
    <col min="12" max="16384" width="9" style="6"/>
  </cols>
  <sheetData>
    <row r="1" spans="1:10" s="2" customFormat="1" ht="22.25">
      <c r="A1" s="1051" t="s">
        <v>62</v>
      </c>
      <c r="B1" s="1051"/>
      <c r="C1" s="1051"/>
      <c r="D1" s="1051"/>
      <c r="E1" s="1051"/>
      <c r="F1" s="1051"/>
      <c r="G1" s="1051"/>
      <c r="H1" s="1051"/>
      <c r="I1" s="1"/>
      <c r="J1" s="1"/>
    </row>
    <row r="2" spans="1:10" s="2" customFormat="1" ht="22.25">
      <c r="A2" s="1051" t="s">
        <v>63</v>
      </c>
      <c r="B2" s="1051"/>
      <c r="C2" s="1051"/>
      <c r="D2" s="1051"/>
      <c r="E2" s="1051"/>
      <c r="F2" s="1051"/>
      <c r="G2" s="1051"/>
      <c r="H2" s="1051"/>
      <c r="I2" s="1"/>
      <c r="J2" s="1"/>
    </row>
    <row r="3" spans="1:10" s="2" customFormat="1" ht="24.75" customHeight="1">
      <c r="A3" s="1053" t="s">
        <v>148</v>
      </c>
      <c r="B3" s="1053"/>
      <c r="C3" s="1053"/>
      <c r="D3" s="1053"/>
      <c r="E3" s="1053"/>
      <c r="F3" s="1053"/>
      <c r="G3" s="1053"/>
      <c r="H3" s="1053"/>
      <c r="I3" s="3"/>
    </row>
    <row r="4" spans="1:10" s="2" customFormat="1" ht="24.75" customHeight="1" thickBot="1">
      <c r="A4" s="1067" t="s">
        <v>1120</v>
      </c>
      <c r="B4" s="1067"/>
      <c r="C4" s="1067"/>
      <c r="D4" s="1067"/>
      <c r="E4" s="1067"/>
      <c r="F4" s="1067"/>
      <c r="G4" s="1067"/>
      <c r="H4" s="1067"/>
      <c r="I4" s="4"/>
      <c r="J4" s="4"/>
    </row>
    <row r="5" spans="1:10" ht="15.75" customHeight="1">
      <c r="A5" s="1178" t="s">
        <v>199</v>
      </c>
      <c r="B5" s="1170" t="s">
        <v>65</v>
      </c>
      <c r="C5" s="1171"/>
      <c r="D5" s="1171"/>
      <c r="E5" s="1172"/>
      <c r="F5" s="1093" t="s">
        <v>66</v>
      </c>
      <c r="G5" s="1094"/>
      <c r="H5" s="1095"/>
      <c r="I5" s="4"/>
      <c r="J5" s="4"/>
    </row>
    <row r="6" spans="1:10">
      <c r="A6" s="1179"/>
      <c r="B6" s="1281" t="s">
        <v>149</v>
      </c>
      <c r="C6" s="1283" t="s">
        <v>150</v>
      </c>
      <c r="D6" s="1285" t="s">
        <v>151</v>
      </c>
      <c r="E6" s="1280" t="s">
        <v>152</v>
      </c>
      <c r="F6" s="1096"/>
      <c r="G6" s="1097"/>
      <c r="H6" s="1098"/>
      <c r="I6" s="4"/>
      <c r="J6" s="4"/>
    </row>
    <row r="7" spans="1:10" ht="21.8" customHeight="1">
      <c r="A7" s="1180"/>
      <c r="B7" s="1282"/>
      <c r="C7" s="1284"/>
      <c r="D7" s="1285"/>
      <c r="E7" s="1280"/>
      <c r="F7" s="1099"/>
      <c r="G7" s="1100"/>
      <c r="H7" s="1101"/>
    </row>
    <row r="8" spans="1:10" ht="2.95" customHeight="1">
      <c r="A8" s="73"/>
      <c r="B8" s="80"/>
      <c r="C8" s="80"/>
      <c r="D8" s="81"/>
      <c r="E8" s="980"/>
      <c r="F8" s="84"/>
      <c r="G8" s="134"/>
      <c r="H8" s="87"/>
    </row>
    <row r="9" spans="1:10" s="30" customFormat="1" ht="18.649999999999999" customHeight="1">
      <c r="A9" s="456" t="s">
        <v>263</v>
      </c>
      <c r="B9" s="88"/>
      <c r="C9" s="88"/>
      <c r="D9" s="88"/>
      <c r="E9" s="20">
        <f>+E10+E27+E39+E47</f>
        <v>466231821</v>
      </c>
      <c r="F9" s="1277"/>
      <c r="G9" s="1278"/>
      <c r="H9" s="1279"/>
    </row>
    <row r="10" spans="1:10" s="30" customFormat="1" ht="18" customHeight="1">
      <c r="A10" s="457" t="s">
        <v>34</v>
      </c>
      <c r="B10" s="88"/>
      <c r="C10" s="88"/>
      <c r="D10" s="88"/>
      <c r="E10" s="20">
        <f>E11+E26</f>
        <v>433065251</v>
      </c>
      <c r="F10" s="85"/>
      <c r="G10" s="245"/>
      <c r="H10" s="981"/>
    </row>
    <row r="11" spans="1:10" s="30" customFormat="1" ht="26.35" customHeight="1">
      <c r="A11" s="458" t="s">
        <v>264</v>
      </c>
      <c r="B11" s="20">
        <f>SUM(B12:B25)</f>
        <v>10530000</v>
      </c>
      <c r="C11" s="20">
        <v>33135</v>
      </c>
      <c r="D11" s="231">
        <v>10.7</v>
      </c>
      <c r="E11" s="20">
        <f>SUM(E12:E25)</f>
        <v>432600814</v>
      </c>
      <c r="F11" s="86" t="s">
        <v>4</v>
      </c>
      <c r="G11" s="1274" t="s">
        <v>1419</v>
      </c>
      <c r="H11" s="1275"/>
    </row>
    <row r="12" spans="1:10" s="9" customFormat="1" ht="33.549999999999997" customHeight="1">
      <c r="A12" s="140" t="s">
        <v>265</v>
      </c>
      <c r="B12" s="8">
        <v>3179000</v>
      </c>
      <c r="C12" s="8">
        <v>35180</v>
      </c>
      <c r="D12" s="82">
        <v>10.74</v>
      </c>
      <c r="E12" s="8">
        <v>144135809</v>
      </c>
      <c r="F12" s="86"/>
      <c r="G12" s="1276"/>
      <c r="H12" s="1275"/>
    </row>
    <row r="13" spans="1:10" s="9" customFormat="1" ht="31.25" customHeight="1">
      <c r="A13" s="140" t="s">
        <v>266</v>
      </c>
      <c r="B13" s="8">
        <v>3430000</v>
      </c>
      <c r="C13" s="8">
        <v>33800</v>
      </c>
      <c r="D13" s="82">
        <v>10.67</v>
      </c>
      <c r="E13" s="8">
        <v>148441894</v>
      </c>
      <c r="F13" s="86"/>
      <c r="G13" s="1276"/>
      <c r="H13" s="1275"/>
    </row>
    <row r="14" spans="1:10" s="9" customFormat="1" ht="41.4" customHeight="1">
      <c r="A14" s="140" t="s">
        <v>274</v>
      </c>
      <c r="B14" s="8">
        <v>335400</v>
      </c>
      <c r="C14" s="8">
        <v>37100</v>
      </c>
      <c r="D14" s="82">
        <v>10.62</v>
      </c>
      <c r="E14" s="8">
        <v>15857792</v>
      </c>
      <c r="F14" s="886" t="s">
        <v>1437</v>
      </c>
      <c r="G14" s="1276"/>
      <c r="H14" s="1275"/>
    </row>
    <row r="15" spans="1:10" s="9" customFormat="1" ht="32.25" customHeight="1">
      <c r="A15" s="140" t="s">
        <v>275</v>
      </c>
      <c r="B15" s="8">
        <v>437800</v>
      </c>
      <c r="C15" s="8">
        <v>35600</v>
      </c>
      <c r="D15" s="82">
        <v>10.62</v>
      </c>
      <c r="E15" s="8">
        <v>19862391</v>
      </c>
      <c r="F15" s="86"/>
      <c r="G15" s="1276"/>
      <c r="H15" s="1275"/>
    </row>
    <row r="16" spans="1:10" s="979" customFormat="1" ht="33.75" customHeight="1">
      <c r="A16" s="140" t="s">
        <v>277</v>
      </c>
      <c r="B16" s="8">
        <v>5800</v>
      </c>
      <c r="C16" s="8">
        <v>26400</v>
      </c>
      <c r="D16" s="82">
        <v>10.69</v>
      </c>
      <c r="E16" s="8">
        <v>196422</v>
      </c>
      <c r="F16" s="86" t="s">
        <v>963</v>
      </c>
      <c r="G16" s="1269" t="s">
        <v>1420</v>
      </c>
      <c r="H16" s="1125"/>
    </row>
    <row r="17" spans="1:8" s="9" customFormat="1" ht="39.6" customHeight="1">
      <c r="A17" s="140" t="s">
        <v>276</v>
      </c>
      <c r="B17" s="8">
        <v>11900</v>
      </c>
      <c r="C17" s="8">
        <v>14200</v>
      </c>
      <c r="D17" s="82">
        <v>10.61</v>
      </c>
      <c r="E17" s="8">
        <v>215145</v>
      </c>
      <c r="F17" s="86"/>
      <c r="G17" s="1037" t="s">
        <v>964</v>
      </c>
      <c r="H17" s="1270" t="s">
        <v>1421</v>
      </c>
    </row>
    <row r="18" spans="1:8" s="979" customFormat="1" ht="36.65" customHeight="1">
      <c r="A18" s="452" t="s">
        <v>268</v>
      </c>
      <c r="B18" s="8">
        <v>1969200</v>
      </c>
      <c r="C18" s="8">
        <v>28860</v>
      </c>
      <c r="D18" s="82">
        <v>10.75</v>
      </c>
      <c r="E18" s="8">
        <v>73312135</v>
      </c>
      <c r="F18" s="259"/>
      <c r="G18" s="1036"/>
      <c r="H18" s="1138"/>
    </row>
    <row r="19" spans="1:8" s="9" customFormat="1" ht="37.15" customHeight="1">
      <c r="A19" s="452" t="s">
        <v>267</v>
      </c>
      <c r="B19" s="8">
        <v>259600</v>
      </c>
      <c r="C19" s="8">
        <v>28850</v>
      </c>
      <c r="D19" s="82">
        <v>10.69</v>
      </c>
      <c r="E19" s="8">
        <v>9607479</v>
      </c>
      <c r="F19" s="86"/>
      <c r="G19" s="1037"/>
      <c r="H19" s="1138"/>
    </row>
    <row r="20" spans="1:8" s="9" customFormat="1" ht="36.65" customHeight="1">
      <c r="A20" s="452" t="s">
        <v>269</v>
      </c>
      <c r="B20" s="8">
        <v>415000</v>
      </c>
      <c r="C20" s="8">
        <v>33550</v>
      </c>
      <c r="D20" s="82">
        <v>10.62</v>
      </c>
      <c r="E20" s="8">
        <v>17743790</v>
      </c>
      <c r="F20" s="86"/>
      <c r="G20" s="430"/>
      <c r="H20" s="1138"/>
    </row>
    <row r="21" spans="1:8" s="9" customFormat="1" ht="36" customHeight="1">
      <c r="A21" s="452" t="s">
        <v>270</v>
      </c>
      <c r="B21" s="8">
        <v>11000</v>
      </c>
      <c r="C21" s="8">
        <v>38700</v>
      </c>
      <c r="D21" s="82">
        <v>10.5</v>
      </c>
      <c r="E21" s="8">
        <v>536382</v>
      </c>
      <c r="F21" s="86"/>
      <c r="G21" s="1036"/>
      <c r="H21" s="1138"/>
    </row>
    <row r="22" spans="1:8" s="9" customFormat="1" ht="29.95" customHeight="1">
      <c r="A22" s="452" t="s">
        <v>271</v>
      </c>
      <c r="B22" s="8">
        <v>1300</v>
      </c>
      <c r="C22" s="8">
        <v>43900</v>
      </c>
      <c r="D22" s="82">
        <v>11.42</v>
      </c>
      <c r="E22" s="8">
        <v>78209</v>
      </c>
      <c r="F22" s="86"/>
      <c r="G22" s="234"/>
      <c r="H22" s="1138"/>
    </row>
    <row r="23" spans="1:8" s="9" customFormat="1" ht="37.5" customHeight="1">
      <c r="A23" s="452" t="s">
        <v>272</v>
      </c>
      <c r="B23" s="8">
        <v>1000</v>
      </c>
      <c r="C23" s="8">
        <v>28700</v>
      </c>
      <c r="D23" s="82">
        <v>10.5</v>
      </c>
      <c r="E23" s="8">
        <v>36162</v>
      </c>
      <c r="F23" s="86"/>
      <c r="G23" s="234"/>
      <c r="H23" s="1138"/>
    </row>
    <row r="24" spans="1:8" s="9" customFormat="1" ht="92.95" customHeight="1">
      <c r="A24" s="140" t="s">
        <v>278</v>
      </c>
      <c r="B24" s="8">
        <v>420000</v>
      </c>
      <c r="C24" s="8">
        <v>29100</v>
      </c>
      <c r="D24" s="82">
        <v>0.2</v>
      </c>
      <c r="E24" s="8">
        <v>293328</v>
      </c>
      <c r="F24" s="86"/>
      <c r="G24" s="234"/>
      <c r="H24" s="1075"/>
    </row>
    <row r="25" spans="1:8" s="9" customFormat="1" ht="24.75" customHeight="1">
      <c r="A25" s="452" t="s">
        <v>273</v>
      </c>
      <c r="B25" s="8">
        <v>53000</v>
      </c>
      <c r="C25" s="8">
        <v>34200</v>
      </c>
      <c r="D25" s="82">
        <v>10.5</v>
      </c>
      <c r="E25" s="8">
        <v>2283876</v>
      </c>
      <c r="F25" s="86"/>
      <c r="G25" s="1289" t="s">
        <v>22</v>
      </c>
      <c r="H25" s="1279" t="s">
        <v>1422</v>
      </c>
    </row>
    <row r="26" spans="1:8" s="30" customFormat="1" ht="18.850000000000001" customHeight="1" thickBot="1">
      <c r="A26" s="478" t="s">
        <v>759</v>
      </c>
      <c r="B26" s="283"/>
      <c r="C26" s="889"/>
      <c r="D26" s="890"/>
      <c r="E26" s="283">
        <v>464437</v>
      </c>
      <c r="F26" s="891"/>
      <c r="G26" s="1290"/>
      <c r="H26" s="1291"/>
    </row>
    <row r="27" spans="1:8" s="30" customFormat="1" ht="29.95" customHeight="1">
      <c r="A27" s="457" t="s">
        <v>35</v>
      </c>
      <c r="B27" s="88"/>
      <c r="C27" s="88"/>
      <c r="D27" s="88"/>
      <c r="E27" s="20">
        <f>E28+E36</f>
        <v>29807684</v>
      </c>
      <c r="F27" s="1277"/>
      <c r="G27" s="1278"/>
      <c r="H27" s="1279"/>
    </row>
    <row r="28" spans="1:8" s="30" customFormat="1" ht="29.95" customHeight="1">
      <c r="A28" s="458" t="s">
        <v>264</v>
      </c>
      <c r="B28" s="20">
        <f>SUM(B29:B35)</f>
        <v>7130000</v>
      </c>
      <c r="C28" s="20">
        <v>34810</v>
      </c>
      <c r="D28" s="231">
        <v>1</v>
      </c>
      <c r="E28" s="20">
        <f>SUM(E29:E35)</f>
        <v>29783754</v>
      </c>
      <c r="F28" s="86" t="s">
        <v>4</v>
      </c>
      <c r="G28" s="1271" t="s">
        <v>1084</v>
      </c>
      <c r="H28" s="1272"/>
    </row>
    <row r="29" spans="1:8" s="9" customFormat="1" ht="42.05" customHeight="1">
      <c r="A29" s="140" t="s">
        <v>265</v>
      </c>
      <c r="B29" s="8">
        <v>2726100</v>
      </c>
      <c r="C29" s="8">
        <v>36130</v>
      </c>
      <c r="D29" s="82">
        <v>1</v>
      </c>
      <c r="E29" s="8">
        <v>11819279</v>
      </c>
      <c r="F29" s="86"/>
      <c r="G29" s="1273"/>
      <c r="H29" s="1272"/>
    </row>
    <row r="30" spans="1:8" s="9" customFormat="1" ht="29.95" customHeight="1">
      <c r="A30" s="140" t="s">
        <v>279</v>
      </c>
      <c r="B30" s="8">
        <v>3205200</v>
      </c>
      <c r="C30" s="8">
        <v>33490</v>
      </c>
      <c r="D30" s="82">
        <v>1</v>
      </c>
      <c r="E30" s="8">
        <v>12881058</v>
      </c>
      <c r="F30" s="86" t="s">
        <v>1086</v>
      </c>
      <c r="G30" s="1271" t="s">
        <v>1085</v>
      </c>
      <c r="H30" s="1272"/>
    </row>
    <row r="31" spans="1:8" s="9" customFormat="1" ht="35.35" customHeight="1">
      <c r="A31" s="140" t="s">
        <v>280</v>
      </c>
      <c r="B31" s="8">
        <v>325600</v>
      </c>
      <c r="C31" s="8">
        <v>37490</v>
      </c>
      <c r="D31" s="82">
        <v>1</v>
      </c>
      <c r="E31" s="8">
        <v>1464809</v>
      </c>
      <c r="F31" s="86"/>
      <c r="G31" s="1273"/>
      <c r="H31" s="1272"/>
    </row>
    <row r="32" spans="1:8" s="9" customFormat="1" ht="42.05" customHeight="1">
      <c r="A32" s="140" t="s">
        <v>275</v>
      </c>
      <c r="B32" s="8">
        <v>430600</v>
      </c>
      <c r="C32" s="8">
        <v>36190</v>
      </c>
      <c r="D32" s="82">
        <v>1</v>
      </c>
      <c r="E32" s="8">
        <v>1870010</v>
      </c>
      <c r="F32" s="86"/>
      <c r="G32" s="1278"/>
      <c r="H32" s="1279"/>
    </row>
    <row r="33" spans="1:8" s="9" customFormat="1" ht="38" customHeight="1">
      <c r="A33" s="140" t="s">
        <v>277</v>
      </c>
      <c r="B33" s="8">
        <v>600</v>
      </c>
      <c r="C33" s="8">
        <v>37620</v>
      </c>
      <c r="D33" s="82">
        <v>1</v>
      </c>
      <c r="E33" s="8">
        <v>2709</v>
      </c>
      <c r="F33" s="234"/>
      <c r="G33" s="430"/>
      <c r="H33" s="431"/>
    </row>
    <row r="34" spans="1:8" s="979" customFormat="1" ht="26.35" customHeight="1">
      <c r="A34" s="452" t="s">
        <v>269</v>
      </c>
      <c r="B34" s="8">
        <v>388900</v>
      </c>
      <c r="C34" s="8">
        <v>32750</v>
      </c>
      <c r="D34" s="82">
        <v>1</v>
      </c>
      <c r="E34" s="8">
        <v>1528377</v>
      </c>
      <c r="F34" s="234"/>
      <c r="G34" s="430"/>
      <c r="H34" s="431"/>
    </row>
    <row r="35" spans="1:8" s="9" customFormat="1" ht="23.4" customHeight="1">
      <c r="A35" s="452" t="s">
        <v>273</v>
      </c>
      <c r="B35" s="8">
        <v>53000</v>
      </c>
      <c r="C35" s="8">
        <v>34200</v>
      </c>
      <c r="D35" s="82">
        <v>1</v>
      </c>
      <c r="E35" s="8">
        <v>217512</v>
      </c>
      <c r="F35" s="86"/>
      <c r="G35" s="430"/>
      <c r="H35" s="431"/>
    </row>
    <row r="36" spans="1:8" s="30" customFormat="1" ht="19.149999999999999" customHeight="1">
      <c r="A36" s="457" t="s">
        <v>306</v>
      </c>
      <c r="B36" s="20"/>
      <c r="C36" s="232"/>
      <c r="D36" s="233"/>
      <c r="E36" s="20">
        <v>23930</v>
      </c>
      <c r="F36" s="86"/>
      <c r="G36" s="246"/>
      <c r="H36" s="431"/>
    </row>
    <row r="37" spans="1:8" s="234" customFormat="1" ht="2.4500000000000002" customHeight="1">
      <c r="A37" s="479"/>
      <c r="B37" s="83"/>
      <c r="C37" s="89"/>
      <c r="D37" s="90"/>
      <c r="E37" s="8"/>
      <c r="F37" s="86"/>
      <c r="G37" s="246"/>
      <c r="H37" s="431"/>
    </row>
    <row r="38" spans="1:8" s="911" customFormat="1" ht="24.05" customHeight="1">
      <c r="A38" s="457" t="s">
        <v>1009</v>
      </c>
      <c r="B38" s="88"/>
      <c r="C38" s="88"/>
      <c r="D38" s="88"/>
      <c r="E38" s="20">
        <f>+E39+E47</f>
        <v>3358886</v>
      </c>
      <c r="F38" s="86"/>
      <c r="G38" s="246"/>
      <c r="H38" s="431"/>
    </row>
    <row r="39" spans="1:8" s="9" customFormat="1" ht="24.05" customHeight="1">
      <c r="A39" s="457" t="s">
        <v>1010</v>
      </c>
      <c r="B39" s="88"/>
      <c r="C39" s="88"/>
      <c r="D39" s="88"/>
      <c r="E39" s="20">
        <f>E40+E46</f>
        <v>3250886</v>
      </c>
      <c r="F39" s="86"/>
      <c r="G39" s="246"/>
      <c r="H39" s="431"/>
    </row>
    <row r="40" spans="1:8" s="9" customFormat="1" ht="29.95" customHeight="1">
      <c r="A40" s="458" t="s">
        <v>1011</v>
      </c>
      <c r="B40" s="20">
        <v>1038000</v>
      </c>
      <c r="C40" s="20">
        <v>10200</v>
      </c>
      <c r="D40" s="231">
        <v>2.5499999999999998</v>
      </c>
      <c r="E40" s="20">
        <v>3239806</v>
      </c>
      <c r="F40" s="1277" t="s">
        <v>760</v>
      </c>
      <c r="G40" s="1278"/>
      <c r="H40" s="1279"/>
    </row>
    <row r="41" spans="1:8" s="9" customFormat="1" ht="27.65" customHeight="1">
      <c r="A41" s="457"/>
      <c r="B41" s="8"/>
      <c r="C41" s="89"/>
      <c r="D41" s="90"/>
      <c r="E41" s="8"/>
      <c r="F41" s="1277"/>
      <c r="G41" s="1278"/>
      <c r="H41" s="1279"/>
    </row>
    <row r="42" spans="1:8" s="9" customFormat="1" ht="27.65" customHeight="1">
      <c r="A42" s="457"/>
      <c r="B42" s="8"/>
      <c r="C42" s="89"/>
      <c r="D42" s="90"/>
      <c r="E42" s="8"/>
      <c r="F42" s="1277"/>
      <c r="G42" s="1278"/>
      <c r="H42" s="1279"/>
    </row>
    <row r="43" spans="1:8" s="9" customFormat="1" ht="29.45" customHeight="1">
      <c r="A43" s="457"/>
      <c r="B43" s="8"/>
      <c r="C43" s="89"/>
      <c r="D43" s="90"/>
      <c r="E43" s="8"/>
      <c r="F43" s="1277"/>
      <c r="G43" s="1278"/>
      <c r="H43" s="1279"/>
    </row>
    <row r="44" spans="1:8" s="9" customFormat="1" ht="22.75" customHeight="1">
      <c r="A44" s="457"/>
      <c r="B44" s="8"/>
      <c r="C44" s="878"/>
      <c r="D44" s="881"/>
      <c r="E44" s="83"/>
      <c r="F44" s="1277"/>
      <c r="G44" s="1278"/>
      <c r="H44" s="1279"/>
    </row>
    <row r="45" spans="1:8" s="9" customFormat="1" ht="38.450000000000003" customHeight="1">
      <c r="A45" s="879"/>
      <c r="B45" s="8"/>
      <c r="C45" s="878"/>
      <c r="D45" s="881"/>
      <c r="E45" s="83"/>
      <c r="F45" s="1277"/>
      <c r="G45" s="1278"/>
      <c r="H45" s="1279"/>
    </row>
    <row r="46" spans="1:8" s="9" customFormat="1" ht="27.85" customHeight="1">
      <c r="A46" s="879" t="s">
        <v>1012</v>
      </c>
      <c r="B46" s="20"/>
      <c r="C46" s="877"/>
      <c r="D46" s="882"/>
      <c r="E46" s="20">
        <v>11080</v>
      </c>
      <c r="F46" s="1286"/>
      <c r="G46" s="1287"/>
      <c r="H46" s="1288"/>
    </row>
    <row r="47" spans="1:8" s="876" customFormat="1" ht="24.75" customHeight="1">
      <c r="A47" s="879" t="s">
        <v>1013</v>
      </c>
      <c r="B47" s="880"/>
      <c r="C47" s="10"/>
      <c r="D47" s="880"/>
      <c r="E47" s="20">
        <f>E48+E52</f>
        <v>108000</v>
      </c>
      <c r="F47" s="246"/>
      <c r="G47" s="246"/>
      <c r="H47" s="431"/>
    </row>
    <row r="48" spans="1:8" s="876" customFormat="1" ht="26.05" customHeight="1" thickBot="1">
      <c r="A48" s="883" t="s">
        <v>1011</v>
      </c>
      <c r="B48" s="283">
        <v>360000</v>
      </c>
      <c r="C48" s="884">
        <v>10200</v>
      </c>
      <c r="D48" s="885">
        <v>0.24</v>
      </c>
      <c r="E48" s="283">
        <v>108000</v>
      </c>
      <c r="F48" s="247"/>
      <c r="G48" s="247"/>
      <c r="H48" s="432"/>
    </row>
  </sheetData>
  <mergeCells count="22">
    <mergeCell ref="F40:H46"/>
    <mergeCell ref="F27:H27"/>
    <mergeCell ref="G32:H32"/>
    <mergeCell ref="G25:G26"/>
    <mergeCell ref="H25:H26"/>
    <mergeCell ref="G30:H31"/>
    <mergeCell ref="A1:H1"/>
    <mergeCell ref="A2:H2"/>
    <mergeCell ref="A3:H3"/>
    <mergeCell ref="A5:A7"/>
    <mergeCell ref="B5:E5"/>
    <mergeCell ref="F5:H7"/>
    <mergeCell ref="E6:E7"/>
    <mergeCell ref="A4:H4"/>
    <mergeCell ref="B6:B7"/>
    <mergeCell ref="C6:C7"/>
    <mergeCell ref="D6:D7"/>
    <mergeCell ref="G16:H16"/>
    <mergeCell ref="H17:H24"/>
    <mergeCell ref="G28:H29"/>
    <mergeCell ref="G11:H15"/>
    <mergeCell ref="F9:H9"/>
  </mergeCells>
  <phoneticPr fontId="4" type="noConversion"/>
  <printOptions horizontalCentered="1"/>
  <pageMargins left="0.59055118110236227" right="0.59055118110236227" top="0.59055118110236227" bottom="0.78740157480314965" header="0.51181102362204722" footer="0.51181102362204722"/>
  <pageSetup paperSize="9" firstPageNumber="54"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Q141"/>
  <sheetViews>
    <sheetView showGridLines="0" view="pageBreakPreview" zoomScaleNormal="100" zoomScaleSheetLayoutView="100" workbookViewId="0">
      <selection activeCell="A85" sqref="A85"/>
    </sheetView>
  </sheetViews>
  <sheetFormatPr defaultColWidth="12" defaultRowHeight="20.3"/>
  <cols>
    <col min="1" max="1" width="25.5" style="159" customWidth="1"/>
    <col min="2" max="2" width="14.75" style="159" customWidth="1"/>
    <col min="3" max="3" width="50" style="159" customWidth="1"/>
    <col min="4" max="16384" width="12" style="159"/>
  </cols>
  <sheetData>
    <row r="1" spans="1:17" s="2" customFormat="1" ht="22.25">
      <c r="A1" s="1051" t="s">
        <v>62</v>
      </c>
      <c r="B1" s="1051"/>
      <c r="C1" s="1051"/>
    </row>
    <row r="2" spans="1:17" s="2" customFormat="1" ht="22.25">
      <c r="A2" s="1051" t="s">
        <v>63</v>
      </c>
      <c r="B2" s="1051"/>
      <c r="C2" s="1051"/>
    </row>
    <row r="3" spans="1:17" s="2" customFormat="1" ht="24.75" customHeight="1">
      <c r="A3" s="1053" t="s">
        <v>153</v>
      </c>
      <c r="B3" s="1053"/>
      <c r="C3" s="1053"/>
    </row>
    <row r="4" spans="1:17" s="2" customFormat="1" ht="24.9" customHeight="1" thickBot="1">
      <c r="A4" s="1055" t="s">
        <v>1121</v>
      </c>
      <c r="B4" s="1055"/>
      <c r="C4" s="1055"/>
    </row>
    <row r="5" spans="1:17" s="6" customFormat="1" ht="15.75" customHeight="1">
      <c r="A5" s="1178" t="s">
        <v>199</v>
      </c>
      <c r="B5" s="1256" t="s">
        <v>65</v>
      </c>
      <c r="C5" s="1251" t="s">
        <v>66</v>
      </c>
      <c r="D5" s="4"/>
      <c r="E5" s="4"/>
    </row>
    <row r="6" spans="1:17" s="6" customFormat="1" ht="15.75" customHeight="1">
      <c r="A6" s="1179"/>
      <c r="B6" s="1293"/>
      <c r="C6" s="1295"/>
      <c r="D6" s="4"/>
      <c r="E6" s="4"/>
    </row>
    <row r="7" spans="1:17" s="6" customFormat="1" ht="15.75" customHeight="1">
      <c r="A7" s="1180"/>
      <c r="B7" s="1294"/>
      <c r="C7" s="1295"/>
    </row>
    <row r="8" spans="1:17" s="743" customFormat="1" ht="4.95" customHeight="1">
      <c r="A8" s="752"/>
      <c r="B8" s="751"/>
      <c r="C8" s="753"/>
    </row>
    <row r="9" spans="1:17" s="216" customFormat="1" ht="24.55" customHeight="1">
      <c r="A9" s="456" t="s">
        <v>263</v>
      </c>
      <c r="B9" s="208">
        <f>B10+B63+B95</f>
        <v>466231821</v>
      </c>
      <c r="C9" s="744"/>
    </row>
    <row r="10" spans="1:17" s="236" customFormat="1" ht="21.6" customHeight="1">
      <c r="A10" s="457" t="s">
        <v>34</v>
      </c>
      <c r="B10" s="208">
        <f>SUM(B11,B61)</f>
        <v>433065251</v>
      </c>
      <c r="C10" s="745"/>
    </row>
    <row r="11" spans="1:17" s="236" customFormat="1" ht="24.05" customHeight="1">
      <c r="A11" s="458" t="s">
        <v>264</v>
      </c>
      <c r="B11" s="212">
        <f>SUM(B12,B16,B20,B24,B32,B39,B36,B42,B28,B46,B49,B52,B55,B57)</f>
        <v>432600814</v>
      </c>
      <c r="C11" s="745" t="s">
        <v>1418</v>
      </c>
    </row>
    <row r="12" spans="1:17" s="238" customFormat="1" ht="48.8" customHeight="1">
      <c r="A12" s="135" t="s">
        <v>265</v>
      </c>
      <c r="B12" s="212">
        <f>SUM(B13:B15)</f>
        <v>144135809</v>
      </c>
      <c r="C12" s="1292" t="s">
        <v>154</v>
      </c>
    </row>
    <row r="13" spans="1:17" s="239" customFormat="1" ht="24.05" customHeight="1">
      <c r="A13" s="480" t="s">
        <v>282</v>
      </c>
      <c r="B13" s="211">
        <v>28182979</v>
      </c>
      <c r="C13" s="1292"/>
    </row>
    <row r="14" spans="1:17" s="239" customFormat="1" ht="24.9" customHeight="1">
      <c r="A14" s="480" t="s">
        <v>283</v>
      </c>
      <c r="B14" s="211">
        <v>101861340</v>
      </c>
      <c r="C14" s="1292"/>
    </row>
    <row r="15" spans="1:17" s="239" customFormat="1" ht="20.45" customHeight="1">
      <c r="A15" s="480" t="s">
        <v>281</v>
      </c>
      <c r="B15" s="211">
        <v>14091490</v>
      </c>
      <c r="C15" s="1292"/>
    </row>
    <row r="16" spans="1:17" s="238" customFormat="1" ht="40.25" customHeight="1">
      <c r="A16" s="135" t="s">
        <v>266</v>
      </c>
      <c r="B16" s="212">
        <f>SUM(B17:B19)</f>
        <v>148441894</v>
      </c>
      <c r="C16" s="1292" t="s">
        <v>154</v>
      </c>
      <c r="D16" s="239"/>
      <c r="E16" s="239"/>
      <c r="F16" s="239"/>
      <c r="G16" s="239"/>
      <c r="H16" s="239"/>
      <c r="I16" s="239"/>
      <c r="J16" s="239"/>
      <c r="K16" s="239"/>
      <c r="L16" s="239"/>
      <c r="M16" s="239"/>
      <c r="N16" s="239"/>
      <c r="O16" s="239"/>
      <c r="P16" s="239"/>
      <c r="Q16" s="239"/>
    </row>
    <row r="17" spans="1:17" s="239" customFormat="1" ht="24.9" customHeight="1">
      <c r="A17" s="480" t="s">
        <v>284</v>
      </c>
      <c r="B17" s="211">
        <v>29215368</v>
      </c>
      <c r="C17" s="1292"/>
    </row>
    <row r="18" spans="1:17" s="239" customFormat="1" ht="24.9" customHeight="1">
      <c r="A18" s="480" t="s">
        <v>283</v>
      </c>
      <c r="B18" s="211">
        <v>104618842</v>
      </c>
      <c r="C18" s="1292"/>
    </row>
    <row r="19" spans="1:17" s="239" customFormat="1" ht="24.9" customHeight="1">
      <c r="A19" s="480" t="s">
        <v>281</v>
      </c>
      <c r="B19" s="211">
        <v>14607684</v>
      </c>
      <c r="C19" s="1292"/>
    </row>
    <row r="20" spans="1:17" s="239" customFormat="1" ht="50.25" customHeight="1">
      <c r="A20" s="135" t="s">
        <v>274</v>
      </c>
      <c r="B20" s="212">
        <f>SUM(B21:B23)</f>
        <v>15857792</v>
      </c>
      <c r="C20" s="1292" t="s">
        <v>154</v>
      </c>
    </row>
    <row r="21" spans="1:17" s="239" customFormat="1" ht="24.9" customHeight="1">
      <c r="A21" s="480" t="s">
        <v>761</v>
      </c>
      <c r="B21" s="211">
        <v>3135722</v>
      </c>
      <c r="C21" s="1292"/>
    </row>
    <row r="22" spans="1:17" s="239" customFormat="1" ht="24.75" customHeight="1">
      <c r="A22" s="480" t="s">
        <v>285</v>
      </c>
      <c r="B22" s="211">
        <v>11154210</v>
      </c>
      <c r="C22" s="1292"/>
    </row>
    <row r="23" spans="1:17" s="239" customFormat="1" ht="25.2" customHeight="1">
      <c r="A23" s="480" t="s">
        <v>286</v>
      </c>
      <c r="B23" s="211">
        <v>1567860</v>
      </c>
      <c r="C23" s="1292"/>
    </row>
    <row r="24" spans="1:17" s="239" customFormat="1" ht="48.6" customHeight="1">
      <c r="A24" s="135" t="s">
        <v>287</v>
      </c>
      <c r="B24" s="212">
        <f>SUM(B25:B27)</f>
        <v>19862391</v>
      </c>
      <c r="C24" s="1292" t="s">
        <v>154</v>
      </c>
    </row>
    <row r="25" spans="1:17" s="239" customFormat="1" ht="27.65" customHeight="1">
      <c r="A25" s="480" t="s">
        <v>284</v>
      </c>
      <c r="B25" s="211">
        <v>3927591</v>
      </c>
      <c r="C25" s="1292"/>
    </row>
    <row r="26" spans="1:17" s="239" customFormat="1" ht="23.25" customHeight="1">
      <c r="A26" s="480" t="s">
        <v>283</v>
      </c>
      <c r="B26" s="211">
        <v>13971004</v>
      </c>
      <c r="C26" s="1292"/>
    </row>
    <row r="27" spans="1:17" s="239" customFormat="1" ht="25.55" customHeight="1">
      <c r="A27" s="480" t="s">
        <v>281</v>
      </c>
      <c r="B27" s="211">
        <v>1963796</v>
      </c>
      <c r="C27" s="1292"/>
    </row>
    <row r="28" spans="1:17" s="238" customFormat="1" ht="50.4" customHeight="1">
      <c r="A28" s="135" t="s">
        <v>277</v>
      </c>
      <c r="B28" s="212">
        <f>SUM(B29:B31)</f>
        <v>196422</v>
      </c>
      <c r="C28" s="987" t="s">
        <v>154</v>
      </c>
      <c r="D28" s="239"/>
      <c r="E28" s="239"/>
      <c r="F28" s="239"/>
      <c r="G28" s="239"/>
      <c r="H28" s="239"/>
      <c r="I28" s="239"/>
      <c r="J28" s="239"/>
      <c r="K28" s="239"/>
      <c r="L28" s="239"/>
      <c r="M28" s="239"/>
      <c r="N28" s="239"/>
      <c r="O28" s="239"/>
      <c r="P28" s="239"/>
      <c r="Q28" s="239"/>
    </row>
    <row r="29" spans="1:17" s="239" customFormat="1" ht="21.8" customHeight="1" thickBot="1">
      <c r="A29" s="483" t="s">
        <v>764</v>
      </c>
      <c r="B29" s="988">
        <v>38586</v>
      </c>
      <c r="C29" s="989"/>
    </row>
    <row r="30" spans="1:17" s="239" customFormat="1" ht="25.2" customHeight="1">
      <c r="A30" s="480" t="s">
        <v>285</v>
      </c>
      <c r="B30" s="211">
        <v>138543</v>
      </c>
      <c r="C30" s="987"/>
    </row>
    <row r="31" spans="1:17" s="239" customFormat="1" ht="24.55" customHeight="1">
      <c r="A31" s="480" t="s">
        <v>293</v>
      </c>
      <c r="B31" s="211">
        <v>19293</v>
      </c>
      <c r="C31" s="987"/>
    </row>
    <row r="32" spans="1:17" s="238" customFormat="1" ht="55.15" customHeight="1">
      <c r="A32" s="135" t="s">
        <v>762</v>
      </c>
      <c r="B32" s="212">
        <f>SUM(B33:B35)</f>
        <v>215145</v>
      </c>
      <c r="C32" s="749" t="s">
        <v>154</v>
      </c>
      <c r="D32" s="239"/>
      <c r="E32" s="239"/>
      <c r="F32" s="239"/>
      <c r="G32" s="239"/>
      <c r="H32" s="239"/>
      <c r="I32" s="239"/>
      <c r="J32" s="239"/>
      <c r="K32" s="239"/>
      <c r="L32" s="239"/>
      <c r="M32" s="239"/>
      <c r="N32" s="239"/>
      <c r="O32" s="239"/>
      <c r="P32" s="239"/>
      <c r="Q32" s="239"/>
    </row>
    <row r="33" spans="1:17" s="239" customFormat="1" ht="27" customHeight="1">
      <c r="A33" s="480" t="s">
        <v>761</v>
      </c>
      <c r="B33" s="211">
        <v>42583</v>
      </c>
      <c r="C33" s="747"/>
    </row>
    <row r="34" spans="1:17" s="239" customFormat="1" ht="23.4" customHeight="1">
      <c r="A34" s="480" t="s">
        <v>763</v>
      </c>
      <c r="B34" s="211">
        <v>151271</v>
      </c>
      <c r="C34" s="747"/>
    </row>
    <row r="35" spans="1:17" s="239" customFormat="1" ht="27" customHeight="1">
      <c r="A35" s="480" t="s">
        <v>289</v>
      </c>
      <c r="B35" s="211">
        <v>21291</v>
      </c>
      <c r="C35" s="747"/>
    </row>
    <row r="36" spans="1:17" s="238" customFormat="1" ht="36" customHeight="1">
      <c r="A36" s="26" t="s">
        <v>268</v>
      </c>
      <c r="B36" s="212">
        <f>SUM(B37:B38)</f>
        <v>73312135</v>
      </c>
      <c r="C36" s="1292" t="s">
        <v>156</v>
      </c>
      <c r="D36" s="239"/>
      <c r="E36" s="239"/>
      <c r="F36" s="239"/>
      <c r="G36" s="239"/>
      <c r="H36" s="239"/>
      <c r="I36" s="239"/>
      <c r="J36" s="239"/>
      <c r="K36" s="239"/>
      <c r="L36" s="239"/>
      <c r="M36" s="239"/>
      <c r="N36" s="239"/>
      <c r="O36" s="239"/>
      <c r="P36" s="239"/>
      <c r="Q36" s="239"/>
    </row>
    <row r="37" spans="1:17" s="239" customFormat="1" ht="27" customHeight="1">
      <c r="A37" s="480" t="s">
        <v>291</v>
      </c>
      <c r="B37" s="211">
        <v>43987281</v>
      </c>
      <c r="C37" s="1292"/>
    </row>
    <row r="38" spans="1:17" s="239" customFormat="1" ht="27" customHeight="1">
      <c r="A38" s="480" t="s">
        <v>290</v>
      </c>
      <c r="B38" s="211">
        <v>29324854</v>
      </c>
      <c r="C38" s="1292"/>
    </row>
    <row r="39" spans="1:17" s="238" customFormat="1" ht="34.85" customHeight="1">
      <c r="A39" s="26" t="s">
        <v>267</v>
      </c>
      <c r="B39" s="212">
        <f>SUM(B40:B41)</f>
        <v>9607479</v>
      </c>
      <c r="C39" s="1292" t="s">
        <v>155</v>
      </c>
      <c r="D39" s="239"/>
      <c r="E39" s="239"/>
      <c r="F39" s="239"/>
      <c r="G39" s="239"/>
      <c r="H39" s="239"/>
      <c r="I39" s="239"/>
      <c r="J39" s="239"/>
      <c r="K39" s="239"/>
      <c r="L39" s="239"/>
      <c r="M39" s="239"/>
      <c r="N39" s="239"/>
      <c r="O39" s="239"/>
      <c r="P39" s="239"/>
      <c r="Q39" s="239"/>
    </row>
    <row r="40" spans="1:17" s="239" customFormat="1" ht="27" customHeight="1">
      <c r="A40" s="480" t="s">
        <v>284</v>
      </c>
      <c r="B40" s="211">
        <v>1921496</v>
      </c>
      <c r="C40" s="1292"/>
    </row>
    <row r="41" spans="1:17" s="239" customFormat="1" ht="27" customHeight="1">
      <c r="A41" s="480" t="s">
        <v>290</v>
      </c>
      <c r="B41" s="211">
        <v>7685983</v>
      </c>
      <c r="C41" s="1292"/>
    </row>
    <row r="42" spans="1:17" s="238" customFormat="1" ht="42.05" customHeight="1">
      <c r="A42" s="26" t="s">
        <v>269</v>
      </c>
      <c r="B42" s="212">
        <f>SUM(B43:B45)</f>
        <v>17743790</v>
      </c>
      <c r="C42" s="1292" t="s">
        <v>154</v>
      </c>
      <c r="D42" s="239"/>
      <c r="E42" s="239"/>
      <c r="F42" s="239"/>
      <c r="G42" s="239"/>
      <c r="H42" s="239"/>
      <c r="I42" s="239"/>
      <c r="J42" s="239"/>
      <c r="K42" s="239"/>
      <c r="L42" s="239"/>
      <c r="M42" s="239"/>
      <c r="N42" s="239"/>
      <c r="O42" s="239"/>
      <c r="P42" s="239"/>
      <c r="Q42" s="239"/>
    </row>
    <row r="43" spans="1:17" s="239" customFormat="1" ht="27" customHeight="1">
      <c r="A43" s="480" t="s">
        <v>284</v>
      </c>
      <c r="B43" s="211">
        <v>3508659</v>
      </c>
      <c r="C43" s="1292"/>
    </row>
    <row r="44" spans="1:17" s="239" customFormat="1" ht="27" customHeight="1">
      <c r="A44" s="480" t="s">
        <v>285</v>
      </c>
      <c r="B44" s="211">
        <v>12480801</v>
      </c>
      <c r="C44" s="1292"/>
    </row>
    <row r="45" spans="1:17" s="239" customFormat="1" ht="27" customHeight="1">
      <c r="A45" s="480" t="s">
        <v>292</v>
      </c>
      <c r="B45" s="211">
        <v>1754330</v>
      </c>
      <c r="C45" s="1292"/>
    </row>
    <row r="46" spans="1:17" s="238" customFormat="1" ht="40.25" customHeight="1">
      <c r="A46" s="26" t="s">
        <v>270</v>
      </c>
      <c r="B46" s="212">
        <f>SUM(B47:B48)</f>
        <v>536382</v>
      </c>
      <c r="C46" s="1292" t="s">
        <v>605</v>
      </c>
      <c r="D46" s="239"/>
      <c r="E46" s="239"/>
      <c r="F46" s="239"/>
      <c r="G46" s="239"/>
      <c r="H46" s="239"/>
      <c r="I46" s="239"/>
      <c r="J46" s="239"/>
      <c r="K46" s="239"/>
      <c r="L46" s="239"/>
      <c r="M46" s="239"/>
      <c r="N46" s="239"/>
      <c r="O46" s="239"/>
      <c r="P46" s="239"/>
      <c r="Q46" s="239"/>
    </row>
    <row r="47" spans="1:17" s="239" customFormat="1" ht="32.25" customHeight="1">
      <c r="A47" s="480" t="s">
        <v>294</v>
      </c>
      <c r="B47" s="211">
        <v>429106</v>
      </c>
      <c r="C47" s="1297"/>
    </row>
    <row r="48" spans="1:17" s="239" customFormat="1" ht="29.3" customHeight="1">
      <c r="A48" s="480" t="s">
        <v>293</v>
      </c>
      <c r="B48" s="211">
        <v>107276</v>
      </c>
      <c r="C48" s="1297"/>
    </row>
    <row r="49" spans="1:17" s="238" customFormat="1" ht="39.6" customHeight="1" thickBot="1">
      <c r="A49" s="482" t="s">
        <v>271</v>
      </c>
      <c r="B49" s="215">
        <f>SUM(B50:B51)</f>
        <v>78209</v>
      </c>
      <c r="C49" s="746" t="s">
        <v>157</v>
      </c>
      <c r="D49" s="239"/>
      <c r="E49" s="239"/>
      <c r="F49" s="239"/>
      <c r="G49" s="239"/>
      <c r="H49" s="239"/>
      <c r="I49" s="239"/>
      <c r="J49" s="239"/>
      <c r="K49" s="239"/>
      <c r="L49" s="239"/>
      <c r="M49" s="239"/>
      <c r="N49" s="239"/>
      <c r="O49" s="239"/>
      <c r="P49" s="239"/>
      <c r="Q49" s="239"/>
    </row>
    <row r="50" spans="1:17" s="239" customFormat="1" ht="24.9" customHeight="1">
      <c r="A50" s="480" t="s">
        <v>295</v>
      </c>
      <c r="B50" s="211">
        <v>62567</v>
      </c>
      <c r="C50" s="747"/>
    </row>
    <row r="51" spans="1:17" s="239" customFormat="1" ht="24.9" customHeight="1">
      <c r="A51" s="480" t="s">
        <v>281</v>
      </c>
      <c r="B51" s="211">
        <v>15642</v>
      </c>
      <c r="C51" s="747"/>
    </row>
    <row r="52" spans="1:17" s="238" customFormat="1" ht="30.8" customHeight="1">
      <c r="A52" s="26" t="s">
        <v>288</v>
      </c>
      <c r="B52" s="212">
        <f>SUM(B53:B54)</f>
        <v>36162</v>
      </c>
      <c r="C52" s="1292" t="s">
        <v>1145</v>
      </c>
      <c r="D52" s="239"/>
      <c r="E52" s="239"/>
      <c r="F52" s="239"/>
      <c r="G52" s="239"/>
      <c r="H52" s="239"/>
      <c r="I52" s="239"/>
      <c r="J52" s="239"/>
      <c r="K52" s="239"/>
      <c r="L52" s="239"/>
      <c r="M52" s="239"/>
      <c r="N52" s="239"/>
      <c r="O52" s="239"/>
      <c r="P52" s="239"/>
      <c r="Q52" s="239"/>
    </row>
    <row r="53" spans="1:17" s="239" customFormat="1" ht="24.9" customHeight="1">
      <c r="A53" s="480" t="s">
        <v>294</v>
      </c>
      <c r="B53" s="211">
        <v>14103</v>
      </c>
      <c r="C53" s="1297"/>
    </row>
    <row r="54" spans="1:17" s="239" customFormat="1" ht="24.9" customHeight="1">
      <c r="A54" s="480" t="s">
        <v>296</v>
      </c>
      <c r="B54" s="211">
        <v>22059</v>
      </c>
      <c r="C54" s="1297"/>
    </row>
    <row r="55" spans="1:17" s="238" customFormat="1" ht="64.150000000000006" customHeight="1">
      <c r="A55" s="135" t="s">
        <v>278</v>
      </c>
      <c r="B55" s="212">
        <f>SUM(B56)</f>
        <v>293328</v>
      </c>
      <c r="C55" s="1292" t="s">
        <v>158</v>
      </c>
      <c r="D55" s="239"/>
      <c r="E55" s="239"/>
      <c r="F55" s="239"/>
      <c r="G55" s="239"/>
      <c r="H55" s="239"/>
      <c r="I55" s="239"/>
      <c r="J55" s="239"/>
      <c r="K55" s="239"/>
      <c r="L55" s="239"/>
      <c r="M55" s="239"/>
      <c r="N55" s="239"/>
      <c r="O55" s="239"/>
      <c r="P55" s="239"/>
      <c r="Q55" s="239"/>
    </row>
    <row r="56" spans="1:17" s="238" customFormat="1" ht="24.9" customHeight="1">
      <c r="A56" s="480" t="s">
        <v>285</v>
      </c>
      <c r="B56" s="211">
        <v>293328</v>
      </c>
      <c r="C56" s="1292"/>
      <c r="D56" s="239"/>
      <c r="E56" s="239"/>
      <c r="F56" s="239"/>
      <c r="G56" s="239"/>
      <c r="H56" s="239"/>
      <c r="I56" s="239"/>
      <c r="J56" s="239"/>
      <c r="K56" s="239"/>
      <c r="L56" s="239"/>
      <c r="M56" s="239"/>
      <c r="N56" s="239"/>
      <c r="O56" s="239"/>
      <c r="P56" s="239"/>
      <c r="Q56" s="239"/>
    </row>
    <row r="57" spans="1:17" s="238" customFormat="1" ht="41.25" customHeight="1">
      <c r="A57" s="26" t="s">
        <v>273</v>
      </c>
      <c r="B57" s="212">
        <f>SUM(B58:B60)</f>
        <v>2283876</v>
      </c>
      <c r="C57" s="1292" t="s">
        <v>1144</v>
      </c>
      <c r="D57" s="239"/>
      <c r="E57" s="239"/>
      <c r="F57" s="239"/>
      <c r="G57" s="239"/>
      <c r="H57" s="239"/>
      <c r="I57" s="239"/>
      <c r="J57" s="239"/>
      <c r="K57" s="239"/>
      <c r="L57" s="239"/>
      <c r="M57" s="239"/>
      <c r="N57" s="239"/>
      <c r="O57" s="239"/>
      <c r="P57" s="239"/>
      <c r="Q57" s="239"/>
    </row>
    <row r="58" spans="1:17" s="238" customFormat="1" ht="27" customHeight="1">
      <c r="A58" s="480" t="s">
        <v>764</v>
      </c>
      <c r="B58" s="211">
        <v>456775</v>
      </c>
      <c r="C58" s="1297"/>
      <c r="D58" s="239"/>
      <c r="E58" s="239"/>
      <c r="F58" s="239"/>
      <c r="G58" s="239"/>
      <c r="H58" s="239"/>
      <c r="I58" s="239"/>
      <c r="J58" s="239"/>
      <c r="K58" s="239"/>
      <c r="L58" s="239"/>
      <c r="M58" s="239"/>
      <c r="N58" s="239"/>
      <c r="O58" s="239"/>
      <c r="P58" s="239"/>
      <c r="Q58" s="239"/>
    </row>
    <row r="59" spans="1:17" s="238" customFormat="1" ht="24.9" customHeight="1">
      <c r="A59" s="480" t="s">
        <v>285</v>
      </c>
      <c r="B59" s="211">
        <v>1598713</v>
      </c>
      <c r="C59" s="1297"/>
      <c r="D59" s="239"/>
      <c r="E59" s="239"/>
      <c r="F59" s="239"/>
      <c r="G59" s="239"/>
      <c r="H59" s="239"/>
      <c r="I59" s="239"/>
      <c r="J59" s="239"/>
      <c r="K59" s="239"/>
      <c r="L59" s="239"/>
      <c r="M59" s="239"/>
      <c r="N59" s="239"/>
      <c r="O59" s="239"/>
      <c r="P59" s="239"/>
      <c r="Q59" s="239"/>
    </row>
    <row r="60" spans="1:17" s="239" customFormat="1" ht="24.9" customHeight="1">
      <c r="A60" s="480" t="s">
        <v>289</v>
      </c>
      <c r="B60" s="211">
        <v>228388</v>
      </c>
      <c r="C60" s="745"/>
    </row>
    <row r="61" spans="1:17" s="238" customFormat="1" ht="50.4" customHeight="1">
      <c r="A61" s="457" t="s">
        <v>307</v>
      </c>
      <c r="B61" s="208">
        <v>464437</v>
      </c>
      <c r="C61" s="748" t="s">
        <v>1195</v>
      </c>
      <c r="D61" s="239"/>
      <c r="E61" s="239"/>
      <c r="F61" s="239"/>
      <c r="G61" s="239"/>
      <c r="H61" s="239"/>
      <c r="I61" s="239"/>
      <c r="J61" s="239"/>
      <c r="K61" s="239"/>
      <c r="L61" s="239"/>
      <c r="M61" s="239"/>
      <c r="N61" s="239"/>
      <c r="O61" s="239"/>
      <c r="P61" s="239"/>
      <c r="Q61" s="239"/>
    </row>
    <row r="62" spans="1:17" s="238" customFormat="1" ht="7.2" customHeight="1">
      <c r="A62" s="480"/>
      <c r="B62" s="212"/>
      <c r="C62" s="745"/>
      <c r="D62" s="239"/>
      <c r="E62" s="239"/>
      <c r="F62" s="239"/>
      <c r="G62" s="239"/>
      <c r="H62" s="239"/>
      <c r="I62" s="239"/>
      <c r="J62" s="239"/>
      <c r="K62" s="239"/>
      <c r="L62" s="239"/>
      <c r="M62" s="239"/>
      <c r="N62" s="239"/>
      <c r="O62" s="239"/>
      <c r="P62" s="239"/>
      <c r="Q62" s="239"/>
    </row>
    <row r="63" spans="1:17" s="238" customFormat="1" ht="29.3" customHeight="1">
      <c r="A63" s="457" t="s">
        <v>35</v>
      </c>
      <c r="B63" s="208">
        <f>SUM(B64,B93)</f>
        <v>29807684</v>
      </c>
      <c r="C63" s="745"/>
    </row>
    <row r="64" spans="1:17" s="238" customFormat="1" ht="29.95" customHeight="1">
      <c r="A64" s="458" t="s">
        <v>264</v>
      </c>
      <c r="B64" s="208">
        <f>SUM(B65,B69,B73,B77,B85,B81,B89)</f>
        <v>29783754</v>
      </c>
      <c r="C64" s="745"/>
    </row>
    <row r="65" spans="1:17" s="238" customFormat="1" ht="50.4" customHeight="1">
      <c r="A65" s="135" t="s">
        <v>265</v>
      </c>
      <c r="B65" s="208">
        <f>SUM(B66:B68)</f>
        <v>11819279</v>
      </c>
      <c r="C65" s="1292" t="s">
        <v>159</v>
      </c>
    </row>
    <row r="66" spans="1:17" s="239" customFormat="1" ht="27.85" customHeight="1">
      <c r="A66" s="480" t="s">
        <v>764</v>
      </c>
      <c r="B66" s="209">
        <v>2363856</v>
      </c>
      <c r="C66" s="1292"/>
    </row>
    <row r="67" spans="1:17" s="239" customFormat="1" ht="24.75" customHeight="1">
      <c r="A67" s="480" t="s">
        <v>763</v>
      </c>
      <c r="B67" s="209">
        <v>8273495</v>
      </c>
      <c r="C67" s="1292"/>
    </row>
    <row r="68" spans="1:17" s="239" customFormat="1" ht="26.35" customHeight="1">
      <c r="A68" s="480" t="s">
        <v>289</v>
      </c>
      <c r="B68" s="209">
        <v>1181928</v>
      </c>
      <c r="C68" s="1292"/>
    </row>
    <row r="69" spans="1:17" s="238" customFormat="1" ht="42.05" customHeight="1" thickBot="1">
      <c r="A69" s="481" t="s">
        <v>765</v>
      </c>
      <c r="B69" s="213">
        <f>SUM(B70:B72)</f>
        <v>12881058</v>
      </c>
      <c r="C69" s="746" t="s">
        <v>159</v>
      </c>
      <c r="D69" s="239"/>
      <c r="E69" s="239"/>
      <c r="F69" s="239"/>
      <c r="G69" s="239"/>
      <c r="H69" s="239"/>
      <c r="I69" s="239"/>
      <c r="J69" s="239"/>
      <c r="K69" s="239"/>
      <c r="L69" s="239"/>
      <c r="M69" s="239"/>
      <c r="N69" s="239"/>
      <c r="O69" s="239"/>
      <c r="P69" s="239"/>
      <c r="Q69" s="239"/>
    </row>
    <row r="70" spans="1:17" s="239" customFormat="1" ht="25.2" customHeight="1">
      <c r="A70" s="480" t="s">
        <v>282</v>
      </c>
      <c r="B70" s="209">
        <v>2576212</v>
      </c>
      <c r="C70" s="749"/>
    </row>
    <row r="71" spans="1:17" s="239" customFormat="1" ht="25.2" customHeight="1">
      <c r="A71" s="480" t="s">
        <v>285</v>
      </c>
      <c r="B71" s="209">
        <v>9016740</v>
      </c>
      <c r="C71" s="749"/>
    </row>
    <row r="72" spans="1:17" s="239" customFormat="1" ht="25.2" customHeight="1">
      <c r="A72" s="480" t="s">
        <v>281</v>
      </c>
      <c r="B72" s="209">
        <v>1288106</v>
      </c>
      <c r="C72" s="749"/>
    </row>
    <row r="73" spans="1:17" s="239" customFormat="1" ht="45" customHeight="1">
      <c r="A73" s="135" t="s">
        <v>280</v>
      </c>
      <c r="B73" s="208">
        <f>SUM(B74:B76)</f>
        <v>1464809</v>
      </c>
      <c r="C73" s="1292" t="s">
        <v>159</v>
      </c>
    </row>
    <row r="74" spans="1:17" s="239" customFormat="1" ht="25.2" customHeight="1">
      <c r="A74" s="480" t="s">
        <v>297</v>
      </c>
      <c r="B74" s="209">
        <v>292962</v>
      </c>
      <c r="C74" s="1292"/>
    </row>
    <row r="75" spans="1:17" s="239" customFormat="1" ht="25.2" customHeight="1">
      <c r="A75" s="480" t="s">
        <v>285</v>
      </c>
      <c r="B75" s="209">
        <v>1025366</v>
      </c>
      <c r="C75" s="1292"/>
    </row>
    <row r="76" spans="1:17" s="239" customFormat="1" ht="26.2" customHeight="1">
      <c r="A76" s="480" t="s">
        <v>281</v>
      </c>
      <c r="B76" s="209">
        <v>146481</v>
      </c>
      <c r="C76" s="1292"/>
    </row>
    <row r="77" spans="1:17" s="239" customFormat="1" ht="50.25" customHeight="1">
      <c r="A77" s="135" t="s">
        <v>275</v>
      </c>
      <c r="B77" s="208">
        <f>SUM(B78:B80)</f>
        <v>1870010</v>
      </c>
      <c r="C77" s="750" t="s">
        <v>159</v>
      </c>
    </row>
    <row r="78" spans="1:17" s="239" customFormat="1" ht="25.2" customHeight="1">
      <c r="A78" s="480" t="s">
        <v>284</v>
      </c>
      <c r="B78" s="209">
        <v>374002</v>
      </c>
      <c r="C78" s="749"/>
    </row>
    <row r="79" spans="1:17" s="239" customFormat="1" ht="25.2" customHeight="1">
      <c r="A79" s="480" t="s">
        <v>283</v>
      </c>
      <c r="B79" s="209">
        <v>1309007</v>
      </c>
      <c r="C79" s="749"/>
    </row>
    <row r="80" spans="1:17" s="239" customFormat="1" ht="25.2" customHeight="1">
      <c r="A80" s="480" t="s">
        <v>281</v>
      </c>
      <c r="B80" s="209">
        <v>187001</v>
      </c>
      <c r="C80" s="749"/>
    </row>
    <row r="81" spans="1:17" s="238" customFormat="1" ht="47.95" customHeight="1">
      <c r="A81" s="135" t="s">
        <v>277</v>
      </c>
      <c r="B81" s="208">
        <f>SUM(B82:B84)</f>
        <v>2709</v>
      </c>
      <c r="C81" s="1292" t="s">
        <v>159</v>
      </c>
      <c r="D81" s="239"/>
      <c r="E81" s="239"/>
      <c r="F81" s="239"/>
      <c r="G81" s="239"/>
      <c r="H81" s="239"/>
      <c r="I81" s="239"/>
      <c r="J81" s="239"/>
      <c r="K81" s="239"/>
      <c r="L81" s="239"/>
      <c r="M81" s="239"/>
      <c r="N81" s="239"/>
      <c r="O81" s="239"/>
      <c r="P81" s="239"/>
      <c r="Q81" s="239"/>
    </row>
    <row r="82" spans="1:17" s="239" customFormat="1" ht="21.6" customHeight="1">
      <c r="A82" s="480" t="s">
        <v>764</v>
      </c>
      <c r="B82" s="209">
        <v>542</v>
      </c>
      <c r="C82" s="1292"/>
    </row>
    <row r="83" spans="1:17" s="239" customFormat="1" ht="23.4" customHeight="1">
      <c r="A83" s="480" t="s">
        <v>298</v>
      </c>
      <c r="B83" s="209">
        <v>1896</v>
      </c>
      <c r="C83" s="1292"/>
    </row>
    <row r="84" spans="1:17" s="239" customFormat="1" ht="24.05" customHeight="1">
      <c r="A84" s="480" t="s">
        <v>766</v>
      </c>
      <c r="B84" s="209">
        <v>271</v>
      </c>
      <c r="C84" s="1292"/>
    </row>
    <row r="85" spans="1:17" s="238" customFormat="1" ht="36" customHeight="1">
      <c r="A85" s="26" t="s">
        <v>269</v>
      </c>
      <c r="B85" s="208">
        <f>SUM(B86:B88)</f>
        <v>1528377</v>
      </c>
      <c r="C85" s="1292" t="s">
        <v>159</v>
      </c>
      <c r="D85" s="239"/>
      <c r="E85" s="239"/>
      <c r="F85" s="239"/>
      <c r="G85" s="239"/>
      <c r="H85" s="239"/>
      <c r="I85" s="239"/>
      <c r="J85" s="239"/>
      <c r="K85" s="239"/>
      <c r="L85" s="239"/>
      <c r="M85" s="239"/>
      <c r="N85" s="239"/>
      <c r="O85" s="239"/>
      <c r="P85" s="239"/>
      <c r="Q85" s="239"/>
    </row>
    <row r="86" spans="1:17" s="239" customFormat="1" ht="24.55" customHeight="1">
      <c r="A86" s="480" t="s">
        <v>282</v>
      </c>
      <c r="B86" s="209">
        <v>305675</v>
      </c>
      <c r="C86" s="1292"/>
    </row>
    <row r="87" spans="1:17" s="239" customFormat="1" ht="23.4" customHeight="1">
      <c r="A87" s="480" t="s">
        <v>283</v>
      </c>
      <c r="B87" s="209">
        <v>1069864</v>
      </c>
      <c r="C87" s="1292"/>
    </row>
    <row r="88" spans="1:17" s="239" customFormat="1" ht="22.95" customHeight="1">
      <c r="A88" s="480" t="s">
        <v>290</v>
      </c>
      <c r="B88" s="209">
        <v>152838</v>
      </c>
      <c r="C88" s="1292"/>
    </row>
    <row r="89" spans="1:17" s="239" customFormat="1" ht="50.4" customHeight="1">
      <c r="A89" s="26" t="s">
        <v>273</v>
      </c>
      <c r="B89" s="208">
        <f>SUM(B90:B92)</f>
        <v>217512</v>
      </c>
      <c r="C89" s="1298" t="s">
        <v>1146</v>
      </c>
    </row>
    <row r="90" spans="1:17" s="239" customFormat="1" ht="26.2" customHeight="1" thickBot="1">
      <c r="A90" s="483" t="s">
        <v>767</v>
      </c>
      <c r="B90" s="210">
        <v>43502</v>
      </c>
      <c r="C90" s="1299"/>
    </row>
    <row r="91" spans="1:17" s="239" customFormat="1" ht="29.95" customHeight="1">
      <c r="A91" s="480" t="s">
        <v>285</v>
      </c>
      <c r="B91" s="209">
        <v>152259</v>
      </c>
      <c r="C91" s="747"/>
    </row>
    <row r="92" spans="1:17" s="239" customFormat="1" ht="29.95" customHeight="1">
      <c r="A92" s="480" t="s">
        <v>281</v>
      </c>
      <c r="B92" s="209">
        <v>21751</v>
      </c>
      <c r="C92" s="745"/>
    </row>
    <row r="93" spans="1:17" s="238" customFormat="1" ht="32.75">
      <c r="A93" s="457" t="s">
        <v>306</v>
      </c>
      <c r="B93" s="208">
        <v>23930</v>
      </c>
      <c r="C93" s="748" t="s">
        <v>1196</v>
      </c>
      <c r="D93" s="239"/>
      <c r="E93" s="239"/>
      <c r="F93" s="239"/>
      <c r="G93" s="239"/>
      <c r="H93" s="239"/>
      <c r="I93" s="239"/>
      <c r="J93" s="239"/>
      <c r="K93" s="239"/>
      <c r="L93" s="239"/>
      <c r="M93" s="239"/>
      <c r="N93" s="239"/>
      <c r="O93" s="239"/>
      <c r="P93" s="239"/>
      <c r="Q93" s="239"/>
    </row>
    <row r="94" spans="1:17" s="238" customFormat="1" ht="29.95" customHeight="1">
      <c r="A94" s="480"/>
      <c r="B94" s="212"/>
      <c r="C94" s="745"/>
      <c r="D94" s="239"/>
      <c r="E94" s="239"/>
      <c r="F94" s="239"/>
      <c r="G94" s="239"/>
      <c r="H94" s="239"/>
      <c r="I94" s="239"/>
      <c r="J94" s="239"/>
      <c r="K94" s="239"/>
      <c r="L94" s="239"/>
      <c r="M94" s="239"/>
      <c r="N94" s="239"/>
      <c r="O94" s="239"/>
      <c r="P94" s="239"/>
      <c r="Q94" s="239"/>
    </row>
    <row r="95" spans="1:17" s="238" customFormat="1" ht="29.95" customHeight="1">
      <c r="A95" s="457" t="s">
        <v>1005</v>
      </c>
      <c r="B95" s="208">
        <f>+B96+B101</f>
        <v>3358886</v>
      </c>
      <c r="C95" s="745"/>
      <c r="D95" s="239"/>
      <c r="E95" s="239"/>
      <c r="F95" s="239"/>
      <c r="G95" s="239"/>
      <c r="H95" s="239"/>
      <c r="I95" s="239"/>
      <c r="J95" s="239"/>
      <c r="K95" s="239"/>
      <c r="L95" s="239"/>
      <c r="M95" s="239"/>
      <c r="N95" s="239"/>
      <c r="O95" s="239"/>
      <c r="P95" s="239"/>
      <c r="Q95" s="239"/>
    </row>
    <row r="96" spans="1:17" s="238" customFormat="1" ht="29.95" customHeight="1">
      <c r="A96" s="457" t="s">
        <v>1006</v>
      </c>
      <c r="B96" s="208">
        <f>+B97+B100</f>
        <v>3250886</v>
      </c>
      <c r="C96" s="908"/>
      <c r="D96" s="239"/>
      <c r="E96" s="239"/>
      <c r="F96" s="239"/>
      <c r="G96" s="239"/>
      <c r="H96" s="239"/>
      <c r="I96" s="239"/>
      <c r="J96" s="239"/>
      <c r="K96" s="239"/>
      <c r="L96" s="239"/>
      <c r="M96" s="239"/>
      <c r="N96" s="239"/>
      <c r="O96" s="239"/>
      <c r="P96" s="239"/>
      <c r="Q96" s="239"/>
    </row>
    <row r="97" spans="1:17" s="238" customFormat="1" ht="29.95" customHeight="1">
      <c r="A97" s="458" t="s">
        <v>1014</v>
      </c>
      <c r="B97" s="208">
        <f>SUM(B98:B99)</f>
        <v>3239806</v>
      </c>
      <c r="C97" s="1296" t="s">
        <v>1007</v>
      </c>
      <c r="D97" s="239"/>
      <c r="E97" s="239"/>
      <c r="F97" s="239"/>
      <c r="G97" s="239"/>
      <c r="H97" s="239"/>
      <c r="I97" s="239"/>
      <c r="J97" s="239"/>
      <c r="K97" s="239"/>
      <c r="L97" s="239"/>
      <c r="M97" s="239"/>
      <c r="N97" s="239"/>
      <c r="O97" s="239"/>
      <c r="P97" s="239"/>
      <c r="Q97" s="239"/>
    </row>
    <row r="98" spans="1:17" s="239" customFormat="1" ht="30.6" customHeight="1">
      <c r="A98" s="480" t="s">
        <v>1015</v>
      </c>
      <c r="B98" s="211">
        <v>971942</v>
      </c>
      <c r="C98" s="1296"/>
    </row>
    <row r="99" spans="1:17" s="239" customFormat="1" ht="29.95" customHeight="1">
      <c r="A99" s="480" t="s">
        <v>1016</v>
      </c>
      <c r="B99" s="211">
        <v>2267864</v>
      </c>
      <c r="C99" s="745"/>
    </row>
    <row r="100" spans="1:17" s="238" customFormat="1" ht="36" customHeight="1">
      <c r="A100" s="457" t="s">
        <v>1017</v>
      </c>
      <c r="B100" s="208">
        <v>11080</v>
      </c>
      <c r="C100" s="909" t="s">
        <v>792</v>
      </c>
      <c r="D100" s="239"/>
      <c r="E100" s="239"/>
      <c r="F100" s="239"/>
      <c r="G100" s="239"/>
      <c r="H100" s="239"/>
      <c r="I100" s="239"/>
      <c r="J100" s="239"/>
      <c r="K100" s="239"/>
      <c r="L100" s="239"/>
      <c r="M100" s="239"/>
      <c r="N100" s="239"/>
      <c r="O100" s="239"/>
      <c r="P100" s="239"/>
      <c r="Q100" s="239"/>
    </row>
    <row r="101" spans="1:17" s="238" customFormat="1" ht="29.95" customHeight="1">
      <c r="A101" s="457" t="s">
        <v>1013</v>
      </c>
      <c r="B101" s="208">
        <f>SUM(B102,B110)</f>
        <v>108000</v>
      </c>
      <c r="C101" s="909"/>
      <c r="D101" s="239"/>
      <c r="E101" s="239"/>
      <c r="F101" s="239"/>
      <c r="G101" s="239"/>
      <c r="H101" s="239"/>
      <c r="I101" s="239"/>
      <c r="J101" s="239"/>
      <c r="K101" s="239"/>
      <c r="L101" s="239"/>
      <c r="M101" s="239"/>
      <c r="N101" s="239"/>
      <c r="O101" s="239"/>
      <c r="P101" s="239"/>
      <c r="Q101" s="239"/>
    </row>
    <row r="102" spans="1:17" s="238" customFormat="1" ht="29.95" customHeight="1">
      <c r="A102" s="458" t="s">
        <v>1011</v>
      </c>
      <c r="B102" s="208">
        <f>SUM(B103:B104)</f>
        <v>108000</v>
      </c>
      <c r="C102" s="913" t="s">
        <v>1008</v>
      </c>
      <c r="D102" s="239"/>
      <c r="E102" s="239"/>
      <c r="F102" s="239"/>
      <c r="G102" s="239"/>
      <c r="H102" s="239"/>
      <c r="I102" s="239"/>
      <c r="J102" s="239"/>
      <c r="K102" s="239"/>
      <c r="L102" s="239"/>
      <c r="M102" s="239"/>
      <c r="N102" s="239"/>
      <c r="O102" s="239"/>
      <c r="P102" s="239"/>
      <c r="Q102" s="239"/>
    </row>
    <row r="103" spans="1:17" s="239" customFormat="1" ht="30.6" customHeight="1">
      <c r="A103" s="480" t="s">
        <v>1015</v>
      </c>
      <c r="B103" s="211">
        <v>64800</v>
      </c>
      <c r="C103" s="909"/>
    </row>
    <row r="104" spans="1:17" s="239" customFormat="1" ht="29.95" customHeight="1">
      <c r="A104" s="480" t="s">
        <v>1016</v>
      </c>
      <c r="B104" s="211">
        <v>43200</v>
      </c>
      <c r="C104" s="909"/>
    </row>
    <row r="105" spans="1:17" s="239" customFormat="1" ht="29.3" customHeight="1">
      <c r="A105" s="480"/>
      <c r="B105" s="211"/>
      <c r="C105" s="912"/>
    </row>
    <row r="106" spans="1:17" s="239" customFormat="1" ht="29.95" customHeight="1">
      <c r="A106" s="480"/>
      <c r="B106" s="211"/>
      <c r="C106" s="912"/>
    </row>
    <row r="107" spans="1:17" s="239" customFormat="1" ht="42.05" customHeight="1">
      <c r="A107" s="480"/>
      <c r="B107" s="211"/>
      <c r="C107" s="912"/>
    </row>
    <row r="108" spans="1:17" s="239" customFormat="1" ht="35.35" customHeight="1">
      <c r="A108" s="480"/>
      <c r="B108" s="211"/>
      <c r="C108" s="912"/>
    </row>
    <row r="109" spans="1:17" s="239" customFormat="1" ht="29.95" customHeight="1">
      <c r="A109" s="480"/>
      <c r="B109" s="211"/>
      <c r="C109" s="912"/>
    </row>
    <row r="110" spans="1:17" s="238" customFormat="1" ht="29.45" customHeight="1" thickBot="1">
      <c r="A110" s="478"/>
      <c r="B110" s="213"/>
      <c r="C110" s="910"/>
      <c r="D110" s="239"/>
      <c r="E110" s="239"/>
      <c r="F110" s="239"/>
      <c r="G110" s="239"/>
      <c r="H110" s="239"/>
      <c r="I110" s="239"/>
      <c r="J110" s="239"/>
      <c r="K110" s="239"/>
      <c r="L110" s="239"/>
      <c r="M110" s="239"/>
      <c r="N110" s="239"/>
      <c r="O110" s="239"/>
      <c r="P110" s="239"/>
      <c r="Q110" s="239"/>
    </row>
    <row r="111" spans="1:17" ht="24.75" customHeight="1">
      <c r="B111" s="216"/>
    </row>
    <row r="112" spans="1:17" ht="24.75" customHeight="1"/>
    <row r="113" spans="1:1">
      <c r="A113" s="435"/>
    </row>
    <row r="137" ht="27.85" customHeight="1"/>
    <row r="138" ht="47.3" customHeight="1"/>
    <row r="139" ht="27" customHeight="1"/>
    <row r="141" ht="30.8" customHeight="1"/>
  </sheetData>
  <mergeCells count="24">
    <mergeCell ref="C97:C98"/>
    <mergeCell ref="C42:C45"/>
    <mergeCell ref="C46:C48"/>
    <mergeCell ref="C52:C54"/>
    <mergeCell ref="C55:C56"/>
    <mergeCell ref="C57:C59"/>
    <mergeCell ref="C65:C68"/>
    <mergeCell ref="C73:C76"/>
    <mergeCell ref="C85:C88"/>
    <mergeCell ref="C81:C84"/>
    <mergeCell ref="C89:C90"/>
    <mergeCell ref="A1:C1"/>
    <mergeCell ref="A2:C2"/>
    <mergeCell ref="A3:C3"/>
    <mergeCell ref="A4:C4"/>
    <mergeCell ref="A5:A7"/>
    <mergeCell ref="B5:B7"/>
    <mergeCell ref="C5:C7"/>
    <mergeCell ref="C12:C15"/>
    <mergeCell ref="C16:C19"/>
    <mergeCell ref="C20:C23"/>
    <mergeCell ref="C24:C27"/>
    <mergeCell ref="C39:C41"/>
    <mergeCell ref="C36:C38"/>
  </mergeCells>
  <phoneticPr fontId="4" type="noConversion"/>
  <printOptions horizontalCentered="1"/>
  <pageMargins left="0.59055118110236227" right="0.59055118110236227" top="0.59055118110236227" bottom="0.78740157480314965" header="0.51181102362204722" footer="0.51181102362204722"/>
  <pageSetup paperSize="9" firstPageNumber="56"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FF00"/>
  </sheetPr>
  <dimension ref="A1:AV161"/>
  <sheetViews>
    <sheetView showGridLines="0" view="pageBreakPreview" topLeftCell="A100" zoomScale="120" zoomScaleSheetLayoutView="120" workbookViewId="0">
      <selection activeCell="D151" sqref="D151"/>
    </sheetView>
  </sheetViews>
  <sheetFormatPr defaultColWidth="12" defaultRowHeight="20.3"/>
  <cols>
    <col min="1" max="1" width="35.25" style="442" customWidth="1"/>
    <col min="2" max="2" width="10" style="442" customWidth="1"/>
    <col min="3" max="3" width="11.875" style="442" customWidth="1"/>
    <col min="4" max="4" width="12.5" style="442" customWidth="1"/>
    <col min="5" max="5" width="20.5" style="442" customWidth="1"/>
    <col min="6" max="16384" width="12" style="442"/>
  </cols>
  <sheetData>
    <row r="1" spans="1:5" s="2" customFormat="1" ht="22.25">
      <c r="A1" s="1051" t="s">
        <v>62</v>
      </c>
      <c r="B1" s="1051"/>
      <c r="C1" s="1051"/>
      <c r="D1" s="1051"/>
      <c r="E1" s="1051"/>
    </row>
    <row r="2" spans="1:5" s="2" customFormat="1" ht="22.25">
      <c r="A2" s="1051" t="s">
        <v>63</v>
      </c>
      <c r="B2" s="1051"/>
      <c r="C2" s="1051"/>
      <c r="D2" s="1051"/>
      <c r="E2" s="1051"/>
    </row>
    <row r="3" spans="1:5" s="2" customFormat="1" ht="24.75" customHeight="1">
      <c r="A3" s="1053" t="s">
        <v>160</v>
      </c>
      <c r="B3" s="1053"/>
      <c r="C3" s="1053"/>
      <c r="D3" s="1053"/>
      <c r="E3" s="1053"/>
    </row>
    <row r="4" spans="1:5" s="2" customFormat="1" ht="24.75" customHeight="1" thickBot="1">
      <c r="A4" s="1067" t="s">
        <v>1122</v>
      </c>
      <c r="B4" s="1067"/>
      <c r="C4" s="1067"/>
      <c r="D4" s="1067"/>
      <c r="E4" s="1067"/>
    </row>
    <row r="5" spans="1:5" s="440" customFormat="1" ht="52.55" customHeight="1">
      <c r="A5" s="798" t="s">
        <v>161</v>
      </c>
      <c r="B5" s="436" t="s">
        <v>162</v>
      </c>
      <c r="C5" s="437" t="s">
        <v>163</v>
      </c>
      <c r="D5" s="438" t="s">
        <v>164</v>
      </c>
      <c r="E5" s="439" t="s">
        <v>165</v>
      </c>
    </row>
    <row r="6" spans="1:5" s="441" customFormat="1" ht="3.6" customHeight="1">
      <c r="A6" s="799"/>
      <c r="B6" s="274"/>
      <c r="C6" s="275"/>
      <c r="D6" s="275"/>
      <c r="E6" s="276"/>
    </row>
    <row r="7" spans="1:5" s="280" customFormat="1" ht="21.95" customHeight="1">
      <c r="A7" s="800" t="s">
        <v>800</v>
      </c>
      <c r="B7" s="277"/>
      <c r="C7" s="278"/>
      <c r="D7" s="363">
        <f>D8+D86+D93+D102+D111</f>
        <v>522018918</v>
      </c>
      <c r="E7" s="279"/>
    </row>
    <row r="8" spans="1:5" s="30" customFormat="1" ht="23.1" customHeight="1">
      <c r="A8" s="801" t="s">
        <v>845</v>
      </c>
      <c r="B8" s="116"/>
      <c r="C8" s="214"/>
      <c r="D8" s="214">
        <f>SUM(D9:D10)</f>
        <v>491651979</v>
      </c>
      <c r="E8" s="364"/>
    </row>
    <row r="9" spans="1:5" s="785" customFormat="1" ht="23.1" customHeight="1">
      <c r="A9" s="802" t="s">
        <v>846</v>
      </c>
      <c r="B9" s="1025"/>
      <c r="C9" s="1027"/>
      <c r="D9" s="1027">
        <f>D13</f>
        <v>484271046</v>
      </c>
      <c r="E9" s="1029"/>
    </row>
    <row r="10" spans="1:5" s="785" customFormat="1" ht="23.1" customHeight="1">
      <c r="A10" s="802" t="s">
        <v>847</v>
      </c>
      <c r="B10" s="1025"/>
      <c r="C10" s="1027"/>
      <c r="D10" s="1027">
        <f>D14+D76</f>
        <v>7380933</v>
      </c>
      <c r="E10" s="1029"/>
    </row>
    <row r="11" spans="1:5" s="785" customFormat="1" ht="9" customHeight="1">
      <c r="A11" s="802"/>
      <c r="B11" s="1025"/>
      <c r="C11" s="1027"/>
      <c r="D11" s="1027"/>
      <c r="E11" s="1029"/>
    </row>
    <row r="12" spans="1:5" s="30" customFormat="1" ht="24.55" customHeight="1">
      <c r="A12" s="801" t="s">
        <v>896</v>
      </c>
      <c r="B12" s="116"/>
      <c r="C12" s="214"/>
      <c r="D12" s="214">
        <f>SUM(D13:D14)</f>
        <v>488066909</v>
      </c>
      <c r="E12" s="1300" t="s">
        <v>1161</v>
      </c>
    </row>
    <row r="13" spans="1:5" s="785" customFormat="1" ht="26.35" customHeight="1">
      <c r="A13" s="802" t="s">
        <v>848</v>
      </c>
      <c r="B13" s="1025"/>
      <c r="C13" s="1027"/>
      <c r="D13" s="1027">
        <f>SUM(D17,D20,D26,D43,D49,D56)</f>
        <v>484271046</v>
      </c>
      <c r="E13" s="1301"/>
    </row>
    <row r="14" spans="1:5" s="785" customFormat="1" ht="24.55" customHeight="1">
      <c r="A14" s="802" t="s">
        <v>849</v>
      </c>
      <c r="B14" s="1025"/>
      <c r="C14" s="1027"/>
      <c r="D14" s="1027">
        <f>SUM(D21,D30,D44,D61,D72)</f>
        <v>3795863</v>
      </c>
      <c r="E14" s="1301"/>
    </row>
    <row r="15" spans="1:5" s="785" customFormat="1" ht="9.65" customHeight="1">
      <c r="A15" s="802"/>
      <c r="B15" s="1025"/>
      <c r="C15" s="1027"/>
      <c r="D15" s="1027"/>
      <c r="E15" s="1301"/>
    </row>
    <row r="16" spans="1:5" s="785" customFormat="1" ht="23.1" customHeight="1">
      <c r="A16" s="802" t="s">
        <v>850</v>
      </c>
      <c r="B16" s="1025"/>
      <c r="C16" s="1027"/>
      <c r="D16" s="1027">
        <f>SUM(D17)</f>
        <v>8619440</v>
      </c>
      <c r="E16" s="1301"/>
    </row>
    <row r="17" spans="1:5" s="785" customFormat="1" ht="23.1" customHeight="1">
      <c r="A17" s="802" t="s">
        <v>851</v>
      </c>
      <c r="B17" s="1025">
        <v>132200</v>
      </c>
      <c r="C17" s="1027">
        <v>65200</v>
      </c>
      <c r="D17" s="1027">
        <v>8619440</v>
      </c>
      <c r="E17" s="1029" t="s">
        <v>1393</v>
      </c>
    </row>
    <row r="18" spans="1:5" s="785" customFormat="1" ht="7.55" customHeight="1">
      <c r="A18" s="802"/>
      <c r="B18" s="1025"/>
      <c r="C18" s="1027"/>
      <c r="D18" s="1027"/>
      <c r="E18" s="1029"/>
    </row>
    <row r="19" spans="1:5" s="785" customFormat="1" ht="23.1" customHeight="1">
      <c r="A19" s="802" t="s">
        <v>852</v>
      </c>
      <c r="B19" s="1025"/>
      <c r="C19" s="1027"/>
      <c r="D19" s="1027">
        <f>SUM(D20:D21)</f>
        <v>3254413</v>
      </c>
      <c r="E19" s="1029"/>
    </row>
    <row r="20" spans="1:5" s="785" customFormat="1" ht="23.1" customHeight="1">
      <c r="A20" s="802" t="s">
        <v>851</v>
      </c>
      <c r="B20" s="1025">
        <v>128933</v>
      </c>
      <c r="C20" s="1027">
        <v>8123</v>
      </c>
      <c r="D20" s="1027">
        <v>1047323</v>
      </c>
      <c r="E20" s="1029" t="s">
        <v>1394</v>
      </c>
    </row>
    <row r="21" spans="1:5" s="785" customFormat="1" ht="23.1" customHeight="1">
      <c r="A21" s="802" t="s">
        <v>871</v>
      </c>
      <c r="B21" s="1025"/>
      <c r="C21" s="1027"/>
      <c r="D21" s="1027">
        <f>SUM(D22:D23)</f>
        <v>2207090</v>
      </c>
      <c r="E21" s="1029"/>
    </row>
    <row r="22" spans="1:5" s="785" customFormat="1" ht="23.1" customHeight="1">
      <c r="A22" s="802" t="s">
        <v>874</v>
      </c>
      <c r="B22" s="1025">
        <v>47806</v>
      </c>
      <c r="C22" s="1027">
        <v>43081</v>
      </c>
      <c r="D22" s="1027">
        <v>2059530</v>
      </c>
      <c r="E22" s="1029" t="s">
        <v>1395</v>
      </c>
    </row>
    <row r="23" spans="1:5" s="785" customFormat="1" ht="23.1" customHeight="1">
      <c r="A23" s="802" t="s">
        <v>875</v>
      </c>
      <c r="B23" s="1025">
        <v>3199</v>
      </c>
      <c r="C23" s="1027">
        <v>46127</v>
      </c>
      <c r="D23" s="1027">
        <v>147560</v>
      </c>
      <c r="E23" s="1029" t="s">
        <v>1396</v>
      </c>
    </row>
    <row r="24" spans="1:5" s="785" customFormat="1" ht="9" customHeight="1">
      <c r="A24" s="802"/>
      <c r="B24" s="1025"/>
      <c r="C24" s="1027"/>
      <c r="D24" s="1027"/>
      <c r="E24" s="1029"/>
    </row>
    <row r="25" spans="1:5" s="785" customFormat="1" ht="23.1" customHeight="1">
      <c r="A25" s="802" t="s">
        <v>853</v>
      </c>
      <c r="B25" s="1025"/>
      <c r="C25" s="1027"/>
      <c r="D25" s="1027">
        <f>SUM(D26,D30)</f>
        <v>6135220</v>
      </c>
      <c r="E25" s="1029"/>
    </row>
    <row r="26" spans="1:5" s="785" customFormat="1" ht="23.1" customHeight="1">
      <c r="A26" s="802" t="s">
        <v>854</v>
      </c>
      <c r="B26" s="1025"/>
      <c r="C26" s="1027"/>
      <c r="D26" s="1027">
        <f>SUM(D27:D29)</f>
        <v>5368304</v>
      </c>
      <c r="E26" s="1029"/>
    </row>
    <row r="27" spans="1:5" s="785" customFormat="1" ht="23.4" customHeight="1">
      <c r="A27" s="802" t="s">
        <v>855</v>
      </c>
      <c r="B27" s="1025">
        <v>16412</v>
      </c>
      <c r="C27" s="1027">
        <v>290038</v>
      </c>
      <c r="D27" s="1027">
        <v>4760104</v>
      </c>
      <c r="E27" s="1029" t="s">
        <v>1397</v>
      </c>
    </row>
    <row r="28" spans="1:5" s="785" customFormat="1" ht="24.05" customHeight="1">
      <c r="A28" s="802" t="s">
        <v>856</v>
      </c>
      <c r="B28" s="1025">
        <v>63</v>
      </c>
      <c r="C28" s="1027">
        <v>714404</v>
      </c>
      <c r="D28" s="1027">
        <v>45007</v>
      </c>
      <c r="E28" s="1029"/>
    </row>
    <row r="29" spans="1:5" s="785" customFormat="1" ht="23.4" customHeight="1">
      <c r="A29" s="802" t="s">
        <v>857</v>
      </c>
      <c r="B29" s="1025">
        <v>5001</v>
      </c>
      <c r="C29" s="1027">
        <v>112616</v>
      </c>
      <c r="D29" s="1027">
        <v>563193</v>
      </c>
      <c r="E29" s="1029"/>
    </row>
    <row r="30" spans="1:5" s="785" customFormat="1" ht="20.95" customHeight="1">
      <c r="A30" s="802" t="s">
        <v>858</v>
      </c>
      <c r="B30" s="1025"/>
      <c r="C30" s="1027"/>
      <c r="D30" s="1027">
        <f>SUM(D31,D36)</f>
        <v>766916</v>
      </c>
      <c r="E30" s="1029"/>
    </row>
    <row r="31" spans="1:5" s="785" customFormat="1" ht="23.25" customHeight="1">
      <c r="A31" s="802" t="s">
        <v>859</v>
      </c>
      <c r="B31" s="1025"/>
      <c r="C31" s="1027"/>
      <c r="D31" s="1027">
        <f>SUM(D32:D35)</f>
        <v>712514</v>
      </c>
      <c r="E31" s="1029"/>
    </row>
    <row r="32" spans="1:5" s="785" customFormat="1" ht="22.6" customHeight="1">
      <c r="A32" s="802" t="s">
        <v>860</v>
      </c>
      <c r="B32" s="1025">
        <v>1860</v>
      </c>
      <c r="C32" s="1027">
        <v>314255</v>
      </c>
      <c r="D32" s="1027">
        <v>584514</v>
      </c>
      <c r="E32" s="1029" t="s">
        <v>1162</v>
      </c>
    </row>
    <row r="33" spans="1:48" s="785" customFormat="1" ht="22.25" customHeight="1">
      <c r="A33" s="802" t="s">
        <v>861</v>
      </c>
      <c r="B33" s="1025">
        <v>6</v>
      </c>
      <c r="C33" s="1027">
        <v>406479</v>
      </c>
      <c r="D33" s="1027">
        <v>2439</v>
      </c>
      <c r="E33" s="1029"/>
    </row>
    <row r="34" spans="1:48" s="785" customFormat="1" ht="26.2" customHeight="1">
      <c r="A34" s="802" t="s">
        <v>862</v>
      </c>
      <c r="B34" s="1025">
        <v>557</v>
      </c>
      <c r="C34" s="1027">
        <v>142437</v>
      </c>
      <c r="D34" s="1027">
        <v>79337</v>
      </c>
      <c r="E34" s="1029"/>
    </row>
    <row r="35" spans="1:48" s="785" customFormat="1" ht="25.2" customHeight="1" thickBot="1">
      <c r="A35" s="803" t="s">
        <v>863</v>
      </c>
      <c r="B35" s="1026">
        <v>72</v>
      </c>
      <c r="C35" s="1028">
        <v>642000</v>
      </c>
      <c r="D35" s="1028">
        <v>46224</v>
      </c>
      <c r="E35" s="244"/>
    </row>
    <row r="36" spans="1:48" s="785" customFormat="1" ht="22.75" customHeight="1">
      <c r="A36" s="802" t="s">
        <v>864</v>
      </c>
      <c r="B36" s="1025"/>
      <c r="C36" s="1027"/>
      <c r="D36" s="1027">
        <f>SUM(D37:D40)</f>
        <v>54402</v>
      </c>
      <c r="E36" s="1029"/>
    </row>
    <row r="37" spans="1:48" s="281" customFormat="1" ht="24.05" customHeight="1" thickBot="1">
      <c r="A37" s="802" t="s">
        <v>865</v>
      </c>
      <c r="B37" s="1025">
        <v>140</v>
      </c>
      <c r="C37" s="1027">
        <v>376000</v>
      </c>
      <c r="D37" s="1027">
        <v>52640</v>
      </c>
      <c r="E37" s="1029" t="s">
        <v>1163</v>
      </c>
      <c r="F37" s="345"/>
      <c r="G37" s="234"/>
      <c r="H37" s="234"/>
      <c r="I37" s="234"/>
      <c r="J37" s="234"/>
      <c r="K37" s="234"/>
      <c r="L37" s="234"/>
      <c r="M37" s="234"/>
      <c r="N37" s="234"/>
      <c r="O37" s="234"/>
      <c r="P37" s="234"/>
      <c r="Q37" s="234"/>
      <c r="R37" s="234"/>
      <c r="S37" s="234"/>
      <c r="T37" s="234"/>
      <c r="U37" s="234"/>
      <c r="V37" s="234"/>
      <c r="W37" s="234"/>
      <c r="X37" s="234"/>
      <c r="Y37" s="234"/>
      <c r="Z37" s="234"/>
      <c r="AA37" s="234"/>
      <c r="AB37" s="234"/>
      <c r="AC37" s="234"/>
      <c r="AD37" s="234"/>
      <c r="AE37" s="234"/>
      <c r="AF37" s="234"/>
      <c r="AG37" s="234"/>
      <c r="AH37" s="234"/>
      <c r="AI37" s="234"/>
      <c r="AJ37" s="234"/>
      <c r="AK37" s="234"/>
      <c r="AL37" s="234"/>
      <c r="AM37" s="234"/>
      <c r="AN37" s="234"/>
      <c r="AO37" s="234"/>
      <c r="AP37" s="234"/>
      <c r="AQ37" s="234"/>
      <c r="AR37" s="234"/>
      <c r="AS37" s="234"/>
      <c r="AT37" s="234"/>
      <c r="AU37" s="234"/>
      <c r="AV37" s="234"/>
    </row>
    <row r="38" spans="1:48" s="785" customFormat="1" ht="24.05" customHeight="1">
      <c r="A38" s="802" t="s">
        <v>866</v>
      </c>
      <c r="B38" s="1025">
        <v>1</v>
      </c>
      <c r="C38" s="1027">
        <v>402600</v>
      </c>
      <c r="D38" s="1027">
        <v>403</v>
      </c>
      <c r="E38" s="1029"/>
    </row>
    <row r="39" spans="1:48" s="785" customFormat="1" ht="24.05" customHeight="1">
      <c r="A39" s="802" t="s">
        <v>867</v>
      </c>
      <c r="B39" s="1025">
        <v>13</v>
      </c>
      <c r="C39" s="1027">
        <v>59815</v>
      </c>
      <c r="D39" s="1027">
        <v>778</v>
      </c>
      <c r="E39" s="1029"/>
    </row>
    <row r="40" spans="1:48" s="785" customFormat="1" ht="24.05" customHeight="1">
      <c r="A40" s="802" t="s">
        <v>868</v>
      </c>
      <c r="B40" s="1025">
        <v>1</v>
      </c>
      <c r="C40" s="1027">
        <v>581000</v>
      </c>
      <c r="D40" s="1027">
        <v>581</v>
      </c>
      <c r="E40" s="1029"/>
    </row>
    <row r="41" spans="1:48" s="785" customFormat="1" ht="7.55" customHeight="1">
      <c r="A41" s="802"/>
      <c r="B41" s="1025"/>
      <c r="C41" s="1027"/>
      <c r="D41" s="1027"/>
      <c r="E41" s="1029"/>
    </row>
    <row r="42" spans="1:48" s="785" customFormat="1" ht="24.9" customHeight="1">
      <c r="A42" s="802" t="s">
        <v>869</v>
      </c>
      <c r="B42" s="1025"/>
      <c r="C42" s="1027"/>
      <c r="D42" s="1027">
        <f>SUM(D43:D44)</f>
        <v>950</v>
      </c>
      <c r="E42" s="1029"/>
    </row>
    <row r="43" spans="1:48" s="785" customFormat="1" ht="24.9" customHeight="1">
      <c r="A43" s="802" t="s">
        <v>870</v>
      </c>
      <c r="B43" s="1025">
        <v>348</v>
      </c>
      <c r="C43" s="1027">
        <v>2400</v>
      </c>
      <c r="D43" s="1027">
        <v>835</v>
      </c>
      <c r="E43" s="1029" t="s">
        <v>1398</v>
      </c>
    </row>
    <row r="44" spans="1:48" s="785" customFormat="1" ht="24.9" customHeight="1">
      <c r="A44" s="802" t="s">
        <v>871</v>
      </c>
      <c r="B44" s="1025"/>
      <c r="C44" s="1027"/>
      <c r="D44" s="1027">
        <f>SUM(D45:D46)</f>
        <v>115</v>
      </c>
      <c r="E44" s="1029"/>
    </row>
    <row r="45" spans="1:48" s="785" customFormat="1" ht="24.9" customHeight="1">
      <c r="A45" s="802" t="s">
        <v>872</v>
      </c>
      <c r="B45" s="1025">
        <v>70</v>
      </c>
      <c r="C45" s="1027">
        <v>1600</v>
      </c>
      <c r="D45" s="1027">
        <v>112</v>
      </c>
      <c r="E45" s="1029" t="s">
        <v>1399</v>
      </c>
    </row>
    <row r="46" spans="1:48" s="785" customFormat="1" ht="24.9" customHeight="1">
      <c r="A46" s="802" t="s">
        <v>873</v>
      </c>
      <c r="B46" s="1025">
        <v>3</v>
      </c>
      <c r="C46" s="1027">
        <v>1000</v>
      </c>
      <c r="D46" s="1027">
        <v>3</v>
      </c>
      <c r="E46" s="1029" t="s">
        <v>1400</v>
      </c>
    </row>
    <row r="47" spans="1:48" s="785" customFormat="1" ht="16.2" customHeight="1">
      <c r="A47" s="802"/>
      <c r="B47" s="1025"/>
      <c r="C47" s="1027"/>
      <c r="D47" s="1027"/>
      <c r="E47" s="1029"/>
    </row>
    <row r="48" spans="1:48" s="785" customFormat="1" ht="24.9" customHeight="1">
      <c r="A48" s="802" t="s">
        <v>876</v>
      </c>
      <c r="B48" s="1025"/>
      <c r="C48" s="1027"/>
      <c r="D48" s="1027">
        <f>SUM(D49)</f>
        <v>439350020</v>
      </c>
      <c r="E48" s="1029"/>
    </row>
    <row r="49" spans="1:5" s="785" customFormat="1" ht="24.9" customHeight="1">
      <c r="A49" s="802" t="s">
        <v>877</v>
      </c>
      <c r="B49" s="1025"/>
      <c r="C49" s="1027"/>
      <c r="D49" s="1027">
        <f>SUM(D50:D53)</f>
        <v>439350020</v>
      </c>
      <c r="E49" s="1029"/>
    </row>
    <row r="50" spans="1:5" s="785" customFormat="1" ht="24.9" customHeight="1">
      <c r="A50" s="802" t="s">
        <v>878</v>
      </c>
      <c r="B50" s="1025">
        <v>84000</v>
      </c>
      <c r="C50" s="1027">
        <v>1363500</v>
      </c>
      <c r="D50" s="1027">
        <v>114534000</v>
      </c>
      <c r="E50" s="365" t="s">
        <v>1401</v>
      </c>
    </row>
    <row r="51" spans="1:5" s="785" customFormat="1" ht="24.9" customHeight="1">
      <c r="A51" s="802" t="s">
        <v>879</v>
      </c>
      <c r="B51" s="1025">
        <v>23800</v>
      </c>
      <c r="C51" s="1027">
        <v>109000</v>
      </c>
      <c r="D51" s="1027">
        <v>2594200</v>
      </c>
      <c r="E51" s="365" t="s">
        <v>1402</v>
      </c>
    </row>
    <row r="52" spans="1:5" s="785" customFormat="1" ht="24.55" customHeight="1">
      <c r="A52" s="802" t="s">
        <v>880</v>
      </c>
      <c r="B52" s="1025">
        <v>6000</v>
      </c>
      <c r="C52" s="1027">
        <v>795000</v>
      </c>
      <c r="D52" s="1027">
        <v>4770000</v>
      </c>
      <c r="E52" s="1029"/>
    </row>
    <row r="53" spans="1:5" s="785" customFormat="1" ht="23.4" customHeight="1">
      <c r="A53" s="802" t="s">
        <v>881</v>
      </c>
      <c r="B53" s="1025">
        <v>1542600</v>
      </c>
      <c r="C53" s="1027">
        <v>205791</v>
      </c>
      <c r="D53" s="1027">
        <v>317451820</v>
      </c>
      <c r="E53" s="1029"/>
    </row>
    <row r="54" spans="1:5" s="785" customFormat="1" ht="5.0999999999999996" customHeight="1">
      <c r="A54" s="802"/>
      <c r="B54" s="1025"/>
      <c r="C54" s="1027"/>
      <c r="D54" s="1027"/>
      <c r="E54" s="1029"/>
    </row>
    <row r="55" spans="1:5" s="785" customFormat="1" ht="24.05" customHeight="1">
      <c r="A55" s="802" t="s">
        <v>882</v>
      </c>
      <c r="B55" s="1025"/>
      <c r="C55" s="1027"/>
      <c r="D55" s="1027">
        <f>SUM(D56,D61)</f>
        <v>30701479</v>
      </c>
      <c r="E55" s="1029"/>
    </row>
    <row r="56" spans="1:5" s="785" customFormat="1" ht="24.55" customHeight="1">
      <c r="A56" s="802" t="s">
        <v>854</v>
      </c>
      <c r="B56" s="1025"/>
      <c r="C56" s="1027"/>
      <c r="D56" s="1027">
        <f>SUM(D57:D58)</f>
        <v>29885124</v>
      </c>
      <c r="E56" s="1029"/>
    </row>
    <row r="57" spans="1:5" s="785" customFormat="1" ht="21.6" customHeight="1">
      <c r="A57" s="802" t="s">
        <v>883</v>
      </c>
      <c r="B57" s="1025">
        <v>132152</v>
      </c>
      <c r="C57" s="1027">
        <v>113046</v>
      </c>
      <c r="D57" s="1027">
        <v>14939255</v>
      </c>
      <c r="E57" s="1029" t="s">
        <v>1403</v>
      </c>
    </row>
    <row r="58" spans="1:5" s="785" customFormat="1" ht="20.95" customHeight="1">
      <c r="A58" s="802" t="s">
        <v>884</v>
      </c>
      <c r="B58" s="1025"/>
      <c r="C58" s="1027"/>
      <c r="D58" s="1027">
        <f>SUM(D59:D60)</f>
        <v>14945869</v>
      </c>
      <c r="E58" s="1029"/>
    </row>
    <row r="59" spans="1:5" s="785" customFormat="1" ht="23.4" customHeight="1">
      <c r="A59" s="802" t="s">
        <v>885</v>
      </c>
      <c r="B59" s="1025">
        <v>12207</v>
      </c>
      <c r="C59" s="1027">
        <v>844532</v>
      </c>
      <c r="D59" s="1027">
        <v>10309202</v>
      </c>
      <c r="E59" s="1029" t="s">
        <v>1404</v>
      </c>
    </row>
    <row r="60" spans="1:5" s="785" customFormat="1" ht="23.4" customHeight="1">
      <c r="A60" s="802" t="s">
        <v>886</v>
      </c>
      <c r="B60" s="1025">
        <v>37224</v>
      </c>
      <c r="C60" s="1027">
        <v>124562</v>
      </c>
      <c r="D60" s="1027">
        <v>4636667</v>
      </c>
      <c r="E60" s="1029"/>
    </row>
    <row r="61" spans="1:5" s="785" customFormat="1" ht="20.95" customHeight="1">
      <c r="A61" s="802" t="s">
        <v>887</v>
      </c>
      <c r="B61" s="1025"/>
      <c r="C61" s="1027"/>
      <c r="D61" s="1027">
        <f>SUM(D62,D66)</f>
        <v>816355</v>
      </c>
      <c r="E61" s="1029"/>
    </row>
    <row r="62" spans="1:5" s="785" customFormat="1" ht="19.5" customHeight="1">
      <c r="A62" s="802" t="s">
        <v>888</v>
      </c>
      <c r="B62" s="1025"/>
      <c r="C62" s="1027"/>
      <c r="D62" s="1027">
        <f>SUM(D63:D65)</f>
        <v>745703</v>
      </c>
      <c r="E62" s="1029"/>
    </row>
    <row r="63" spans="1:5" s="785" customFormat="1" ht="22.25" customHeight="1" thickBot="1">
      <c r="A63" s="803" t="s">
        <v>889</v>
      </c>
      <c r="B63" s="1026">
        <v>527</v>
      </c>
      <c r="C63" s="1026">
        <v>907302</v>
      </c>
      <c r="D63" s="1028">
        <v>478148</v>
      </c>
      <c r="E63" s="244" t="s">
        <v>1405</v>
      </c>
    </row>
    <row r="64" spans="1:5" s="785" customFormat="1" ht="24.75" customHeight="1">
      <c r="A64" s="802" t="s">
        <v>890</v>
      </c>
      <c r="B64" s="1025">
        <v>1512</v>
      </c>
      <c r="C64" s="1025">
        <v>144877</v>
      </c>
      <c r="D64" s="787">
        <v>219053</v>
      </c>
      <c r="E64" s="366"/>
    </row>
    <row r="65" spans="1:5" s="785" customFormat="1" ht="26.2" customHeight="1">
      <c r="A65" s="802" t="s">
        <v>891</v>
      </c>
      <c r="B65" s="1025">
        <v>162</v>
      </c>
      <c r="C65" s="1027">
        <v>299395</v>
      </c>
      <c r="D65" s="1027">
        <v>48502</v>
      </c>
      <c r="E65" s="1029"/>
    </row>
    <row r="66" spans="1:5" s="785" customFormat="1" ht="25.55" customHeight="1">
      <c r="A66" s="802" t="s">
        <v>864</v>
      </c>
      <c r="B66" s="1025"/>
      <c r="C66" s="1027"/>
      <c r="D66" s="1027">
        <f>SUM(D67:D69)</f>
        <v>70652</v>
      </c>
      <c r="E66" s="1029"/>
    </row>
    <row r="67" spans="1:5" s="785" customFormat="1" ht="26.2" customHeight="1">
      <c r="A67" s="802" t="s">
        <v>885</v>
      </c>
      <c r="B67" s="1025">
        <v>63</v>
      </c>
      <c r="C67" s="1027">
        <v>1115198</v>
      </c>
      <c r="D67" s="1027">
        <v>70257</v>
      </c>
      <c r="E67" s="1029" t="s">
        <v>1164</v>
      </c>
    </row>
    <row r="68" spans="1:5" s="785" customFormat="1" ht="22.95" customHeight="1">
      <c r="A68" s="802" t="s">
        <v>892</v>
      </c>
      <c r="B68" s="1025">
        <v>1</v>
      </c>
      <c r="C68" s="1027">
        <v>83000</v>
      </c>
      <c r="D68" s="1027">
        <v>83</v>
      </c>
      <c r="E68" s="366"/>
    </row>
    <row r="69" spans="1:5" s="785" customFormat="1" ht="22.95" customHeight="1">
      <c r="A69" s="802" t="s">
        <v>891</v>
      </c>
      <c r="B69" s="1025">
        <v>1</v>
      </c>
      <c r="C69" s="1027">
        <v>312000</v>
      </c>
      <c r="D69" s="1027">
        <v>312</v>
      </c>
      <c r="E69" s="1029"/>
    </row>
    <row r="70" spans="1:5" s="785" customFormat="1" ht="4.95" customHeight="1">
      <c r="A70" s="802"/>
      <c r="B70" s="1025"/>
      <c r="C70" s="1027"/>
      <c r="D70" s="1027"/>
      <c r="E70" s="1029"/>
    </row>
    <row r="71" spans="1:5" s="785" customFormat="1" ht="24.05" customHeight="1">
      <c r="A71" s="802" t="s">
        <v>893</v>
      </c>
      <c r="B71" s="1025"/>
      <c r="C71" s="1027"/>
      <c r="D71" s="1027">
        <f>SUM(D72)</f>
        <v>5387</v>
      </c>
      <c r="E71" s="1029"/>
    </row>
    <row r="72" spans="1:5" s="785" customFormat="1" ht="24.05" customHeight="1">
      <c r="A72" s="802" t="s">
        <v>894</v>
      </c>
      <c r="B72" s="1025"/>
      <c r="C72" s="1027"/>
      <c r="D72" s="1027">
        <f>SUM(D73:D74)</f>
        <v>5387</v>
      </c>
      <c r="E72" s="1029"/>
    </row>
    <row r="73" spans="1:5" s="785" customFormat="1" ht="24.05" customHeight="1">
      <c r="A73" s="802" t="s">
        <v>859</v>
      </c>
      <c r="B73" s="1025">
        <v>14</v>
      </c>
      <c r="C73" s="1027">
        <v>369670</v>
      </c>
      <c r="D73" s="1027">
        <v>5175</v>
      </c>
      <c r="E73" s="365"/>
    </row>
    <row r="74" spans="1:5" s="785" customFormat="1" ht="24.05" customHeight="1">
      <c r="A74" s="802" t="s">
        <v>895</v>
      </c>
      <c r="B74" s="1025">
        <v>2</v>
      </c>
      <c r="C74" s="1027">
        <v>106106</v>
      </c>
      <c r="D74" s="1027">
        <v>212</v>
      </c>
      <c r="E74" s="1029"/>
    </row>
    <row r="75" spans="1:5" s="785" customFormat="1" ht="5.4" customHeight="1">
      <c r="A75" s="802"/>
      <c r="B75" s="1025"/>
      <c r="C75" s="1027"/>
      <c r="D75" s="1027"/>
      <c r="E75" s="1029"/>
    </row>
    <row r="76" spans="1:5" s="30" customFormat="1" ht="76.25" customHeight="1">
      <c r="A76" s="801" t="s">
        <v>897</v>
      </c>
      <c r="B76" s="116"/>
      <c r="C76" s="214"/>
      <c r="D76" s="214">
        <f>D77</f>
        <v>3585070</v>
      </c>
      <c r="E76" s="1029" t="s">
        <v>1161</v>
      </c>
    </row>
    <row r="77" spans="1:5" s="785" customFormat="1" ht="24.05" customHeight="1">
      <c r="A77" s="802" t="s">
        <v>898</v>
      </c>
      <c r="B77" s="1025"/>
      <c r="C77" s="1027"/>
      <c r="D77" s="1027">
        <f>+D78+D81+D84</f>
        <v>3585070</v>
      </c>
      <c r="E77" s="1029"/>
    </row>
    <row r="78" spans="1:5" s="785" customFormat="1" ht="24.05" customHeight="1">
      <c r="A78" s="802" t="s">
        <v>899</v>
      </c>
      <c r="B78" s="1025"/>
      <c r="C78" s="1027"/>
      <c r="D78" s="1027">
        <f>SUM(D79:D80)</f>
        <v>1504000</v>
      </c>
      <c r="E78" s="1029" t="s">
        <v>1165</v>
      </c>
    </row>
    <row r="79" spans="1:5" s="785" customFormat="1" ht="24.05" customHeight="1">
      <c r="A79" s="802" t="s">
        <v>859</v>
      </c>
      <c r="B79" s="1025">
        <v>31000</v>
      </c>
      <c r="C79" s="1027">
        <v>47000</v>
      </c>
      <c r="D79" s="1027">
        <v>1457000</v>
      </c>
      <c r="E79" s="1029"/>
    </row>
    <row r="80" spans="1:5" s="785" customFormat="1" ht="22.95" customHeight="1">
      <c r="A80" s="802" t="s">
        <v>900</v>
      </c>
      <c r="B80" s="1025">
        <v>1000</v>
      </c>
      <c r="C80" s="1027">
        <v>47000</v>
      </c>
      <c r="D80" s="1027">
        <v>47000</v>
      </c>
      <c r="E80" s="1029"/>
    </row>
    <row r="81" spans="1:5" s="785" customFormat="1" ht="21.6" customHeight="1">
      <c r="A81" s="802" t="s">
        <v>901</v>
      </c>
      <c r="B81" s="1025"/>
      <c r="C81" s="1027"/>
      <c r="D81" s="1027">
        <f>+D82+D83</f>
        <v>1794870</v>
      </c>
      <c r="E81" s="1029" t="s">
        <v>1166</v>
      </c>
    </row>
    <row r="82" spans="1:5" s="785" customFormat="1" ht="23.4" customHeight="1">
      <c r="A82" s="802" t="s">
        <v>902</v>
      </c>
      <c r="B82" s="1025">
        <v>1750000</v>
      </c>
      <c r="C82" s="1027">
        <v>990</v>
      </c>
      <c r="D82" s="1027">
        <v>1732500</v>
      </c>
      <c r="E82" s="1029"/>
    </row>
    <row r="83" spans="1:5" s="785" customFormat="1" ht="29.3" customHeight="1">
      <c r="A83" s="802" t="s">
        <v>903</v>
      </c>
      <c r="B83" s="1025">
        <v>63000</v>
      </c>
      <c r="C83" s="1027">
        <v>990</v>
      </c>
      <c r="D83" s="1027">
        <v>62370</v>
      </c>
      <c r="E83" s="1029"/>
    </row>
    <row r="84" spans="1:5" s="785" customFormat="1" ht="33.049999999999997" customHeight="1">
      <c r="A84" s="802" t="s">
        <v>904</v>
      </c>
      <c r="B84" s="1025">
        <v>270000</v>
      </c>
      <c r="C84" s="1027">
        <v>1060</v>
      </c>
      <c r="D84" s="1027">
        <v>286200</v>
      </c>
      <c r="E84" s="1029" t="s">
        <v>1167</v>
      </c>
    </row>
    <row r="85" spans="1:5" s="785" customFormat="1" ht="7.2" customHeight="1">
      <c r="A85" s="802"/>
      <c r="B85" s="1025"/>
      <c r="C85" s="1027"/>
      <c r="D85" s="1027"/>
      <c r="E85" s="1029"/>
    </row>
    <row r="86" spans="1:5" s="30" customFormat="1" ht="28.15" customHeight="1">
      <c r="A86" s="801" t="s">
        <v>801</v>
      </c>
      <c r="B86" s="116"/>
      <c r="C86" s="214"/>
      <c r="D86" s="214">
        <f>SUM(D87:D91)</f>
        <v>22823256</v>
      </c>
      <c r="E86" s="1029" t="s">
        <v>1148</v>
      </c>
    </row>
    <row r="87" spans="1:5" s="785" customFormat="1" ht="27.85" customHeight="1">
      <c r="A87" s="802" t="s">
        <v>818</v>
      </c>
      <c r="B87" s="1025">
        <v>96000</v>
      </c>
      <c r="C87" s="1027"/>
      <c r="D87" s="1027">
        <v>10699202</v>
      </c>
      <c r="E87" s="1029" t="s">
        <v>1149</v>
      </c>
    </row>
    <row r="88" spans="1:5" s="785" customFormat="1" ht="24.75" customHeight="1" thickBot="1">
      <c r="A88" s="803" t="s">
        <v>819</v>
      </c>
      <c r="B88" s="1026">
        <v>38400</v>
      </c>
      <c r="C88" s="1028">
        <v>51000</v>
      </c>
      <c r="D88" s="1028">
        <v>1958400</v>
      </c>
      <c r="E88" s="244" t="s">
        <v>1150</v>
      </c>
    </row>
    <row r="89" spans="1:5" s="785" customFormat="1" ht="24.05" customHeight="1">
      <c r="A89" s="802" t="s">
        <v>820</v>
      </c>
      <c r="B89" s="1025">
        <v>7800</v>
      </c>
      <c r="C89" s="1027"/>
      <c r="D89" s="1027">
        <v>633890</v>
      </c>
      <c r="E89" s="1029" t="s">
        <v>1151</v>
      </c>
    </row>
    <row r="90" spans="1:5" s="785" customFormat="1" ht="24.05" customHeight="1">
      <c r="A90" s="802" t="s">
        <v>821</v>
      </c>
      <c r="B90" s="1025">
        <v>82500</v>
      </c>
      <c r="C90" s="1027">
        <v>109087</v>
      </c>
      <c r="D90" s="1027">
        <v>8999636</v>
      </c>
      <c r="E90" s="1029" t="s">
        <v>1152</v>
      </c>
    </row>
    <row r="91" spans="1:5" s="785" customFormat="1" ht="206.85" customHeight="1">
      <c r="A91" s="802" t="s">
        <v>822</v>
      </c>
      <c r="B91" s="1025">
        <v>771200</v>
      </c>
      <c r="C91" s="1027">
        <v>690</v>
      </c>
      <c r="D91" s="1027">
        <v>532128</v>
      </c>
      <c r="E91" s="1029" t="s">
        <v>802</v>
      </c>
    </row>
    <row r="92" spans="1:5" s="785" customFormat="1" ht="21.6" customHeight="1">
      <c r="A92" s="456" t="s">
        <v>972</v>
      </c>
      <c r="B92" s="1025"/>
      <c r="C92" s="1027"/>
      <c r="D92" s="214">
        <f>+D93+D102</f>
        <v>6916286</v>
      </c>
      <c r="E92" s="1029"/>
    </row>
    <row r="93" spans="1:5" s="30" customFormat="1" ht="27.65" customHeight="1">
      <c r="A93" s="801" t="s">
        <v>971</v>
      </c>
      <c r="B93" s="116"/>
      <c r="C93" s="214"/>
      <c r="D93" s="214">
        <f>SUM(D94)</f>
        <v>6794437</v>
      </c>
      <c r="E93" s="1029" t="s">
        <v>1138</v>
      </c>
    </row>
    <row r="94" spans="1:5" s="30" customFormat="1" ht="21.6" customHeight="1">
      <c r="A94" s="801" t="s">
        <v>975</v>
      </c>
      <c r="B94" s="116"/>
      <c r="C94" s="214"/>
      <c r="D94" s="214">
        <f>SUM(D95,D98,D100,D99)</f>
        <v>6794437</v>
      </c>
      <c r="E94" s="1029"/>
    </row>
    <row r="95" spans="1:5" s="785" customFormat="1" ht="24.05" customHeight="1">
      <c r="A95" s="802" t="s">
        <v>823</v>
      </c>
      <c r="B95" s="1025"/>
      <c r="C95" s="1027"/>
      <c r="D95" s="1027">
        <f>SUM(D96:D97)</f>
        <v>44574</v>
      </c>
      <c r="E95" s="1029"/>
    </row>
    <row r="96" spans="1:5" s="785" customFormat="1" ht="24.9" customHeight="1">
      <c r="A96" s="802" t="s">
        <v>824</v>
      </c>
      <c r="B96" s="1025">
        <v>625</v>
      </c>
      <c r="C96" s="1027">
        <v>20400</v>
      </c>
      <c r="D96" s="1027">
        <v>12750</v>
      </c>
      <c r="E96" s="1029" t="s">
        <v>1133</v>
      </c>
    </row>
    <row r="97" spans="1:5" s="785" customFormat="1" ht="24.9" customHeight="1">
      <c r="A97" s="802" t="s">
        <v>825</v>
      </c>
      <c r="B97" s="1025">
        <v>1560</v>
      </c>
      <c r="C97" s="1027">
        <v>20400</v>
      </c>
      <c r="D97" s="1027">
        <v>31824</v>
      </c>
      <c r="E97" s="1029" t="s">
        <v>1134</v>
      </c>
    </row>
    <row r="98" spans="1:5" s="785" customFormat="1" ht="24.9" customHeight="1">
      <c r="A98" s="802" t="s">
        <v>826</v>
      </c>
      <c r="B98" s="1025">
        <v>11445</v>
      </c>
      <c r="C98" s="1027">
        <v>216000</v>
      </c>
      <c r="D98" s="1027">
        <v>2472120</v>
      </c>
      <c r="E98" s="1029" t="s">
        <v>1135</v>
      </c>
    </row>
    <row r="99" spans="1:5" s="785" customFormat="1" ht="24.9" customHeight="1">
      <c r="A99" s="802" t="s">
        <v>827</v>
      </c>
      <c r="B99" s="1025">
        <v>27958</v>
      </c>
      <c r="C99" s="1027">
        <v>153000</v>
      </c>
      <c r="D99" s="1027">
        <v>4277574</v>
      </c>
      <c r="E99" s="1029" t="s">
        <v>1136</v>
      </c>
    </row>
    <row r="100" spans="1:5" s="785" customFormat="1" ht="22.95" customHeight="1">
      <c r="A100" s="802" t="s">
        <v>828</v>
      </c>
      <c r="B100" s="1025">
        <v>161</v>
      </c>
      <c r="C100" s="1027">
        <v>1050</v>
      </c>
      <c r="D100" s="1027">
        <v>169</v>
      </c>
      <c r="E100" s="1029" t="s">
        <v>1137</v>
      </c>
    </row>
    <row r="101" spans="1:5" s="785" customFormat="1" ht="2.95" customHeight="1">
      <c r="A101" s="801"/>
      <c r="B101" s="1025"/>
      <c r="C101" s="1027"/>
      <c r="D101" s="1027"/>
      <c r="E101" s="1029"/>
    </row>
    <row r="102" spans="1:5" s="30" customFormat="1" ht="22.25" customHeight="1">
      <c r="A102" s="801" t="s">
        <v>973</v>
      </c>
      <c r="B102" s="116"/>
      <c r="C102" s="214"/>
      <c r="D102" s="214">
        <f>SUM(D103)</f>
        <v>121849</v>
      </c>
      <c r="E102" s="1029" t="s">
        <v>1139</v>
      </c>
    </row>
    <row r="103" spans="1:5" s="30" customFormat="1" ht="19.149999999999999" customHeight="1">
      <c r="A103" s="801" t="s">
        <v>974</v>
      </c>
      <c r="B103" s="116"/>
      <c r="C103" s="214"/>
      <c r="D103" s="214">
        <f>+D104+D105+D108+D109+D110</f>
        <v>121849</v>
      </c>
      <c r="E103" s="1029"/>
    </row>
    <row r="104" spans="1:5" s="875" customFormat="1" ht="22.25" customHeight="1">
      <c r="A104" s="802" t="s">
        <v>959</v>
      </c>
      <c r="B104" s="1025">
        <v>5040</v>
      </c>
      <c r="C104" s="1027">
        <v>11424</v>
      </c>
      <c r="D104" s="1027">
        <v>57577</v>
      </c>
      <c r="E104" s="1029" t="s">
        <v>1140</v>
      </c>
    </row>
    <row r="105" spans="1:5" s="875" customFormat="1" ht="20" customHeight="1">
      <c r="A105" s="802" t="s">
        <v>960</v>
      </c>
      <c r="B105" s="1025"/>
      <c r="C105" s="1027"/>
      <c r="D105" s="1027">
        <f>SUM(D106:D107)</f>
        <v>24434</v>
      </c>
      <c r="E105" s="1029"/>
    </row>
    <row r="106" spans="1:5" s="875" customFormat="1" ht="27" customHeight="1">
      <c r="A106" s="802" t="s">
        <v>961</v>
      </c>
      <c r="B106" s="1025">
        <v>227405</v>
      </c>
      <c r="C106" s="1027">
        <v>50</v>
      </c>
      <c r="D106" s="1027">
        <v>11370</v>
      </c>
      <c r="E106" s="1029"/>
    </row>
    <row r="107" spans="1:5" s="875" customFormat="1" ht="24.05" customHeight="1">
      <c r="A107" s="802" t="s">
        <v>962</v>
      </c>
      <c r="B107" s="1025">
        <v>14515</v>
      </c>
      <c r="C107" s="1027">
        <v>900</v>
      </c>
      <c r="D107" s="1027">
        <v>13064</v>
      </c>
      <c r="E107" s="1029"/>
    </row>
    <row r="108" spans="1:5" s="875" customFormat="1" ht="19" customHeight="1" thickBot="1">
      <c r="A108" s="803" t="s">
        <v>826</v>
      </c>
      <c r="B108" s="1026">
        <v>170</v>
      </c>
      <c r="C108" s="1028">
        <v>86700</v>
      </c>
      <c r="D108" s="1028">
        <v>14739</v>
      </c>
      <c r="E108" s="244" t="s">
        <v>1142</v>
      </c>
    </row>
    <row r="109" spans="1:5" s="875" customFormat="1" ht="24.9" customHeight="1">
      <c r="A109" s="802" t="s">
        <v>827</v>
      </c>
      <c r="B109" s="1025">
        <v>82</v>
      </c>
      <c r="C109" s="1027">
        <v>306000</v>
      </c>
      <c r="D109" s="1027">
        <v>25092</v>
      </c>
      <c r="E109" s="1029" t="s">
        <v>1141</v>
      </c>
    </row>
    <row r="110" spans="1:5" s="875" customFormat="1" ht="24.9" customHeight="1">
      <c r="A110" s="802" t="s">
        <v>828</v>
      </c>
      <c r="B110" s="1025">
        <v>7</v>
      </c>
      <c r="C110" s="1027">
        <v>1050</v>
      </c>
      <c r="D110" s="1027">
        <v>7</v>
      </c>
      <c r="E110" s="1029" t="s">
        <v>1143</v>
      </c>
    </row>
    <row r="111" spans="1:5" s="785" customFormat="1" ht="22.25" customHeight="1">
      <c r="A111" s="801" t="s">
        <v>803</v>
      </c>
      <c r="B111" s="116"/>
      <c r="C111" s="214"/>
      <c r="D111" s="214">
        <f>D112+D162</f>
        <v>627397</v>
      </c>
      <c r="E111" s="1029"/>
    </row>
    <row r="112" spans="1:5" s="785" customFormat="1" ht="24.05" customHeight="1">
      <c r="A112" s="801" t="s">
        <v>829</v>
      </c>
      <c r="B112" s="1025"/>
      <c r="C112" s="1027"/>
      <c r="D112" s="214">
        <f>SUM(D113,D118,D121,D122,D123,D124,D125,D130,D157,D158,D159,D160,D161)</f>
        <v>627397</v>
      </c>
      <c r="E112" s="1029"/>
    </row>
    <row r="113" spans="1:7" s="785" customFormat="1" ht="20.95" customHeight="1">
      <c r="A113" s="802" t="s">
        <v>830</v>
      </c>
      <c r="B113" s="1025"/>
      <c r="C113" s="1027"/>
      <c r="D113" s="1027">
        <f>SUM(D114:D117)</f>
        <v>8461</v>
      </c>
      <c r="E113" s="1029"/>
    </row>
    <row r="114" spans="1:7" s="785" customFormat="1" ht="36" customHeight="1">
      <c r="A114" s="804" t="s">
        <v>831</v>
      </c>
      <c r="B114" s="1025">
        <v>360</v>
      </c>
      <c r="C114" s="1027">
        <v>8700</v>
      </c>
      <c r="D114" s="1027">
        <v>3132</v>
      </c>
      <c r="E114" s="1029" t="s">
        <v>1153</v>
      </c>
    </row>
    <row r="115" spans="1:7" s="282" customFormat="1" ht="36" customHeight="1">
      <c r="A115" s="805" t="s">
        <v>832</v>
      </c>
      <c r="B115" s="1025">
        <v>700</v>
      </c>
      <c r="C115" s="1027">
        <v>6200</v>
      </c>
      <c r="D115" s="1027">
        <v>4340</v>
      </c>
      <c r="E115" s="1029" t="s">
        <v>1081</v>
      </c>
      <c r="G115" s="488"/>
    </row>
    <row r="116" spans="1:7" s="282" customFormat="1" ht="36" customHeight="1">
      <c r="A116" s="805" t="s">
        <v>833</v>
      </c>
      <c r="B116" s="1025">
        <v>24</v>
      </c>
      <c r="C116" s="1027">
        <v>3200</v>
      </c>
      <c r="D116" s="1027">
        <v>77</v>
      </c>
      <c r="E116" s="1029" t="s">
        <v>968</v>
      </c>
    </row>
    <row r="117" spans="1:7" s="282" customFormat="1" ht="49.6" customHeight="1">
      <c r="A117" s="805" t="s">
        <v>834</v>
      </c>
      <c r="B117" s="1025">
        <v>480</v>
      </c>
      <c r="C117" s="1027">
        <v>1900</v>
      </c>
      <c r="D117" s="1027">
        <v>912</v>
      </c>
      <c r="E117" s="1029" t="s">
        <v>1154</v>
      </c>
    </row>
    <row r="118" spans="1:7" s="282" customFormat="1" ht="21.8" customHeight="1">
      <c r="A118" s="68" t="s">
        <v>1020</v>
      </c>
      <c r="B118" s="1025"/>
      <c r="C118" s="1027"/>
      <c r="D118" s="1027">
        <f>SUM(D119:D120)</f>
        <v>98540</v>
      </c>
      <c r="E118" s="1029"/>
    </row>
    <row r="119" spans="1:7" s="282" customFormat="1" ht="37.15" customHeight="1">
      <c r="A119" s="807" t="s">
        <v>843</v>
      </c>
      <c r="B119" s="1025">
        <v>4200</v>
      </c>
      <c r="C119" s="1027">
        <v>8700</v>
      </c>
      <c r="D119" s="1027">
        <v>36540</v>
      </c>
      <c r="E119" s="1029" t="s">
        <v>1155</v>
      </c>
    </row>
    <row r="120" spans="1:7" s="282" customFormat="1" ht="38.950000000000003" customHeight="1">
      <c r="A120" s="805" t="s">
        <v>844</v>
      </c>
      <c r="B120" s="1025">
        <v>10000</v>
      </c>
      <c r="C120" s="1027">
        <v>6200</v>
      </c>
      <c r="D120" s="1027">
        <v>62000</v>
      </c>
      <c r="E120" s="1029" t="s">
        <v>1156</v>
      </c>
    </row>
    <row r="121" spans="1:7" s="282" customFormat="1" ht="25.2" customHeight="1">
      <c r="A121" s="802" t="s">
        <v>835</v>
      </c>
      <c r="B121" s="1025">
        <v>10</v>
      </c>
      <c r="C121" s="1027">
        <v>14800</v>
      </c>
      <c r="D121" s="1027">
        <v>148</v>
      </c>
      <c r="E121" s="1029" t="s">
        <v>1037</v>
      </c>
    </row>
    <row r="122" spans="1:7" s="282" customFormat="1" ht="24.55" customHeight="1">
      <c r="A122" s="802" t="s">
        <v>836</v>
      </c>
      <c r="B122" s="1025">
        <v>600</v>
      </c>
      <c r="C122" s="1027">
        <v>12493</v>
      </c>
      <c r="D122" s="1027">
        <v>7496</v>
      </c>
      <c r="E122" s="1029" t="s">
        <v>969</v>
      </c>
    </row>
    <row r="123" spans="1:7" s="282" customFormat="1" ht="24.05" customHeight="1">
      <c r="A123" s="802" t="s">
        <v>837</v>
      </c>
      <c r="B123" s="1025">
        <v>3600</v>
      </c>
      <c r="C123" s="1027">
        <v>12400</v>
      </c>
      <c r="D123" s="1027">
        <v>44640</v>
      </c>
      <c r="E123" s="1029" t="s">
        <v>970</v>
      </c>
    </row>
    <row r="124" spans="1:7" ht="25.85" customHeight="1">
      <c r="A124" s="802" t="s">
        <v>838</v>
      </c>
      <c r="B124" s="1025">
        <v>440</v>
      </c>
      <c r="C124" s="1027">
        <v>100000</v>
      </c>
      <c r="D124" s="1027">
        <v>44000</v>
      </c>
      <c r="E124" s="1029" t="s">
        <v>1159</v>
      </c>
    </row>
    <row r="125" spans="1:7" ht="37.5" customHeight="1">
      <c r="A125" s="802" t="s">
        <v>933</v>
      </c>
      <c r="B125" s="1025"/>
      <c r="C125" s="1027"/>
      <c r="D125" s="1027">
        <f>SUM(D126:D129)</f>
        <v>239</v>
      </c>
      <c r="E125" s="1029"/>
    </row>
    <row r="126" spans="1:7" ht="37.5" customHeight="1">
      <c r="A126" s="805" t="s">
        <v>839</v>
      </c>
      <c r="B126" s="1025">
        <v>12</v>
      </c>
      <c r="C126" s="1027">
        <v>8700</v>
      </c>
      <c r="D126" s="1027">
        <v>104</v>
      </c>
      <c r="E126" s="1029" t="s">
        <v>804</v>
      </c>
    </row>
    <row r="127" spans="1:7" ht="37.799999999999997" customHeight="1">
      <c r="A127" s="805" t="s">
        <v>840</v>
      </c>
      <c r="B127" s="1025">
        <v>12</v>
      </c>
      <c r="C127" s="1027">
        <v>6200</v>
      </c>
      <c r="D127" s="1027">
        <v>74</v>
      </c>
      <c r="E127" s="1029" t="s">
        <v>804</v>
      </c>
    </row>
    <row r="128" spans="1:7" ht="36" customHeight="1" thickBot="1">
      <c r="A128" s="806" t="s">
        <v>841</v>
      </c>
      <c r="B128" s="1026">
        <v>12</v>
      </c>
      <c r="C128" s="1028">
        <v>3200</v>
      </c>
      <c r="D128" s="1028">
        <v>38</v>
      </c>
      <c r="E128" s="244" t="s">
        <v>804</v>
      </c>
    </row>
    <row r="129" spans="1:5" ht="45" customHeight="1">
      <c r="A129" s="805" t="s">
        <v>842</v>
      </c>
      <c r="B129" s="1025">
        <v>12</v>
      </c>
      <c r="C129" s="1027">
        <v>1900</v>
      </c>
      <c r="D129" s="1027">
        <v>23</v>
      </c>
      <c r="E129" s="1029" t="s">
        <v>804</v>
      </c>
    </row>
    <row r="130" spans="1:5" ht="20.3" customHeight="1">
      <c r="A130" s="802" t="s">
        <v>811</v>
      </c>
      <c r="B130" s="1025"/>
      <c r="C130" s="1027"/>
      <c r="D130" s="1027">
        <f>+D131+D136+D142++D147+D151+D156</f>
        <v>377117</v>
      </c>
      <c r="E130" s="1029"/>
    </row>
    <row r="131" spans="1:5" ht="19.5" customHeight="1">
      <c r="A131" s="802" t="s">
        <v>1158</v>
      </c>
      <c r="B131" s="1025"/>
      <c r="C131" s="1027"/>
      <c r="D131" s="1027">
        <f>+D132+D133+D134+D135</f>
        <v>177646</v>
      </c>
      <c r="E131" s="1029"/>
    </row>
    <row r="132" spans="1:5" ht="33.75" customHeight="1">
      <c r="A132" s="1017" t="s">
        <v>1355</v>
      </c>
      <c r="B132" s="1025"/>
      <c r="C132" s="1027"/>
      <c r="D132" s="1027">
        <v>67672</v>
      </c>
      <c r="E132" s="1029"/>
    </row>
    <row r="133" spans="1:5" ht="33.049999999999997" customHeight="1">
      <c r="A133" s="1017" t="s">
        <v>1356</v>
      </c>
      <c r="B133" s="1025"/>
      <c r="C133" s="1027"/>
      <c r="D133" s="1027">
        <v>94474</v>
      </c>
      <c r="E133" s="1029"/>
    </row>
    <row r="134" spans="1:5" ht="67.75" customHeight="1">
      <c r="A134" s="1017" t="s">
        <v>1357</v>
      </c>
      <c r="B134" s="1025"/>
      <c r="C134" s="1027"/>
      <c r="D134" s="1027">
        <v>5500</v>
      </c>
      <c r="E134" s="1029"/>
    </row>
    <row r="135" spans="1:5" ht="49.25" customHeight="1">
      <c r="A135" s="1017" t="s">
        <v>1358</v>
      </c>
      <c r="B135" s="1025"/>
      <c r="C135" s="1027"/>
      <c r="D135" s="1027">
        <v>10000</v>
      </c>
      <c r="E135" s="1029"/>
    </row>
    <row r="136" spans="1:5" ht="20.95" customHeight="1">
      <c r="A136" s="802" t="s">
        <v>1157</v>
      </c>
      <c r="B136" s="1025"/>
      <c r="C136" s="1027"/>
      <c r="D136" s="1027">
        <f>+D137+D138+D139+D140+D141</f>
        <v>65650</v>
      </c>
      <c r="E136" s="1029"/>
    </row>
    <row r="137" spans="1:5" ht="33.049999999999997" customHeight="1">
      <c r="A137" s="1018" t="s">
        <v>1359</v>
      </c>
      <c r="B137" s="1025"/>
      <c r="C137" s="1027"/>
      <c r="D137" s="1027">
        <v>5500</v>
      </c>
      <c r="E137" s="1029"/>
    </row>
    <row r="138" spans="1:5" ht="49.25" customHeight="1">
      <c r="A138" s="1018" t="s">
        <v>1360</v>
      </c>
      <c r="B138" s="1025"/>
      <c r="C138" s="1027"/>
      <c r="D138" s="1027">
        <v>15750</v>
      </c>
      <c r="E138" s="1029"/>
    </row>
    <row r="139" spans="1:5" ht="33.049999999999997" customHeight="1">
      <c r="A139" s="1018" t="s">
        <v>1361</v>
      </c>
      <c r="B139" s="1025"/>
      <c r="C139" s="1027"/>
      <c r="D139" s="1027">
        <v>7400</v>
      </c>
      <c r="E139" s="1029"/>
    </row>
    <row r="140" spans="1:5" ht="65.45" customHeight="1">
      <c r="A140" s="1018" t="s">
        <v>1362</v>
      </c>
      <c r="B140" s="1025"/>
      <c r="C140" s="1027"/>
      <c r="D140" s="1027">
        <v>30000</v>
      </c>
      <c r="E140" s="1029"/>
    </row>
    <row r="141" spans="1:5" ht="32.25" customHeight="1">
      <c r="A141" s="1018" t="s">
        <v>1363</v>
      </c>
      <c r="B141" s="1025"/>
      <c r="C141" s="1027"/>
      <c r="D141" s="1027">
        <v>7000</v>
      </c>
      <c r="E141" s="1029"/>
    </row>
    <row r="142" spans="1:5" ht="19.5" customHeight="1">
      <c r="A142" s="1019" t="s">
        <v>1364</v>
      </c>
      <c r="B142" s="1025"/>
      <c r="C142" s="1027"/>
      <c r="D142" s="1027">
        <f>+D143+D144+D145+D146</f>
        <v>43400</v>
      </c>
      <c r="E142" s="1029"/>
    </row>
    <row r="143" spans="1:5" ht="31.6" customHeight="1">
      <c r="A143" s="1020" t="s">
        <v>1365</v>
      </c>
      <c r="B143" s="1025"/>
      <c r="C143" s="1027"/>
      <c r="D143" s="1027">
        <v>3000</v>
      </c>
      <c r="E143" s="1029"/>
    </row>
    <row r="144" spans="1:5" ht="35.200000000000003" customHeight="1">
      <c r="A144" s="1020" t="s">
        <v>1366</v>
      </c>
      <c r="B144" s="1025"/>
      <c r="C144" s="1027"/>
      <c r="D144" s="1027">
        <v>8900</v>
      </c>
      <c r="E144" s="1029"/>
    </row>
    <row r="145" spans="1:5" ht="33.049999999999997" customHeight="1" thickBot="1">
      <c r="A145" s="1031" t="s">
        <v>1367</v>
      </c>
      <c r="B145" s="1026"/>
      <c r="C145" s="1028"/>
      <c r="D145" s="1028">
        <v>2000</v>
      </c>
      <c r="E145" s="244"/>
    </row>
    <row r="146" spans="1:5" ht="53.2" customHeight="1">
      <c r="A146" s="1020" t="s">
        <v>1368</v>
      </c>
      <c r="B146" s="1025"/>
      <c r="C146" s="1027"/>
      <c r="D146" s="1027">
        <v>29500</v>
      </c>
      <c r="E146" s="1029"/>
    </row>
    <row r="147" spans="1:5" ht="38.299999999999997" customHeight="1">
      <c r="A147" s="1021" t="s">
        <v>1369</v>
      </c>
      <c r="B147" s="1025"/>
      <c r="C147" s="1027"/>
      <c r="D147" s="1027">
        <f>+D148+D149+D150</f>
        <v>39250</v>
      </c>
      <c r="E147" s="1029"/>
    </row>
    <row r="148" spans="1:5" ht="33.049999999999997" customHeight="1">
      <c r="A148" s="1022" t="s">
        <v>1370</v>
      </c>
      <c r="B148" s="1025"/>
      <c r="C148" s="1027"/>
      <c r="D148" s="1027">
        <v>27950</v>
      </c>
      <c r="E148" s="1029"/>
    </row>
    <row r="149" spans="1:5" ht="36" customHeight="1">
      <c r="A149" s="1022" t="s">
        <v>1371</v>
      </c>
      <c r="B149" s="1025"/>
      <c r="C149" s="1027"/>
      <c r="D149" s="1027">
        <v>5300</v>
      </c>
      <c r="E149" s="1029"/>
    </row>
    <row r="150" spans="1:5" ht="39.799999999999997" customHeight="1">
      <c r="A150" s="1030" t="s">
        <v>1372</v>
      </c>
      <c r="B150" s="1025"/>
      <c r="C150" s="1027"/>
      <c r="D150" s="1027">
        <v>6000</v>
      </c>
      <c r="E150" s="1029"/>
    </row>
    <row r="151" spans="1:5" ht="20.3" customHeight="1">
      <c r="A151" s="1024" t="s">
        <v>1373</v>
      </c>
      <c r="B151" s="1025"/>
      <c r="C151" s="1027"/>
      <c r="D151" s="1027">
        <f>+D152+D153+D154+D155</f>
        <v>41171</v>
      </c>
      <c r="E151" s="1029"/>
    </row>
    <row r="152" spans="1:5" ht="44.2" customHeight="1">
      <c r="A152" s="1030" t="s">
        <v>1374</v>
      </c>
      <c r="B152" s="1025"/>
      <c r="C152" s="1027"/>
      <c r="D152" s="1027">
        <v>11750</v>
      </c>
      <c r="E152" s="1029"/>
    </row>
    <row r="153" spans="1:5" ht="40.6" customHeight="1">
      <c r="A153" s="1030" t="s">
        <v>1375</v>
      </c>
      <c r="B153" s="1025"/>
      <c r="C153" s="1027"/>
      <c r="D153" s="1027">
        <v>17071</v>
      </c>
      <c r="E153" s="1029"/>
    </row>
    <row r="154" spans="1:5" ht="24.75" customHeight="1">
      <c r="A154" s="1030" t="s">
        <v>1376</v>
      </c>
      <c r="B154" s="1025"/>
      <c r="C154" s="1027"/>
      <c r="D154" s="1027">
        <v>5850</v>
      </c>
      <c r="E154" s="1029"/>
    </row>
    <row r="155" spans="1:5" ht="47.3" customHeight="1">
      <c r="A155" s="1030" t="s">
        <v>1377</v>
      </c>
      <c r="B155" s="1025"/>
      <c r="C155" s="1027"/>
      <c r="D155" s="1027">
        <v>6500</v>
      </c>
      <c r="E155" s="1029"/>
    </row>
    <row r="156" spans="1:5" ht="49.75" customHeight="1">
      <c r="A156" s="802" t="s">
        <v>812</v>
      </c>
      <c r="B156" s="1025"/>
      <c r="C156" s="1027"/>
      <c r="D156" s="1027">
        <v>10000</v>
      </c>
      <c r="E156" s="1029" t="s">
        <v>1160</v>
      </c>
    </row>
    <row r="157" spans="1:5" ht="52.85" customHeight="1">
      <c r="A157" s="802" t="s">
        <v>813</v>
      </c>
      <c r="B157" s="1025"/>
      <c r="C157" s="1027"/>
      <c r="D157" s="1027">
        <v>23000</v>
      </c>
      <c r="E157" s="1029" t="s">
        <v>768</v>
      </c>
    </row>
    <row r="158" spans="1:5" ht="29.15" customHeight="1">
      <c r="A158" s="802" t="s">
        <v>814</v>
      </c>
      <c r="B158" s="1025">
        <v>5</v>
      </c>
      <c r="C158" s="1027">
        <v>40000</v>
      </c>
      <c r="D158" s="1027">
        <v>200</v>
      </c>
      <c r="E158" s="1029" t="s">
        <v>1168</v>
      </c>
    </row>
    <row r="159" spans="1:5" ht="52.2" customHeight="1">
      <c r="A159" s="802" t="s">
        <v>815</v>
      </c>
      <c r="B159" s="1025">
        <v>13750</v>
      </c>
      <c r="C159" s="1027">
        <v>1711</v>
      </c>
      <c r="D159" s="1027">
        <v>23526</v>
      </c>
      <c r="E159" s="1029" t="s">
        <v>795</v>
      </c>
    </row>
    <row r="160" spans="1:5" ht="30.8" customHeight="1">
      <c r="A160" s="802" t="s">
        <v>816</v>
      </c>
      <c r="B160" s="1025">
        <v>4</v>
      </c>
      <c r="C160" s="1027">
        <v>2500</v>
      </c>
      <c r="D160" s="1027">
        <v>10</v>
      </c>
      <c r="E160" s="1029" t="s">
        <v>770</v>
      </c>
    </row>
    <row r="161" spans="1:5" ht="27" customHeight="1" thickBot="1">
      <c r="A161" s="1023" t="s">
        <v>817</v>
      </c>
      <c r="B161" s="1026">
        <v>2</v>
      </c>
      <c r="C161" s="1028">
        <v>10000</v>
      </c>
      <c r="D161" s="1028">
        <v>20</v>
      </c>
      <c r="E161" s="244" t="s">
        <v>769</v>
      </c>
    </row>
  </sheetData>
  <mergeCells count="5">
    <mergeCell ref="A1:E1"/>
    <mergeCell ref="A2:E2"/>
    <mergeCell ref="A3:E3"/>
    <mergeCell ref="A4:E4"/>
    <mergeCell ref="E12:E16"/>
  </mergeCells>
  <phoneticPr fontId="4" type="noConversion"/>
  <printOptions horizontalCentered="1"/>
  <pageMargins left="0.59055118110236227" right="0.59055118110236227" top="0.59055118110236227" bottom="0.78740157480314965" header="0.51181102362204722" footer="0.51181102362204722"/>
  <pageSetup paperSize="9" firstPageNumber="61"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21"/>
  <dimension ref="A1:E28"/>
  <sheetViews>
    <sheetView showGridLines="0" view="pageBreakPreview" zoomScaleNormal="100" zoomScaleSheetLayoutView="100" workbookViewId="0">
      <selection activeCell="J22" sqref="J22"/>
    </sheetView>
  </sheetViews>
  <sheetFormatPr defaultColWidth="12" defaultRowHeight="20.3"/>
  <cols>
    <col min="1" max="1" width="36.375" style="159" customWidth="1"/>
    <col min="2" max="2" width="10.75" style="159" customWidth="1"/>
    <col min="3" max="4" width="11.5" style="159" customWidth="1"/>
    <col min="5" max="5" width="20" style="159" customWidth="1"/>
    <col min="6" max="10" width="12" style="159" customWidth="1"/>
    <col min="11" max="11" width="11.5" style="159" customWidth="1"/>
    <col min="12" max="16384" width="12" style="159"/>
  </cols>
  <sheetData>
    <row r="1" spans="1:5" s="2" customFormat="1" ht="22.25">
      <c r="A1" s="1051" t="s">
        <v>62</v>
      </c>
      <c r="B1" s="1051"/>
      <c r="C1" s="1051"/>
      <c r="D1" s="1051"/>
      <c r="E1" s="1051"/>
    </row>
    <row r="2" spans="1:5" s="2" customFormat="1" ht="22.25">
      <c r="A2" s="1051" t="s">
        <v>63</v>
      </c>
      <c r="B2" s="1051"/>
      <c r="C2" s="1051"/>
      <c r="D2" s="1051"/>
      <c r="E2" s="1051"/>
    </row>
    <row r="3" spans="1:5" s="2" customFormat="1" ht="24.75" customHeight="1">
      <c r="A3" s="1053" t="s">
        <v>166</v>
      </c>
      <c r="B3" s="1053"/>
      <c r="C3" s="1053"/>
      <c r="D3" s="1053"/>
      <c r="E3" s="1053"/>
    </row>
    <row r="4" spans="1:5" s="2" customFormat="1" ht="24.75" customHeight="1" thickBot="1">
      <c r="A4" s="1067" t="s">
        <v>1123</v>
      </c>
      <c r="B4" s="1067"/>
      <c r="C4" s="1067"/>
      <c r="D4" s="1067"/>
      <c r="E4" s="1067"/>
    </row>
    <row r="5" spans="1:5" s="448" customFormat="1" ht="52.55" customHeight="1">
      <c r="A5" s="443" t="s">
        <v>161</v>
      </c>
      <c r="B5" s="444" t="s">
        <v>162</v>
      </c>
      <c r="C5" s="445" t="s">
        <v>163</v>
      </c>
      <c r="D5" s="446" t="s">
        <v>164</v>
      </c>
      <c r="E5" s="447" t="s">
        <v>165</v>
      </c>
    </row>
    <row r="6" spans="1:5" s="434" customFormat="1" ht="8.1999999999999993" customHeight="1">
      <c r="A6" s="433"/>
      <c r="B6" s="160"/>
      <c r="C6" s="161"/>
      <c r="D6" s="161"/>
      <c r="E6" s="162"/>
    </row>
    <row r="7" spans="1:5" s="243" customFormat="1" ht="28.15" customHeight="1">
      <c r="A7" s="237" t="s">
        <v>167</v>
      </c>
      <c r="B7" s="116"/>
      <c r="C7" s="214"/>
      <c r="D7" s="214">
        <f>D8</f>
        <v>51960</v>
      </c>
      <c r="E7" s="1029"/>
    </row>
    <row r="8" spans="1:5" s="236" customFormat="1" ht="28.15" customHeight="1">
      <c r="A8" s="237" t="s">
        <v>43</v>
      </c>
      <c r="B8" s="62"/>
      <c r="C8" s="204"/>
      <c r="D8" s="205">
        <f>SUM(D9,D10,D11,D16,D19,D20,D21,D22,D23,D24)</f>
        <v>51960</v>
      </c>
      <c r="E8" s="242"/>
    </row>
    <row r="9" spans="1:5" s="216" customFormat="1" ht="29.95" customHeight="1">
      <c r="A9" s="474" t="s">
        <v>1018</v>
      </c>
      <c r="B9" s="207">
        <v>28</v>
      </c>
      <c r="C9" s="207">
        <v>520000</v>
      </c>
      <c r="D9" s="207">
        <v>14560</v>
      </c>
      <c r="E9" s="240" t="s">
        <v>1406</v>
      </c>
    </row>
    <row r="10" spans="1:5" s="216" customFormat="1" ht="29.95" customHeight="1">
      <c r="A10" s="241" t="s">
        <v>44</v>
      </c>
      <c r="B10" s="207">
        <v>15</v>
      </c>
      <c r="C10" s="207">
        <v>720000</v>
      </c>
      <c r="D10" s="207">
        <v>10800</v>
      </c>
      <c r="E10" s="240" t="s">
        <v>1407</v>
      </c>
    </row>
    <row r="11" spans="1:5" s="216" customFormat="1" ht="29.95" customHeight="1">
      <c r="A11" s="46" t="s">
        <v>45</v>
      </c>
      <c r="B11" s="207"/>
      <c r="C11" s="207"/>
      <c r="D11" s="207">
        <f>SUM(D12:D15)</f>
        <v>481</v>
      </c>
      <c r="E11" s="240"/>
    </row>
    <row r="12" spans="1:5" s="216" customFormat="1" ht="42.05" customHeight="1">
      <c r="A12" s="298" t="s">
        <v>52</v>
      </c>
      <c r="B12" s="207">
        <v>24</v>
      </c>
      <c r="C12" s="207">
        <v>8700</v>
      </c>
      <c r="D12" s="207">
        <v>209</v>
      </c>
      <c r="E12" s="240" t="s">
        <v>1021</v>
      </c>
    </row>
    <row r="13" spans="1:5" s="216" customFormat="1" ht="42.05" customHeight="1">
      <c r="A13" s="46" t="s">
        <v>53</v>
      </c>
      <c r="B13" s="207">
        <v>24</v>
      </c>
      <c r="C13" s="207">
        <v>6200</v>
      </c>
      <c r="D13" s="207">
        <v>149</v>
      </c>
      <c r="E13" s="240" t="s">
        <v>1021</v>
      </c>
    </row>
    <row r="14" spans="1:5" s="216" customFormat="1" ht="42.05" customHeight="1">
      <c r="A14" s="46" t="s">
        <v>54</v>
      </c>
      <c r="B14" s="207">
        <v>24</v>
      </c>
      <c r="C14" s="207">
        <v>3200</v>
      </c>
      <c r="D14" s="207">
        <v>77</v>
      </c>
      <c r="E14" s="240" t="s">
        <v>1021</v>
      </c>
    </row>
    <row r="15" spans="1:5" s="216" customFormat="1" ht="45" customHeight="1">
      <c r="A15" s="46" t="s">
        <v>55</v>
      </c>
      <c r="B15" s="207">
        <v>24</v>
      </c>
      <c r="C15" s="207">
        <v>1900</v>
      </c>
      <c r="D15" s="207">
        <v>46</v>
      </c>
      <c r="E15" s="240" t="s">
        <v>1021</v>
      </c>
    </row>
    <row r="16" spans="1:5" s="216" customFormat="1" ht="29.95" customHeight="1">
      <c r="A16" s="46" t="s">
        <v>1019</v>
      </c>
      <c r="B16" s="60"/>
      <c r="C16" s="206"/>
      <c r="D16" s="207">
        <f>SUM(D17:D18)</f>
        <v>8268</v>
      </c>
      <c r="E16" s="240"/>
    </row>
    <row r="17" spans="1:5" s="216" customFormat="1" ht="43.55" customHeight="1">
      <c r="A17" s="46" t="s">
        <v>56</v>
      </c>
      <c r="B17" s="207">
        <v>480</v>
      </c>
      <c r="C17" s="207">
        <v>8700</v>
      </c>
      <c r="D17" s="207">
        <v>4176</v>
      </c>
      <c r="E17" s="240" t="s">
        <v>1022</v>
      </c>
    </row>
    <row r="18" spans="1:5" s="216" customFormat="1" ht="41.4" customHeight="1">
      <c r="A18" s="46" t="s">
        <v>57</v>
      </c>
      <c r="B18" s="207">
        <v>660</v>
      </c>
      <c r="C18" s="207">
        <v>6200</v>
      </c>
      <c r="D18" s="207">
        <v>4092</v>
      </c>
      <c r="E18" s="240" t="s">
        <v>1023</v>
      </c>
    </row>
    <row r="19" spans="1:5" s="216" customFormat="1" ht="29.95" customHeight="1">
      <c r="A19" s="46" t="s">
        <v>46</v>
      </c>
      <c r="B19" s="207">
        <v>2</v>
      </c>
      <c r="C19" s="207">
        <v>14800</v>
      </c>
      <c r="D19" s="207">
        <v>30</v>
      </c>
      <c r="E19" s="240" t="s">
        <v>168</v>
      </c>
    </row>
    <row r="20" spans="1:5" s="216" customFormat="1" ht="29.95" customHeight="1">
      <c r="A20" s="46" t="s">
        <v>47</v>
      </c>
      <c r="B20" s="207">
        <v>10</v>
      </c>
      <c r="C20" s="207">
        <v>9400</v>
      </c>
      <c r="D20" s="207">
        <v>94</v>
      </c>
      <c r="E20" s="240" t="s">
        <v>1024</v>
      </c>
    </row>
    <row r="21" spans="1:5" s="216" customFormat="1" ht="33.049999999999997" customHeight="1">
      <c r="A21" s="46" t="s">
        <v>48</v>
      </c>
      <c r="B21" s="207">
        <v>460</v>
      </c>
      <c r="C21" s="207">
        <v>12400</v>
      </c>
      <c r="D21" s="207">
        <v>5704</v>
      </c>
      <c r="E21" s="240" t="s">
        <v>1038</v>
      </c>
    </row>
    <row r="22" spans="1:5" s="216" customFormat="1" ht="33.75" customHeight="1">
      <c r="A22" s="46" t="s">
        <v>49</v>
      </c>
      <c r="B22" s="207">
        <v>120</v>
      </c>
      <c r="C22" s="207">
        <v>100000</v>
      </c>
      <c r="D22" s="207">
        <v>12000</v>
      </c>
      <c r="E22" s="240" t="s">
        <v>1408</v>
      </c>
    </row>
    <row r="23" spans="1:5" s="216" customFormat="1" ht="29.3" customHeight="1">
      <c r="A23" s="46" t="s">
        <v>50</v>
      </c>
      <c r="B23" s="207">
        <v>1</v>
      </c>
      <c r="C23" s="207">
        <v>2500</v>
      </c>
      <c r="D23" s="207">
        <v>3</v>
      </c>
      <c r="E23" s="240" t="s">
        <v>169</v>
      </c>
    </row>
    <row r="24" spans="1:5" s="216" customFormat="1" ht="24.05" customHeight="1">
      <c r="A24" s="46" t="s">
        <v>51</v>
      </c>
      <c r="B24" s="207">
        <v>2</v>
      </c>
      <c r="C24" s="207">
        <v>10000</v>
      </c>
      <c r="D24" s="207">
        <v>20</v>
      </c>
      <c r="E24" s="240" t="s">
        <v>170</v>
      </c>
    </row>
    <row r="25" spans="1:5" s="216" customFormat="1" ht="4.25" customHeight="1" thickBot="1">
      <c r="A25" s="224"/>
      <c r="B25" s="230"/>
      <c r="C25" s="230"/>
      <c r="D25" s="230"/>
      <c r="E25" s="331"/>
    </row>
    <row r="28" spans="1:5">
      <c r="A28" s="435"/>
    </row>
  </sheetData>
  <mergeCells count="4">
    <mergeCell ref="A1:E1"/>
    <mergeCell ref="A2:E2"/>
    <mergeCell ref="A3:E3"/>
    <mergeCell ref="A4:E4"/>
  </mergeCells>
  <phoneticPr fontId="21"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99"/>
  <sheetViews>
    <sheetView view="pageBreakPreview" zoomScaleNormal="100" zoomScaleSheetLayoutView="100" workbookViewId="0">
      <pane xSplit="5" ySplit="7" topLeftCell="F89" activePane="bottomRight" state="frozen"/>
      <selection activeCell="D8" sqref="D8"/>
      <selection pane="topRight" activeCell="D8" sqref="D8"/>
      <selection pane="bottomLeft" activeCell="D8" sqref="D8"/>
      <selection pane="bottomRight" activeCell="E63" sqref="E63"/>
    </sheetView>
  </sheetViews>
  <sheetFormatPr defaultColWidth="9" defaultRowHeight="16.399999999999999"/>
  <cols>
    <col min="1" max="1" width="11.25" style="2" customWidth="1"/>
    <col min="2" max="2" width="6.5" style="158" customWidth="1"/>
    <col min="3" max="3" width="18.25" style="611" customWidth="1"/>
    <col min="4" max="4" width="10.875" style="157" customWidth="1"/>
    <col min="5" max="5" width="7.625" style="760" customWidth="1"/>
    <col min="6" max="6" width="10.75" style="2" customWidth="1"/>
    <col min="7" max="7" width="7.125" style="158" customWidth="1"/>
    <col min="8" max="8" width="10.5" style="2" customWidth="1"/>
    <col min="9" max="9" width="6.875" style="158" customWidth="1"/>
    <col min="10" max="10" width="9" style="2" customWidth="1"/>
    <col min="11" max="13" width="10.375" style="2" hidden="1" customWidth="1"/>
    <col min="14" max="16384" width="9" style="2"/>
  </cols>
  <sheetData>
    <row r="1" spans="1:13" ht="24.05" customHeight="1">
      <c r="A1" s="1051" t="s">
        <v>62</v>
      </c>
      <c r="B1" s="1051"/>
      <c r="C1" s="1051"/>
      <c r="D1" s="1051"/>
      <c r="E1" s="1051"/>
      <c r="F1" s="1051"/>
      <c r="G1" s="1051"/>
      <c r="H1" s="1051"/>
      <c r="I1" s="1051"/>
    </row>
    <row r="2" spans="1:13" ht="20.95" customHeight="1">
      <c r="A2" s="1051" t="s">
        <v>63</v>
      </c>
      <c r="B2" s="1051"/>
      <c r="C2" s="1051"/>
      <c r="D2" s="1051"/>
      <c r="E2" s="1051"/>
      <c r="F2" s="1051"/>
      <c r="G2" s="1051"/>
      <c r="H2" s="1051"/>
      <c r="I2" s="1051"/>
    </row>
    <row r="3" spans="1:13" ht="24.9" customHeight="1">
      <c r="A3" s="1053" t="s">
        <v>344</v>
      </c>
      <c r="B3" s="1053"/>
      <c r="C3" s="1053"/>
      <c r="D3" s="1053"/>
      <c r="E3" s="1053"/>
      <c r="F3" s="1053"/>
      <c r="G3" s="1053"/>
      <c r="H3" s="1053"/>
      <c r="I3" s="1053"/>
    </row>
    <row r="4" spans="1:13" ht="24.9" customHeight="1" thickBot="1">
      <c r="A4" s="1055" t="s">
        <v>1124</v>
      </c>
      <c r="B4" s="1055"/>
      <c r="C4" s="1055"/>
      <c r="D4" s="1055"/>
      <c r="E4" s="1055"/>
      <c r="F4" s="1055"/>
      <c r="G4" s="1055"/>
      <c r="H4" s="1055"/>
      <c r="I4" s="1055"/>
    </row>
    <row r="5" spans="1:13" ht="20.95" customHeight="1">
      <c r="A5" s="1302" t="s">
        <v>345</v>
      </c>
      <c r="B5" s="1057"/>
      <c r="C5" s="1058" t="s">
        <v>16</v>
      </c>
      <c r="D5" s="1057" t="s">
        <v>346</v>
      </c>
      <c r="E5" s="1057"/>
      <c r="F5" s="1057" t="s">
        <v>347</v>
      </c>
      <c r="G5" s="1057"/>
      <c r="H5" s="1058" t="s">
        <v>937</v>
      </c>
      <c r="I5" s="1060"/>
    </row>
    <row r="6" spans="1:13" ht="19.5" customHeight="1">
      <c r="A6" s="554" t="s">
        <v>348</v>
      </c>
      <c r="B6" s="754" t="s">
        <v>772</v>
      </c>
      <c r="C6" s="1303"/>
      <c r="D6" s="555" t="s">
        <v>348</v>
      </c>
      <c r="E6" s="757" t="s">
        <v>772</v>
      </c>
      <c r="F6" s="786" t="s">
        <v>348</v>
      </c>
      <c r="G6" s="754" t="s">
        <v>772</v>
      </c>
      <c r="H6" s="786" t="s">
        <v>348</v>
      </c>
      <c r="I6" s="761" t="s">
        <v>772</v>
      </c>
    </row>
    <row r="7" spans="1:13" ht="10.15" customHeight="1">
      <c r="A7" s="558"/>
      <c r="B7" s="755"/>
      <c r="C7" s="166"/>
      <c r="D7" s="559"/>
      <c r="E7" s="758"/>
      <c r="F7" s="167"/>
      <c r="G7" s="755"/>
      <c r="H7" s="167"/>
      <c r="I7" s="762"/>
    </row>
    <row r="8" spans="1:13" s="32" customFormat="1" ht="29.8" customHeight="1">
      <c r="A8" s="311">
        <v>566196176</v>
      </c>
      <c r="B8" s="562">
        <v>100</v>
      </c>
      <c r="C8" s="563" t="s">
        <v>17</v>
      </c>
      <c r="D8" s="564">
        <f>+D9+D12+D25+D32</f>
        <v>494290788</v>
      </c>
      <c r="E8" s="562">
        <v>100</v>
      </c>
      <c r="F8" s="564">
        <f>+F9+F12+F25+F32</f>
        <v>486120419</v>
      </c>
      <c r="G8" s="562">
        <v>100</v>
      </c>
      <c r="H8" s="565">
        <f t="shared" ref="H8:H70" si="0">D8-F8</f>
        <v>8170369</v>
      </c>
      <c r="I8" s="326">
        <f t="shared" ref="I8:I17" si="1">ROUND(H8/F8*100,2)</f>
        <v>1.68</v>
      </c>
      <c r="K8" s="566">
        <f t="shared" ref="K8:K70" si="2">ROUND(A8/$A$8*100,4)</f>
        <v>100</v>
      </c>
      <c r="L8" s="566">
        <f t="shared" ref="L8:L70" si="3">ROUND(D8/$D$8*100,4)</f>
        <v>100</v>
      </c>
      <c r="M8" s="566">
        <f t="shared" ref="M8:M70" si="4">ROUND(F8/$F$8*100,4)</f>
        <v>100</v>
      </c>
    </row>
    <row r="9" spans="1:13" s="32" customFormat="1" ht="29.8" customHeight="1">
      <c r="A9" s="311">
        <v>280911</v>
      </c>
      <c r="B9" s="562">
        <f t="shared" ref="B9" si="5">ROUND(A9/$A$8*100,2)</f>
        <v>0.05</v>
      </c>
      <c r="C9" s="563" t="s">
        <v>509</v>
      </c>
      <c r="D9" s="564">
        <f>+D10</f>
        <v>281663</v>
      </c>
      <c r="E9" s="567">
        <f t="shared" ref="E9" si="6">ROUND(D9/$D$8*100,2)</f>
        <v>0.06</v>
      </c>
      <c r="F9" s="564">
        <f>+F10</f>
        <v>281831</v>
      </c>
      <c r="G9" s="567">
        <f t="shared" ref="G9" si="7">ROUND(F9/$F$8*100,2)</f>
        <v>0.06</v>
      </c>
      <c r="H9" s="565">
        <f t="shared" ref="H9" si="8">D9-F9</f>
        <v>-168</v>
      </c>
      <c r="I9" s="326">
        <f t="shared" si="1"/>
        <v>-0.06</v>
      </c>
      <c r="K9" s="566">
        <f t="shared" ref="K9:K15" si="9">ROUND(A9/$A$8*100,4)</f>
        <v>4.9599999999999998E-2</v>
      </c>
      <c r="L9" s="566">
        <f t="shared" ref="L9" si="10">ROUND(D9/$D$8*100,4)</f>
        <v>5.7000000000000002E-2</v>
      </c>
      <c r="M9" s="566">
        <f t="shared" ref="M9" si="11">ROUND(F9/$F$8*100,4)</f>
        <v>5.8000000000000003E-2</v>
      </c>
    </row>
    <row r="10" spans="1:13" s="234" customFormat="1" ht="29.8" customHeight="1">
      <c r="A10" s="568">
        <v>280911</v>
      </c>
      <c r="B10" s="569">
        <f>ROUND(A10/$A$8*100,2)</f>
        <v>0.05</v>
      </c>
      <c r="C10" s="570" t="s">
        <v>1234</v>
      </c>
      <c r="D10" s="574">
        <f>D11</f>
        <v>281663</v>
      </c>
      <c r="E10" s="367">
        <f>ROUND(D10/$D$8*100,2)</f>
        <v>0.06</v>
      </c>
      <c r="F10" s="574">
        <f>F11</f>
        <v>281831</v>
      </c>
      <c r="G10" s="367">
        <f>ROUND(F10/$F$8*100,2)</f>
        <v>0.06</v>
      </c>
      <c r="H10" s="575">
        <f>D10-F10</f>
        <v>-168</v>
      </c>
      <c r="I10" s="322">
        <f t="shared" si="1"/>
        <v>-0.06</v>
      </c>
      <c r="K10" s="573">
        <f t="shared" si="9"/>
        <v>4.9599999999999998E-2</v>
      </c>
      <c r="L10" s="573">
        <f>ROUND(D10/$D$8*100,4)</f>
        <v>5.7000000000000002E-2</v>
      </c>
      <c r="M10" s="573">
        <f>ROUND(F10/$F$8*100,4)</f>
        <v>5.8000000000000003E-2</v>
      </c>
    </row>
    <row r="11" spans="1:13" s="234" customFormat="1" ht="29.8" customHeight="1">
      <c r="A11" s="568">
        <v>280911</v>
      </c>
      <c r="B11" s="569">
        <f>ROUND(A11/$A$8*100,2)</f>
        <v>0.05</v>
      </c>
      <c r="C11" s="570" t="s">
        <v>351</v>
      </c>
      <c r="D11" s="574">
        <v>281663</v>
      </c>
      <c r="E11" s="367">
        <f>ROUND(D11/$D$8*100,2)</f>
        <v>0.06</v>
      </c>
      <c r="F11" s="574">
        <v>281831</v>
      </c>
      <c r="G11" s="367">
        <f>ROUND(F11/$F$8*100,2)</f>
        <v>0.06</v>
      </c>
      <c r="H11" s="575">
        <f>D11-F11</f>
        <v>-168</v>
      </c>
      <c r="I11" s="322">
        <f t="shared" si="1"/>
        <v>-0.06</v>
      </c>
      <c r="K11" s="573">
        <f t="shared" si="9"/>
        <v>4.9599999999999998E-2</v>
      </c>
      <c r="L11" s="573">
        <f>ROUND(D11/$D$8*100,4)</f>
        <v>5.7000000000000002E-2</v>
      </c>
      <c r="M11" s="573">
        <f>ROUND(F11/$F$8*100,4)</f>
        <v>5.8000000000000003E-2</v>
      </c>
    </row>
    <row r="12" spans="1:13" s="32" customFormat="1" ht="29.8" customHeight="1">
      <c r="A12" s="311">
        <v>164591061</v>
      </c>
      <c r="B12" s="562">
        <f t="shared" ref="B12:B73" si="12">ROUND(A12/$A$8*100,2)</f>
        <v>29.07</v>
      </c>
      <c r="C12" s="563" t="s">
        <v>350</v>
      </c>
      <c r="D12" s="564">
        <f>+D13+D16+D20+D18+D22</f>
        <v>28126938</v>
      </c>
      <c r="E12" s="567">
        <f t="shared" ref="E12" si="13">ROUND(D12/$D$8*100,2)</f>
        <v>5.69</v>
      </c>
      <c r="F12" s="564">
        <f>+F13+F16+F20+F18+F22</f>
        <v>25480011</v>
      </c>
      <c r="G12" s="567">
        <f t="shared" ref="G12:G73" si="14">ROUND(F12/$F$8*100,2)</f>
        <v>5.24</v>
      </c>
      <c r="H12" s="565">
        <f t="shared" si="0"/>
        <v>2646927</v>
      </c>
      <c r="I12" s="326">
        <f t="shared" si="1"/>
        <v>10.39</v>
      </c>
      <c r="K12" s="566">
        <f t="shared" si="9"/>
        <v>29.069600000000001</v>
      </c>
      <c r="L12" s="566">
        <f t="shared" si="3"/>
        <v>5.6904000000000003</v>
      </c>
      <c r="M12" s="566">
        <f t="shared" si="4"/>
        <v>5.2415000000000003</v>
      </c>
    </row>
    <row r="13" spans="1:13" s="234" customFormat="1" ht="29.8" customHeight="1">
      <c r="A13" s="568">
        <v>144613429</v>
      </c>
      <c r="B13" s="569">
        <f>ROUND(A13/$A$8*100,2)</f>
        <v>25.54</v>
      </c>
      <c r="C13" s="570" t="s">
        <v>510</v>
      </c>
      <c r="D13" s="574">
        <f>SUM(D14:D15)</f>
        <v>26619874</v>
      </c>
      <c r="E13" s="367">
        <f>ROUND(D13/$D$8*100,2)</f>
        <v>5.39</v>
      </c>
      <c r="F13" s="574">
        <f>SUM(F14:F15)</f>
        <v>24302193</v>
      </c>
      <c r="G13" s="367">
        <f>ROUND(F13/$F$8*100,2)</f>
        <v>5</v>
      </c>
      <c r="H13" s="575">
        <f>D13-F13</f>
        <v>2317681</v>
      </c>
      <c r="I13" s="322">
        <f t="shared" si="1"/>
        <v>9.5399999999999991</v>
      </c>
      <c r="K13" s="573">
        <f t="shared" si="9"/>
        <v>25.5412</v>
      </c>
      <c r="L13" s="573">
        <f>ROUND(D13/$D$8*100,4)</f>
        <v>5.3855000000000004</v>
      </c>
      <c r="M13" s="573">
        <f>ROUND(F13/$F$8*100,4)</f>
        <v>4.9992000000000001</v>
      </c>
    </row>
    <row r="14" spans="1:13" s="234" customFormat="1" ht="29.8" customHeight="1">
      <c r="A14" s="568">
        <v>144560114</v>
      </c>
      <c r="B14" s="569">
        <f>ROUND(A14/$A$8*100,2)</f>
        <v>25.53</v>
      </c>
      <c r="C14" s="570" t="s">
        <v>357</v>
      </c>
      <c r="D14" s="574">
        <v>26579869</v>
      </c>
      <c r="E14" s="367">
        <f>ROUND(D14/$D$8*100,2)</f>
        <v>5.38</v>
      </c>
      <c r="F14" s="574">
        <v>24253998</v>
      </c>
      <c r="G14" s="367">
        <f>ROUND(F14/$F$8*100,2)</f>
        <v>4.99</v>
      </c>
      <c r="H14" s="575">
        <f>D14-F14</f>
        <v>2325871</v>
      </c>
      <c r="I14" s="322">
        <f t="shared" si="1"/>
        <v>9.59</v>
      </c>
      <c r="K14" s="573">
        <f t="shared" si="9"/>
        <v>25.5318</v>
      </c>
      <c r="L14" s="573">
        <f>ROUND(D14/$D$8*100,4)</f>
        <v>5.3773999999999997</v>
      </c>
      <c r="M14" s="573">
        <f>ROUND(F14/$F$8*100,4)</f>
        <v>4.9893000000000001</v>
      </c>
    </row>
    <row r="15" spans="1:13" s="234" customFormat="1" ht="29.8" customHeight="1">
      <c r="A15" s="568">
        <v>53315</v>
      </c>
      <c r="B15" s="569">
        <f>ROUND(A15/$A$8*100,2)</f>
        <v>0.01</v>
      </c>
      <c r="C15" s="570" t="s">
        <v>358</v>
      </c>
      <c r="D15" s="574">
        <v>40005</v>
      </c>
      <c r="E15" s="367">
        <f>ROUND(D15/$D$8*100,2)</f>
        <v>0.01</v>
      </c>
      <c r="F15" s="574">
        <v>48195</v>
      </c>
      <c r="G15" s="367">
        <f>ROUND(F15/$F$8*100,2)</f>
        <v>0.01</v>
      </c>
      <c r="H15" s="575">
        <f>D15-F15</f>
        <v>-8190</v>
      </c>
      <c r="I15" s="322">
        <f t="shared" si="1"/>
        <v>-16.989999999999998</v>
      </c>
      <c r="K15" s="573">
        <f t="shared" si="9"/>
        <v>9.4000000000000004E-3</v>
      </c>
      <c r="L15" s="573">
        <f>ROUND(D15/$D$8*100,4)</f>
        <v>8.0999999999999996E-3</v>
      </c>
      <c r="M15" s="573">
        <f>ROUND(F15/$F$8*100,4)</f>
        <v>9.9000000000000008E-3</v>
      </c>
    </row>
    <row r="16" spans="1:13" s="234" customFormat="1" ht="29.8" customHeight="1">
      <c r="A16" s="568">
        <v>603679</v>
      </c>
      <c r="B16" s="569">
        <f t="shared" si="12"/>
        <v>0.11</v>
      </c>
      <c r="C16" s="570" t="s">
        <v>352</v>
      </c>
      <c r="D16" s="574">
        <f>D17</f>
        <v>550450</v>
      </c>
      <c r="E16" s="367">
        <f t="shared" ref="E16:E76" si="15">ROUND(D16/$D$8*100,2)</f>
        <v>0.11</v>
      </c>
      <c r="F16" s="574">
        <f>F17</f>
        <v>548135</v>
      </c>
      <c r="G16" s="367">
        <f t="shared" si="14"/>
        <v>0.11</v>
      </c>
      <c r="H16" s="575">
        <f t="shared" si="0"/>
        <v>2315</v>
      </c>
      <c r="I16" s="322">
        <f t="shared" si="1"/>
        <v>0.42</v>
      </c>
      <c r="K16" s="573">
        <f t="shared" si="2"/>
        <v>0.1066</v>
      </c>
      <c r="L16" s="573">
        <f>ROUND(D16/$D$8*100,4)</f>
        <v>0.1114</v>
      </c>
      <c r="M16" s="573">
        <f t="shared" si="4"/>
        <v>0.1128</v>
      </c>
    </row>
    <row r="17" spans="1:13" s="234" customFormat="1" ht="29.8" customHeight="1">
      <c r="A17" s="568">
        <v>603679</v>
      </c>
      <c r="B17" s="569">
        <f t="shared" si="12"/>
        <v>0.11</v>
      </c>
      <c r="C17" s="570" t="s">
        <v>351</v>
      </c>
      <c r="D17" s="574">
        <v>550450</v>
      </c>
      <c r="E17" s="367">
        <f t="shared" si="15"/>
        <v>0.11</v>
      </c>
      <c r="F17" s="574">
        <v>548135</v>
      </c>
      <c r="G17" s="367">
        <f t="shared" si="14"/>
        <v>0.11</v>
      </c>
      <c r="H17" s="575">
        <f t="shared" si="0"/>
        <v>2315</v>
      </c>
      <c r="I17" s="322">
        <f t="shared" si="1"/>
        <v>0.42</v>
      </c>
      <c r="K17" s="573">
        <f t="shared" si="2"/>
        <v>0.1066</v>
      </c>
      <c r="L17" s="573">
        <f t="shared" si="3"/>
        <v>0.1114</v>
      </c>
      <c r="M17" s="573">
        <f>ROUND(F17/$F$8*100,4)</f>
        <v>0.1128</v>
      </c>
    </row>
    <row r="18" spans="1:13" s="234" customFormat="1" ht="27" customHeight="1">
      <c r="A18" s="568">
        <v>18283631</v>
      </c>
      <c r="B18" s="569">
        <f>ROUND(A18/$A$8*100,2)</f>
        <v>3.23</v>
      </c>
      <c r="C18" s="570" t="s">
        <v>353</v>
      </c>
      <c r="D18" s="571">
        <f>D19</f>
        <v>0</v>
      </c>
      <c r="E18" s="367">
        <f>ROUND(D18/$D$8*100,2)</f>
        <v>0</v>
      </c>
      <c r="F18" s="571">
        <f>F19</f>
        <v>0</v>
      </c>
      <c r="G18" s="367">
        <f>ROUND(F18/$F$8*100,2)</f>
        <v>0</v>
      </c>
      <c r="H18" s="571">
        <f>D18-F18</f>
        <v>0</v>
      </c>
      <c r="I18" s="572">
        <v>0</v>
      </c>
      <c r="K18" s="573">
        <f>ROUND(A18/$A$8*100,4)</f>
        <v>3.2292000000000001</v>
      </c>
      <c r="L18" s="573">
        <f>ROUND(D18/$D$8*100,4)</f>
        <v>0</v>
      </c>
      <c r="M18" s="573">
        <f>ROUND(F18/$F$8*100,4)</f>
        <v>0</v>
      </c>
    </row>
    <row r="19" spans="1:13" s="234" customFormat="1" ht="27" customHeight="1">
      <c r="A19" s="568">
        <v>18283631</v>
      </c>
      <c r="B19" s="569">
        <f>ROUND(A19/$A$8*100,2)</f>
        <v>3.23</v>
      </c>
      <c r="C19" s="570" t="s">
        <v>351</v>
      </c>
      <c r="D19" s="571">
        <v>0</v>
      </c>
      <c r="E19" s="367">
        <f>ROUND(D19/$D$8*100,2)</f>
        <v>0</v>
      </c>
      <c r="F19" s="571">
        <v>0</v>
      </c>
      <c r="G19" s="367">
        <f>ROUND(F19/$F$8*100,2)</f>
        <v>0</v>
      </c>
      <c r="H19" s="571">
        <f>D19-F19</f>
        <v>0</v>
      </c>
      <c r="I19" s="572">
        <v>0</v>
      </c>
      <c r="K19" s="573">
        <f>ROUND(A19/$A$8*100,4)</f>
        <v>3.2292000000000001</v>
      </c>
      <c r="L19" s="573">
        <f>ROUND(D19/$D$8*100,4)</f>
        <v>0</v>
      </c>
      <c r="M19" s="573">
        <f>ROUND(F19/$F$8*100,4)</f>
        <v>0</v>
      </c>
    </row>
    <row r="20" spans="1:13" s="234" customFormat="1" ht="27" customHeight="1">
      <c r="A20" s="568">
        <v>123466</v>
      </c>
      <c r="B20" s="636">
        <f>ROUND(A20/$A$8*100,2)</f>
        <v>0.02</v>
      </c>
      <c r="C20" s="570" t="s">
        <v>356</v>
      </c>
      <c r="D20" s="576">
        <f>+D21</f>
        <v>0</v>
      </c>
      <c r="E20" s="367">
        <f>ROUND(D20/$D$8*100,2)</f>
        <v>0</v>
      </c>
      <c r="F20" s="577">
        <f>+F21</f>
        <v>0</v>
      </c>
      <c r="G20" s="367">
        <f>ROUND(F20/$F$8*100,2)</f>
        <v>0</v>
      </c>
      <c r="H20" s="576">
        <f>D20-F20</f>
        <v>0</v>
      </c>
      <c r="I20" s="578">
        <v>0</v>
      </c>
      <c r="K20" s="573">
        <f>ROUND(A20/$A$8*100,4)</f>
        <v>2.18E-2</v>
      </c>
      <c r="L20" s="573">
        <f>ROUND(D20/$D$8*100,4)</f>
        <v>0</v>
      </c>
      <c r="M20" s="573">
        <f>ROUND(F20/$F$8*100,4)</f>
        <v>0</v>
      </c>
    </row>
    <row r="21" spans="1:13" s="234" customFormat="1" ht="27" customHeight="1">
      <c r="A21" s="568">
        <v>123466</v>
      </c>
      <c r="B21" s="636">
        <f>ROUND(A21/$A$8*100,2)</f>
        <v>0.02</v>
      </c>
      <c r="C21" s="570" t="s">
        <v>357</v>
      </c>
      <c r="D21" s="576">
        <v>0</v>
      </c>
      <c r="E21" s="367">
        <f>ROUND(D21/$D$8*100,2)</f>
        <v>0</v>
      </c>
      <c r="F21" s="577">
        <v>0</v>
      </c>
      <c r="G21" s="367">
        <f>ROUND(F21/$F$8*100,2)</f>
        <v>0</v>
      </c>
      <c r="H21" s="576">
        <f>D21-F21</f>
        <v>0</v>
      </c>
      <c r="I21" s="578">
        <v>0</v>
      </c>
      <c r="K21" s="573">
        <f>ROUND(A21/$A$8*100,4)</f>
        <v>2.18E-2</v>
      </c>
      <c r="L21" s="573">
        <f>ROUND(D21/$D$8*100,4)</f>
        <v>0</v>
      </c>
      <c r="M21" s="573">
        <f>ROUND(F21/$F$8*100,4)</f>
        <v>0</v>
      </c>
    </row>
    <row r="22" spans="1:13" s="234" customFormat="1" ht="29.8" customHeight="1">
      <c r="A22" s="568">
        <v>966857</v>
      </c>
      <c r="B22" s="569">
        <f t="shared" si="12"/>
        <v>0.17</v>
      </c>
      <c r="C22" s="570" t="s">
        <v>354</v>
      </c>
      <c r="D22" s="574">
        <f>SUM(D23:D24)</f>
        <v>956614</v>
      </c>
      <c r="E22" s="367">
        <f t="shared" si="15"/>
        <v>0.19</v>
      </c>
      <c r="F22" s="574">
        <f>SUM(F23:F24)</f>
        <v>629683</v>
      </c>
      <c r="G22" s="367">
        <f t="shared" si="14"/>
        <v>0.13</v>
      </c>
      <c r="H22" s="575">
        <f t="shared" si="0"/>
        <v>326931</v>
      </c>
      <c r="I22" s="322">
        <f t="shared" ref="I22:I34" si="16">ROUND(H22/F22*100,2)</f>
        <v>51.92</v>
      </c>
      <c r="K22" s="573">
        <f t="shared" si="2"/>
        <v>0.17080000000000001</v>
      </c>
      <c r="L22" s="573">
        <f t="shared" si="3"/>
        <v>0.19350000000000001</v>
      </c>
      <c r="M22" s="573">
        <f t="shared" si="4"/>
        <v>0.1295</v>
      </c>
    </row>
    <row r="23" spans="1:13" s="234" customFormat="1" ht="31.25" customHeight="1">
      <c r="A23" s="568">
        <v>818779</v>
      </c>
      <c r="B23" s="569">
        <f t="shared" si="12"/>
        <v>0.14000000000000001</v>
      </c>
      <c r="C23" s="570" t="s">
        <v>351</v>
      </c>
      <c r="D23" s="574">
        <v>821264</v>
      </c>
      <c r="E23" s="367">
        <f t="shared" si="15"/>
        <v>0.17</v>
      </c>
      <c r="F23" s="574">
        <v>489054</v>
      </c>
      <c r="G23" s="367">
        <f t="shared" si="14"/>
        <v>0.1</v>
      </c>
      <c r="H23" s="575">
        <f t="shared" si="0"/>
        <v>332210</v>
      </c>
      <c r="I23" s="322">
        <f t="shared" si="16"/>
        <v>67.930000000000007</v>
      </c>
      <c r="K23" s="573">
        <f t="shared" si="2"/>
        <v>0.14460000000000001</v>
      </c>
      <c r="L23" s="573">
        <f t="shared" si="3"/>
        <v>0.1661</v>
      </c>
      <c r="M23" s="573">
        <f t="shared" si="4"/>
        <v>0.10059999999999999</v>
      </c>
    </row>
    <row r="24" spans="1:13" s="234" customFormat="1" ht="31.25" customHeight="1">
      <c r="A24" s="568">
        <v>148078</v>
      </c>
      <c r="B24" s="569">
        <f t="shared" si="12"/>
        <v>0.03</v>
      </c>
      <c r="C24" s="570" t="s">
        <v>355</v>
      </c>
      <c r="D24" s="574">
        <v>135350</v>
      </c>
      <c r="E24" s="367">
        <f t="shared" si="15"/>
        <v>0.03</v>
      </c>
      <c r="F24" s="574">
        <v>140629</v>
      </c>
      <c r="G24" s="367">
        <f t="shared" si="14"/>
        <v>0.03</v>
      </c>
      <c r="H24" s="575">
        <f t="shared" si="0"/>
        <v>-5279</v>
      </c>
      <c r="I24" s="322">
        <f t="shared" si="16"/>
        <v>-3.75</v>
      </c>
      <c r="K24" s="573">
        <f t="shared" si="2"/>
        <v>2.6200000000000001E-2</v>
      </c>
      <c r="L24" s="573">
        <f t="shared" si="3"/>
        <v>2.7400000000000001E-2</v>
      </c>
      <c r="M24" s="573">
        <f t="shared" si="4"/>
        <v>2.8899999999999999E-2</v>
      </c>
    </row>
    <row r="25" spans="1:13" s="32" customFormat="1" ht="31.25" customHeight="1">
      <c r="A25" s="311">
        <v>401254430</v>
      </c>
      <c r="B25" s="562">
        <f t="shared" si="12"/>
        <v>70.87</v>
      </c>
      <c r="C25" s="563" t="s">
        <v>359</v>
      </c>
      <c r="D25" s="564">
        <f>D26+D29</f>
        <v>443882187</v>
      </c>
      <c r="E25" s="567">
        <f t="shared" si="15"/>
        <v>89.8</v>
      </c>
      <c r="F25" s="564">
        <f>F26+F29</f>
        <v>440358577</v>
      </c>
      <c r="G25" s="567">
        <f t="shared" si="14"/>
        <v>90.59</v>
      </c>
      <c r="H25" s="565">
        <f t="shared" si="0"/>
        <v>3523610</v>
      </c>
      <c r="I25" s="326">
        <f t="shared" si="16"/>
        <v>0.8</v>
      </c>
      <c r="K25" s="566">
        <f t="shared" si="2"/>
        <v>70.868399999999994</v>
      </c>
      <c r="L25" s="566">
        <f t="shared" si="3"/>
        <v>89.8018</v>
      </c>
      <c r="M25" s="566">
        <f t="shared" si="4"/>
        <v>90.586299999999994</v>
      </c>
    </row>
    <row r="26" spans="1:13" s="234" customFormat="1" ht="35.200000000000003" customHeight="1">
      <c r="A26" s="568">
        <v>401254430</v>
      </c>
      <c r="B26" s="569">
        <f t="shared" si="12"/>
        <v>70.87</v>
      </c>
      <c r="C26" s="570" t="s">
        <v>360</v>
      </c>
      <c r="D26" s="574">
        <f>SUM(D27:D28)</f>
        <v>433065251</v>
      </c>
      <c r="E26" s="367">
        <f t="shared" si="15"/>
        <v>87.61</v>
      </c>
      <c r="F26" s="574">
        <f>SUM(F27:F28)</f>
        <v>401412384</v>
      </c>
      <c r="G26" s="367">
        <f t="shared" si="14"/>
        <v>82.57</v>
      </c>
      <c r="H26" s="575">
        <f t="shared" si="0"/>
        <v>31652867</v>
      </c>
      <c r="I26" s="322">
        <f t="shared" si="16"/>
        <v>7.89</v>
      </c>
      <c r="K26" s="573">
        <f t="shared" si="2"/>
        <v>70.868399999999994</v>
      </c>
      <c r="L26" s="573">
        <f t="shared" si="3"/>
        <v>87.613500000000002</v>
      </c>
      <c r="M26" s="573">
        <f t="shared" si="4"/>
        <v>82.574700000000007</v>
      </c>
    </row>
    <row r="27" spans="1:13" s="234" customFormat="1" ht="32.4" customHeight="1">
      <c r="A27" s="568">
        <v>393357303</v>
      </c>
      <c r="B27" s="569">
        <f t="shared" si="12"/>
        <v>69.47</v>
      </c>
      <c r="C27" s="570" t="s">
        <v>357</v>
      </c>
      <c r="D27" s="574">
        <v>424680213</v>
      </c>
      <c r="E27" s="367">
        <f t="shared" si="15"/>
        <v>85.92</v>
      </c>
      <c r="F27" s="574">
        <v>392905112</v>
      </c>
      <c r="G27" s="367">
        <f t="shared" si="14"/>
        <v>80.819999999999993</v>
      </c>
      <c r="H27" s="575">
        <f t="shared" si="0"/>
        <v>31775101</v>
      </c>
      <c r="I27" s="322">
        <f t="shared" si="16"/>
        <v>8.09</v>
      </c>
      <c r="K27" s="573">
        <f t="shared" si="2"/>
        <v>69.473699999999994</v>
      </c>
      <c r="L27" s="573">
        <f t="shared" si="3"/>
        <v>85.917100000000005</v>
      </c>
      <c r="M27" s="573">
        <f t="shared" si="4"/>
        <v>80.824600000000004</v>
      </c>
    </row>
    <row r="28" spans="1:13" s="234" customFormat="1" ht="29.95" customHeight="1" thickBot="1">
      <c r="A28" s="579">
        <v>7897127</v>
      </c>
      <c r="B28" s="580">
        <f t="shared" si="12"/>
        <v>1.39</v>
      </c>
      <c r="C28" s="581" t="s">
        <v>358</v>
      </c>
      <c r="D28" s="582">
        <v>8385038</v>
      </c>
      <c r="E28" s="389">
        <f t="shared" si="15"/>
        <v>1.7</v>
      </c>
      <c r="F28" s="582">
        <v>8507272</v>
      </c>
      <c r="G28" s="389">
        <f t="shared" si="14"/>
        <v>1.75</v>
      </c>
      <c r="H28" s="583">
        <f t="shared" si="0"/>
        <v>-122234</v>
      </c>
      <c r="I28" s="338">
        <f t="shared" si="16"/>
        <v>-1.44</v>
      </c>
      <c r="K28" s="573">
        <f t="shared" si="2"/>
        <v>1.3948</v>
      </c>
      <c r="L28" s="573">
        <f t="shared" si="3"/>
        <v>1.6963999999999999</v>
      </c>
      <c r="M28" s="573">
        <f t="shared" si="4"/>
        <v>1.75</v>
      </c>
    </row>
    <row r="29" spans="1:13" s="234" customFormat="1" ht="29" customHeight="1">
      <c r="A29" s="584">
        <v>0</v>
      </c>
      <c r="B29" s="576">
        <f t="shared" si="12"/>
        <v>0</v>
      </c>
      <c r="C29" s="585" t="s">
        <v>361</v>
      </c>
      <c r="D29" s="571">
        <f>SUM(D30:D31)</f>
        <v>10816936</v>
      </c>
      <c r="E29" s="367">
        <f t="shared" si="15"/>
        <v>2.19</v>
      </c>
      <c r="F29" s="571">
        <f>SUM(F30:F31)</f>
        <v>38946193</v>
      </c>
      <c r="G29" s="367">
        <f t="shared" si="14"/>
        <v>8.01</v>
      </c>
      <c r="H29" s="575">
        <f t="shared" si="0"/>
        <v>-28129257</v>
      </c>
      <c r="I29" s="984">
        <f t="shared" si="16"/>
        <v>-72.23</v>
      </c>
      <c r="K29" s="573">
        <f t="shared" si="2"/>
        <v>0</v>
      </c>
      <c r="L29" s="573">
        <f t="shared" si="3"/>
        <v>2.1884000000000001</v>
      </c>
      <c r="M29" s="573">
        <f t="shared" si="4"/>
        <v>8.0115999999999996</v>
      </c>
    </row>
    <row r="30" spans="1:13" s="234" customFormat="1" ht="26.05" customHeight="1">
      <c r="A30" s="586">
        <v>0</v>
      </c>
      <c r="B30" s="571">
        <f t="shared" si="12"/>
        <v>0</v>
      </c>
      <c r="C30" s="570" t="s">
        <v>357</v>
      </c>
      <c r="D30" s="571">
        <v>10816936</v>
      </c>
      <c r="E30" s="367">
        <f t="shared" si="15"/>
        <v>2.19</v>
      </c>
      <c r="F30" s="571">
        <v>38946193</v>
      </c>
      <c r="G30" s="367">
        <f t="shared" si="14"/>
        <v>8.01</v>
      </c>
      <c r="H30" s="575">
        <f t="shared" si="0"/>
        <v>-28129257</v>
      </c>
      <c r="I30" s="984">
        <f t="shared" si="16"/>
        <v>-72.23</v>
      </c>
      <c r="K30" s="573">
        <f t="shared" si="2"/>
        <v>0</v>
      </c>
      <c r="L30" s="573">
        <f t="shared" si="3"/>
        <v>2.1884000000000001</v>
      </c>
      <c r="M30" s="573">
        <f t="shared" si="4"/>
        <v>8.0115999999999996</v>
      </c>
    </row>
    <row r="31" spans="1:13" s="234" customFormat="1" ht="24.05" hidden="1" customHeight="1" thickBot="1">
      <c r="A31" s="639">
        <v>0</v>
      </c>
      <c r="B31" s="595">
        <f t="shared" si="12"/>
        <v>0</v>
      </c>
      <c r="C31" s="581" t="s">
        <v>358</v>
      </c>
      <c r="D31" s="623">
        <v>0</v>
      </c>
      <c r="E31" s="389">
        <f t="shared" si="15"/>
        <v>0</v>
      </c>
      <c r="F31" s="582">
        <v>0</v>
      </c>
      <c r="G31" s="389">
        <f t="shared" si="14"/>
        <v>0</v>
      </c>
      <c r="H31" s="583">
        <f t="shared" si="0"/>
        <v>0</v>
      </c>
      <c r="I31" s="984" t="e">
        <f t="shared" si="16"/>
        <v>#DIV/0!</v>
      </c>
      <c r="K31" s="573">
        <f t="shared" si="2"/>
        <v>0</v>
      </c>
      <c r="L31" s="573">
        <f t="shared" si="3"/>
        <v>0</v>
      </c>
      <c r="M31" s="573">
        <f t="shared" si="4"/>
        <v>0</v>
      </c>
    </row>
    <row r="32" spans="1:13" s="32" customFormat="1" ht="27" customHeight="1">
      <c r="A32" s="311">
        <v>69774</v>
      </c>
      <c r="B32" s="562">
        <f t="shared" si="12"/>
        <v>0.01</v>
      </c>
      <c r="C32" s="563" t="s">
        <v>362</v>
      </c>
      <c r="D32" s="576">
        <f>+D33+D35</f>
        <v>22000000</v>
      </c>
      <c r="E32" s="567">
        <f t="shared" si="15"/>
        <v>4.45</v>
      </c>
      <c r="F32" s="576">
        <f>+F33+F35</f>
        <v>20000000</v>
      </c>
      <c r="G32" s="567">
        <f t="shared" si="14"/>
        <v>4.1100000000000003</v>
      </c>
      <c r="H32" s="576">
        <f t="shared" si="0"/>
        <v>2000000</v>
      </c>
      <c r="I32" s="984">
        <f t="shared" si="16"/>
        <v>10</v>
      </c>
      <c r="K32" s="566">
        <f t="shared" si="2"/>
        <v>1.23E-2</v>
      </c>
      <c r="L32" s="566">
        <f t="shared" si="3"/>
        <v>4.4508000000000001</v>
      </c>
      <c r="M32" s="566">
        <f t="shared" si="4"/>
        <v>4.1142000000000003</v>
      </c>
    </row>
    <row r="33" spans="1:13" s="234" customFormat="1" ht="29.8" customHeight="1">
      <c r="A33" s="586">
        <v>0</v>
      </c>
      <c r="B33" s="367">
        <f t="shared" ref="B33:B34" si="17">ROUND(A33/$A$8*100,2)</f>
        <v>0</v>
      </c>
      <c r="C33" s="588" t="s">
        <v>1039</v>
      </c>
      <c r="D33" s="571">
        <f t="shared" ref="D33:F35" si="18">D34</f>
        <v>22000000</v>
      </c>
      <c r="E33" s="367">
        <f t="shared" ref="E33:E34" si="19">ROUND(D33/$D$8*100,2)</f>
        <v>4.45</v>
      </c>
      <c r="F33" s="571">
        <f t="shared" si="18"/>
        <v>20000000</v>
      </c>
      <c r="G33" s="367">
        <f t="shared" ref="G33:G34" si="20">ROUND(F33/$F$8*100,2)</f>
        <v>4.1100000000000003</v>
      </c>
      <c r="H33" s="571">
        <f t="shared" ref="H33:H34" si="21">D33-F33</f>
        <v>2000000</v>
      </c>
      <c r="I33" s="984">
        <f t="shared" si="16"/>
        <v>10</v>
      </c>
      <c r="K33" s="573">
        <f t="shared" ref="K33:K34" si="22">ROUND(A33/$A$8*100,4)</f>
        <v>0</v>
      </c>
      <c r="L33" s="573">
        <f t="shared" ref="L33:L34" si="23">ROUND(D33/$D$8*100,4)</f>
        <v>4.4508000000000001</v>
      </c>
      <c r="M33" s="573">
        <f t="shared" ref="M33:M34" si="24">ROUND(F33/$F$8*100,4)</f>
        <v>4.1142000000000003</v>
      </c>
    </row>
    <row r="34" spans="1:13" s="234" customFormat="1" ht="29.8" customHeight="1">
      <c r="A34" s="586">
        <v>0</v>
      </c>
      <c r="B34" s="367">
        <f t="shared" si="17"/>
        <v>0</v>
      </c>
      <c r="C34" s="570" t="s">
        <v>351</v>
      </c>
      <c r="D34" s="571">
        <v>22000000</v>
      </c>
      <c r="E34" s="367">
        <f t="shared" si="19"/>
        <v>4.45</v>
      </c>
      <c r="F34" s="571">
        <v>20000000</v>
      </c>
      <c r="G34" s="367">
        <f t="shared" si="20"/>
        <v>4.1100000000000003</v>
      </c>
      <c r="H34" s="571">
        <f t="shared" si="21"/>
        <v>2000000</v>
      </c>
      <c r="I34" s="984">
        <f t="shared" si="16"/>
        <v>10</v>
      </c>
      <c r="K34" s="573">
        <f t="shared" si="22"/>
        <v>0</v>
      </c>
      <c r="L34" s="573">
        <f t="shared" si="23"/>
        <v>4.4508000000000001</v>
      </c>
      <c r="M34" s="573">
        <f t="shared" si="24"/>
        <v>4.1142000000000003</v>
      </c>
    </row>
    <row r="35" spans="1:13" s="234" customFormat="1" ht="24.55" customHeight="1">
      <c r="A35" s="586">
        <v>69774</v>
      </c>
      <c r="B35" s="569">
        <f t="shared" si="12"/>
        <v>0.01</v>
      </c>
      <c r="C35" s="588" t="s">
        <v>363</v>
      </c>
      <c r="D35" s="571">
        <f t="shared" si="18"/>
        <v>0</v>
      </c>
      <c r="E35" s="367">
        <f t="shared" si="15"/>
        <v>0</v>
      </c>
      <c r="F35" s="571">
        <f t="shared" si="18"/>
        <v>0</v>
      </c>
      <c r="G35" s="367">
        <f t="shared" si="14"/>
        <v>0</v>
      </c>
      <c r="H35" s="571">
        <f t="shared" si="0"/>
        <v>0</v>
      </c>
      <c r="I35" s="572">
        <v>0</v>
      </c>
      <c r="K35" s="573">
        <f t="shared" si="2"/>
        <v>1.23E-2</v>
      </c>
      <c r="L35" s="573">
        <f t="shared" si="3"/>
        <v>0</v>
      </c>
      <c r="M35" s="573">
        <f t="shared" si="4"/>
        <v>0</v>
      </c>
    </row>
    <row r="36" spans="1:13" s="234" customFormat="1" ht="24.55" customHeight="1">
      <c r="A36" s="568">
        <v>69774</v>
      </c>
      <c r="B36" s="569">
        <f t="shared" si="12"/>
        <v>0.01</v>
      </c>
      <c r="C36" s="570" t="s">
        <v>357</v>
      </c>
      <c r="D36" s="571">
        <v>0</v>
      </c>
      <c r="E36" s="367">
        <f t="shared" si="15"/>
        <v>0</v>
      </c>
      <c r="F36" s="571">
        <v>0</v>
      </c>
      <c r="G36" s="367">
        <f t="shared" si="14"/>
        <v>0</v>
      </c>
      <c r="H36" s="571">
        <f t="shared" si="0"/>
        <v>0</v>
      </c>
      <c r="I36" s="572">
        <v>0</v>
      </c>
      <c r="K36" s="573">
        <f t="shared" si="2"/>
        <v>1.23E-2</v>
      </c>
      <c r="L36" s="573">
        <f t="shared" si="3"/>
        <v>0</v>
      </c>
      <c r="M36" s="573">
        <f t="shared" si="4"/>
        <v>0</v>
      </c>
    </row>
    <row r="37" spans="1:13" s="32" customFormat="1" ht="28.8" customHeight="1">
      <c r="A37" s="311">
        <v>566483968</v>
      </c>
      <c r="B37" s="562">
        <f t="shared" si="12"/>
        <v>100.05</v>
      </c>
      <c r="C37" s="563" t="s">
        <v>364</v>
      </c>
      <c r="D37" s="564">
        <f>D38+D41+D49+D59</f>
        <v>494507257</v>
      </c>
      <c r="E37" s="567">
        <f t="shared" si="15"/>
        <v>100.04</v>
      </c>
      <c r="F37" s="564">
        <f>F38+F41+F49+F59</f>
        <v>486214749</v>
      </c>
      <c r="G37" s="567">
        <f t="shared" si="14"/>
        <v>100.02</v>
      </c>
      <c r="H37" s="565">
        <f t="shared" si="0"/>
        <v>8292508</v>
      </c>
      <c r="I37" s="326">
        <f t="shared" ref="I37:I43" si="25">ROUND(H37/F37*100,2)</f>
        <v>1.71</v>
      </c>
      <c r="K37" s="566">
        <f t="shared" si="2"/>
        <v>100.0508</v>
      </c>
      <c r="L37" s="566">
        <f t="shared" si="3"/>
        <v>100.0438</v>
      </c>
      <c r="M37" s="566">
        <f t="shared" si="4"/>
        <v>100.0194</v>
      </c>
    </row>
    <row r="38" spans="1:13" s="32" customFormat="1" ht="28.8" customHeight="1">
      <c r="A38" s="311">
        <v>21985</v>
      </c>
      <c r="B38" s="567">
        <f t="shared" ref="B38" si="26">ROUND(A38/$A$8*100,2)</f>
        <v>0</v>
      </c>
      <c r="C38" s="563" t="s">
        <v>511</v>
      </c>
      <c r="D38" s="564">
        <f>+D39</f>
        <v>21280</v>
      </c>
      <c r="E38" s="567">
        <f t="shared" ref="E38" si="27">ROUND(D38/$D$8*100,2)</f>
        <v>0</v>
      </c>
      <c r="F38" s="564">
        <f>F39</f>
        <v>20072</v>
      </c>
      <c r="G38" s="567">
        <f t="shared" ref="G38" si="28">ROUND(F38/$F$8*100,2)</f>
        <v>0</v>
      </c>
      <c r="H38" s="565">
        <f t="shared" ref="H38" si="29">D38-F38</f>
        <v>1208</v>
      </c>
      <c r="I38" s="326">
        <f t="shared" si="25"/>
        <v>6.02</v>
      </c>
      <c r="K38" s="566">
        <f t="shared" ref="K38" si="30">ROUND(A38/$A$8*100,4)</f>
        <v>3.8999999999999998E-3</v>
      </c>
      <c r="L38" s="566">
        <f t="shared" ref="L38" si="31">ROUND(D38/$D$8*100,4)</f>
        <v>4.3E-3</v>
      </c>
      <c r="M38" s="566">
        <f t="shared" ref="M38" si="32">ROUND(F38/$F$8*100,4)</f>
        <v>4.1000000000000003E-3</v>
      </c>
    </row>
    <row r="39" spans="1:13" s="234" customFormat="1" ht="29.8" customHeight="1">
      <c r="A39" s="568">
        <v>21985</v>
      </c>
      <c r="B39" s="571">
        <f>ROUND(A39/$A$8*100,2)</f>
        <v>0</v>
      </c>
      <c r="C39" s="570" t="s">
        <v>1233</v>
      </c>
      <c r="D39" s="574">
        <f>D40</f>
        <v>21280</v>
      </c>
      <c r="E39" s="367">
        <f>ROUND(D39/$D$8*100,2)</f>
        <v>0</v>
      </c>
      <c r="F39" s="574">
        <f>F40</f>
        <v>20072</v>
      </c>
      <c r="G39" s="367">
        <f>ROUND(F39/$F$8*100,2)</f>
        <v>0</v>
      </c>
      <c r="H39" s="575">
        <f>D39-F39</f>
        <v>1208</v>
      </c>
      <c r="I39" s="322">
        <f t="shared" si="25"/>
        <v>6.02</v>
      </c>
      <c r="K39" s="573">
        <f>ROUND(A39/$A$8*100,4)</f>
        <v>3.8999999999999998E-3</v>
      </c>
      <c r="L39" s="573">
        <f>ROUND(D39/$D$8*100,4)</f>
        <v>4.3E-3</v>
      </c>
      <c r="M39" s="573">
        <f>ROUND(F39/$F$8*100,4)</f>
        <v>4.1000000000000003E-3</v>
      </c>
    </row>
    <row r="40" spans="1:13" s="234" customFormat="1" ht="29.8" customHeight="1">
      <c r="A40" s="568">
        <v>21985</v>
      </c>
      <c r="B40" s="571">
        <f>ROUND(A40/$A$8*100,2)</f>
        <v>0</v>
      </c>
      <c r="C40" s="570" t="s">
        <v>357</v>
      </c>
      <c r="D40" s="574">
        <v>21280</v>
      </c>
      <c r="E40" s="367">
        <f>ROUND(D40/$D$8*100,2)</f>
        <v>0</v>
      </c>
      <c r="F40" s="574">
        <v>20072</v>
      </c>
      <c r="G40" s="367">
        <f>ROUND(F40/$F$8*100,2)</f>
        <v>0</v>
      </c>
      <c r="H40" s="575">
        <f>D40-F40</f>
        <v>1208</v>
      </c>
      <c r="I40" s="322">
        <f t="shared" si="25"/>
        <v>6.02</v>
      </c>
      <c r="K40" s="573">
        <f>ROUND(A40/$A$8*100,4)</f>
        <v>3.8999999999999998E-3</v>
      </c>
      <c r="L40" s="573">
        <f>ROUND(D40/$D$8*100,4)</f>
        <v>4.3E-3</v>
      </c>
      <c r="M40" s="573">
        <f>ROUND(F40/$F$8*100,4)</f>
        <v>4.1000000000000003E-3</v>
      </c>
    </row>
    <row r="41" spans="1:13" s="32" customFormat="1" ht="29.8" customHeight="1">
      <c r="A41" s="311">
        <v>75128032</v>
      </c>
      <c r="B41" s="562">
        <f t="shared" si="12"/>
        <v>13.27</v>
      </c>
      <c r="C41" s="563" t="s">
        <v>365</v>
      </c>
      <c r="D41" s="564">
        <f>+D42+D45+D47</f>
        <v>972909</v>
      </c>
      <c r="E41" s="567">
        <f t="shared" si="15"/>
        <v>0.2</v>
      </c>
      <c r="F41" s="564">
        <f>+F42+F45+F47</f>
        <v>917034</v>
      </c>
      <c r="G41" s="567">
        <f t="shared" si="14"/>
        <v>0.19</v>
      </c>
      <c r="H41" s="565">
        <f t="shared" si="0"/>
        <v>55875</v>
      </c>
      <c r="I41" s="326">
        <f t="shared" si="25"/>
        <v>6.09</v>
      </c>
      <c r="K41" s="566">
        <f t="shared" si="2"/>
        <v>13.2689</v>
      </c>
      <c r="L41" s="566">
        <f t="shared" si="3"/>
        <v>0.1968</v>
      </c>
      <c r="M41" s="566">
        <f t="shared" si="4"/>
        <v>0.18859999999999999</v>
      </c>
    </row>
    <row r="42" spans="1:13" s="234" customFormat="1" ht="28.8" customHeight="1">
      <c r="A42" s="568">
        <v>46958546</v>
      </c>
      <c r="B42" s="569">
        <f>ROUND(A42/$A$8*100,2)</f>
        <v>8.2899999999999991</v>
      </c>
      <c r="C42" s="570" t="s">
        <v>512</v>
      </c>
      <c r="D42" s="574">
        <f>D43+D44</f>
        <v>904909</v>
      </c>
      <c r="E42" s="367">
        <f>ROUND(D42/$D$8*100,2)</f>
        <v>0.18</v>
      </c>
      <c r="F42" s="574">
        <f>F43+F44</f>
        <v>849034</v>
      </c>
      <c r="G42" s="367">
        <f>ROUND(F42/$F$8*100,2)</f>
        <v>0.17</v>
      </c>
      <c r="H42" s="575">
        <f>D42-F42</f>
        <v>55875</v>
      </c>
      <c r="I42" s="322">
        <f t="shared" si="25"/>
        <v>6.58</v>
      </c>
      <c r="K42" s="573">
        <f>ROUND(A42/$A$8*100,4)</f>
        <v>8.2936999999999994</v>
      </c>
      <c r="L42" s="573">
        <f>ROUND(D42/$D$8*100,4)</f>
        <v>0.18310000000000001</v>
      </c>
      <c r="M42" s="573">
        <f>ROUND(F42/$F$8*100,4)</f>
        <v>0.17469999999999999</v>
      </c>
    </row>
    <row r="43" spans="1:13" s="234" customFormat="1" ht="26.2" customHeight="1">
      <c r="A43" s="568">
        <v>46958525</v>
      </c>
      <c r="B43" s="569">
        <f>ROUND(A43/$A$8*100,2)</f>
        <v>8.2899999999999991</v>
      </c>
      <c r="C43" s="570" t="s">
        <v>357</v>
      </c>
      <c r="D43" s="574">
        <v>904909</v>
      </c>
      <c r="E43" s="367">
        <f>ROUND(D43/$D$8*100,2)</f>
        <v>0.18</v>
      </c>
      <c r="F43" s="574">
        <v>849034</v>
      </c>
      <c r="G43" s="367">
        <f>ROUND(F43/$F$8*100,2)</f>
        <v>0.17</v>
      </c>
      <c r="H43" s="575">
        <f>D43-F43</f>
        <v>55875</v>
      </c>
      <c r="I43" s="322">
        <f t="shared" si="25"/>
        <v>6.58</v>
      </c>
      <c r="K43" s="573">
        <f>ROUND(A43/$A$8*100,4)</f>
        <v>8.2936999999999994</v>
      </c>
      <c r="L43" s="573">
        <f>ROUND(D43/$D$8*100,4)</f>
        <v>0.18310000000000001</v>
      </c>
      <c r="M43" s="573">
        <f>ROUND(F43/$F$8*100,4)</f>
        <v>0.17469999999999999</v>
      </c>
    </row>
    <row r="44" spans="1:13" s="234" customFormat="1" ht="23.25" customHeight="1">
      <c r="A44" s="568">
        <v>21</v>
      </c>
      <c r="B44" s="576">
        <f>ROUND(A44/$A$8*100,2)</f>
        <v>0</v>
      </c>
      <c r="C44" s="570" t="s">
        <v>358</v>
      </c>
      <c r="D44" s="571">
        <v>0</v>
      </c>
      <c r="E44" s="367">
        <f>ROUND(D44/$D$8*100,2)</f>
        <v>0</v>
      </c>
      <c r="F44" s="571">
        <v>0</v>
      </c>
      <c r="G44" s="367">
        <f>ROUND(F44/$F$8*100,2)</f>
        <v>0</v>
      </c>
      <c r="H44" s="571">
        <f>D44-F44</f>
        <v>0</v>
      </c>
      <c r="I44" s="572">
        <v>0</v>
      </c>
      <c r="K44" s="573">
        <f>ROUND(A44/$A$8*100,4)</f>
        <v>0</v>
      </c>
      <c r="L44" s="573">
        <f>ROUND(D44/$D$8*100,4)</f>
        <v>0</v>
      </c>
      <c r="M44" s="573">
        <f>ROUND(F44/$F$8*100,4)</f>
        <v>0</v>
      </c>
    </row>
    <row r="45" spans="1:13" s="234" customFormat="1" ht="25.2" customHeight="1">
      <c r="A45" s="568">
        <v>49000</v>
      </c>
      <c r="B45" s="569">
        <f t="shared" si="12"/>
        <v>0.01</v>
      </c>
      <c r="C45" s="570" t="s">
        <v>366</v>
      </c>
      <c r="D45" s="590">
        <f>D46</f>
        <v>68000</v>
      </c>
      <c r="E45" s="367">
        <f t="shared" si="15"/>
        <v>0.01</v>
      </c>
      <c r="F45" s="590">
        <f>F46</f>
        <v>68000</v>
      </c>
      <c r="G45" s="367">
        <f t="shared" si="14"/>
        <v>0.01</v>
      </c>
      <c r="H45" s="571">
        <f t="shared" si="0"/>
        <v>0</v>
      </c>
      <c r="I45" s="572">
        <f>ROUND(H45/F45*100,2)</f>
        <v>0</v>
      </c>
      <c r="K45" s="573">
        <f t="shared" si="2"/>
        <v>8.6999999999999994E-3</v>
      </c>
      <c r="L45" s="573">
        <f t="shared" si="3"/>
        <v>1.38E-2</v>
      </c>
      <c r="M45" s="573">
        <f t="shared" si="4"/>
        <v>1.4E-2</v>
      </c>
    </row>
    <row r="46" spans="1:13" s="234" customFormat="1" ht="25.2" customHeight="1">
      <c r="A46" s="568">
        <v>49000</v>
      </c>
      <c r="B46" s="569">
        <f t="shared" si="12"/>
        <v>0.01</v>
      </c>
      <c r="C46" s="570" t="s">
        <v>357</v>
      </c>
      <c r="D46" s="574">
        <v>68000</v>
      </c>
      <c r="E46" s="367">
        <f t="shared" si="15"/>
        <v>0.01</v>
      </c>
      <c r="F46" s="574">
        <v>68000</v>
      </c>
      <c r="G46" s="367">
        <f t="shared" si="14"/>
        <v>0.01</v>
      </c>
      <c r="H46" s="571">
        <f t="shared" si="0"/>
        <v>0</v>
      </c>
      <c r="I46" s="572">
        <f>ROUND(H46/F46*100,2)</f>
        <v>0</v>
      </c>
      <c r="K46" s="573">
        <f t="shared" si="2"/>
        <v>8.6999999999999994E-3</v>
      </c>
      <c r="L46" s="573">
        <f t="shared" si="3"/>
        <v>1.38E-2</v>
      </c>
      <c r="M46" s="573">
        <f t="shared" si="4"/>
        <v>1.4E-2</v>
      </c>
    </row>
    <row r="47" spans="1:13" s="234" customFormat="1" ht="24.05" customHeight="1">
      <c r="A47" s="568">
        <v>28120486</v>
      </c>
      <c r="B47" s="569">
        <f t="shared" si="12"/>
        <v>4.97</v>
      </c>
      <c r="C47" s="570" t="s">
        <v>367</v>
      </c>
      <c r="D47" s="571">
        <f>D48</f>
        <v>0</v>
      </c>
      <c r="E47" s="367">
        <f t="shared" si="15"/>
        <v>0</v>
      </c>
      <c r="F47" s="571">
        <f>F48</f>
        <v>0</v>
      </c>
      <c r="G47" s="367">
        <f t="shared" si="14"/>
        <v>0</v>
      </c>
      <c r="H47" s="571">
        <f t="shared" si="0"/>
        <v>0</v>
      </c>
      <c r="I47" s="572">
        <v>0</v>
      </c>
      <c r="K47" s="573">
        <f t="shared" si="2"/>
        <v>4.9665999999999997</v>
      </c>
      <c r="L47" s="573">
        <f t="shared" si="3"/>
        <v>0</v>
      </c>
      <c r="M47" s="573">
        <f t="shared" si="4"/>
        <v>0</v>
      </c>
    </row>
    <row r="48" spans="1:13" s="234" customFormat="1" ht="22.25" customHeight="1">
      <c r="A48" s="568">
        <v>28120486</v>
      </c>
      <c r="B48" s="569">
        <f t="shared" si="12"/>
        <v>4.97</v>
      </c>
      <c r="C48" s="570" t="s">
        <v>357</v>
      </c>
      <c r="D48" s="571">
        <v>0</v>
      </c>
      <c r="E48" s="367">
        <f t="shared" si="15"/>
        <v>0</v>
      </c>
      <c r="F48" s="571">
        <v>0</v>
      </c>
      <c r="G48" s="367">
        <f t="shared" si="14"/>
        <v>0</v>
      </c>
      <c r="H48" s="571">
        <f t="shared" si="0"/>
        <v>0</v>
      </c>
      <c r="I48" s="572">
        <v>0</v>
      </c>
      <c r="K48" s="573">
        <f t="shared" si="2"/>
        <v>4.9665999999999997</v>
      </c>
      <c r="L48" s="573">
        <f t="shared" si="3"/>
        <v>0</v>
      </c>
      <c r="M48" s="573">
        <f t="shared" si="4"/>
        <v>0</v>
      </c>
    </row>
    <row r="49" spans="1:13" s="32" customFormat="1" ht="27.65" customHeight="1">
      <c r="A49" s="311">
        <v>491333943</v>
      </c>
      <c r="B49" s="562">
        <f t="shared" si="12"/>
        <v>86.78</v>
      </c>
      <c r="C49" s="563" t="s">
        <v>368</v>
      </c>
      <c r="D49" s="564">
        <f>D50+D53+D56</f>
        <v>493513068</v>
      </c>
      <c r="E49" s="567">
        <f t="shared" si="15"/>
        <v>99.84</v>
      </c>
      <c r="F49" s="564">
        <f>F50+F53+F56</f>
        <v>485277643</v>
      </c>
      <c r="G49" s="567">
        <f t="shared" si="14"/>
        <v>99.83</v>
      </c>
      <c r="H49" s="565">
        <f t="shared" si="0"/>
        <v>8235425</v>
      </c>
      <c r="I49" s="326">
        <f t="shared" ref="I49:I86" si="33">ROUND(H49/F49*100,2)</f>
        <v>1.7</v>
      </c>
      <c r="K49" s="566">
        <f t="shared" si="2"/>
        <v>86.778000000000006</v>
      </c>
      <c r="L49" s="566">
        <f t="shared" si="3"/>
        <v>99.842699999999994</v>
      </c>
      <c r="M49" s="566">
        <f t="shared" si="4"/>
        <v>99.826599999999999</v>
      </c>
    </row>
    <row r="50" spans="1:13" s="234" customFormat="1" ht="29" customHeight="1">
      <c r="A50" s="568">
        <v>422565841</v>
      </c>
      <c r="B50" s="569">
        <f t="shared" si="12"/>
        <v>74.63</v>
      </c>
      <c r="C50" s="570" t="s">
        <v>369</v>
      </c>
      <c r="D50" s="574">
        <f>D51+D52</f>
        <v>491651979</v>
      </c>
      <c r="E50" s="367">
        <f t="shared" si="15"/>
        <v>99.47</v>
      </c>
      <c r="F50" s="574">
        <f>F51+F52</f>
        <v>483060007</v>
      </c>
      <c r="G50" s="367">
        <f t="shared" si="14"/>
        <v>99.37</v>
      </c>
      <c r="H50" s="575">
        <f t="shared" si="0"/>
        <v>8591972</v>
      </c>
      <c r="I50" s="322">
        <f t="shared" si="33"/>
        <v>1.78</v>
      </c>
      <c r="K50" s="573">
        <f t="shared" si="2"/>
        <v>74.632400000000004</v>
      </c>
      <c r="L50" s="573">
        <f t="shared" si="3"/>
        <v>99.466099999999997</v>
      </c>
      <c r="M50" s="573">
        <f t="shared" si="4"/>
        <v>99.370400000000004</v>
      </c>
    </row>
    <row r="51" spans="1:13" s="234" customFormat="1" ht="29.3" customHeight="1">
      <c r="A51" s="568">
        <v>415611928</v>
      </c>
      <c r="B51" s="569">
        <f t="shared" si="12"/>
        <v>73.400000000000006</v>
      </c>
      <c r="C51" s="570" t="s">
        <v>357</v>
      </c>
      <c r="D51" s="574">
        <v>484271046</v>
      </c>
      <c r="E51" s="367">
        <f t="shared" si="15"/>
        <v>97.97</v>
      </c>
      <c r="F51" s="574">
        <v>475901712</v>
      </c>
      <c r="G51" s="367">
        <f t="shared" si="14"/>
        <v>97.9</v>
      </c>
      <c r="H51" s="575">
        <f t="shared" si="0"/>
        <v>8369334</v>
      </c>
      <c r="I51" s="322">
        <f t="shared" si="33"/>
        <v>1.76</v>
      </c>
      <c r="K51" s="573">
        <f t="shared" si="2"/>
        <v>73.404200000000003</v>
      </c>
      <c r="L51" s="573">
        <f t="shared" si="3"/>
        <v>97.972899999999996</v>
      </c>
      <c r="M51" s="573">
        <f t="shared" si="4"/>
        <v>97.897900000000007</v>
      </c>
    </row>
    <row r="52" spans="1:13" s="234" customFormat="1" ht="27.65" customHeight="1" thickBot="1">
      <c r="A52" s="579">
        <v>6953913</v>
      </c>
      <c r="B52" s="580">
        <f t="shared" si="12"/>
        <v>1.23</v>
      </c>
      <c r="C52" s="581" t="s">
        <v>358</v>
      </c>
      <c r="D52" s="582">
        <v>7380933</v>
      </c>
      <c r="E52" s="389">
        <f t="shared" si="15"/>
        <v>1.49</v>
      </c>
      <c r="F52" s="582">
        <v>7158295</v>
      </c>
      <c r="G52" s="389">
        <f t="shared" si="14"/>
        <v>1.47</v>
      </c>
      <c r="H52" s="583">
        <f t="shared" si="0"/>
        <v>222638</v>
      </c>
      <c r="I52" s="338">
        <f t="shared" si="33"/>
        <v>3.11</v>
      </c>
      <c r="K52" s="573">
        <f t="shared" si="2"/>
        <v>1.2282</v>
      </c>
      <c r="L52" s="573">
        <f t="shared" si="3"/>
        <v>1.4932000000000001</v>
      </c>
      <c r="M52" s="573">
        <f t="shared" si="4"/>
        <v>1.4724999999999999</v>
      </c>
    </row>
    <row r="53" spans="1:13" s="234" customFormat="1" ht="29.45" customHeight="1">
      <c r="A53" s="568">
        <v>68313791</v>
      </c>
      <c r="B53" s="569">
        <f t="shared" si="12"/>
        <v>12.07</v>
      </c>
      <c r="C53" s="570" t="s">
        <v>370</v>
      </c>
      <c r="D53" s="574">
        <f>SUM(D54:D55)</f>
        <v>1159558</v>
      </c>
      <c r="E53" s="367">
        <f t="shared" si="15"/>
        <v>0.23</v>
      </c>
      <c r="F53" s="574">
        <f>SUM(F54:F55)</f>
        <v>1507257</v>
      </c>
      <c r="G53" s="367">
        <f t="shared" si="14"/>
        <v>0.31</v>
      </c>
      <c r="H53" s="575">
        <f t="shared" si="0"/>
        <v>-347699</v>
      </c>
      <c r="I53" s="322">
        <f>ROUND(H53/F53*100,2)</f>
        <v>-23.07</v>
      </c>
      <c r="K53" s="573">
        <f t="shared" si="2"/>
        <v>12.0654</v>
      </c>
      <c r="L53" s="573">
        <f t="shared" si="3"/>
        <v>0.2346</v>
      </c>
      <c r="M53" s="573">
        <f t="shared" si="4"/>
        <v>0.31009999999999999</v>
      </c>
    </row>
    <row r="54" spans="1:13" s="234" customFormat="1" ht="25.85" customHeight="1">
      <c r="A54" s="568">
        <v>67181736</v>
      </c>
      <c r="B54" s="569">
        <f t="shared" si="12"/>
        <v>11.87</v>
      </c>
      <c r="C54" s="570" t="s">
        <v>357</v>
      </c>
      <c r="D54" s="571">
        <v>0</v>
      </c>
      <c r="E54" s="367">
        <f t="shared" si="15"/>
        <v>0</v>
      </c>
      <c r="F54" s="571">
        <v>0</v>
      </c>
      <c r="G54" s="367">
        <f t="shared" si="14"/>
        <v>0</v>
      </c>
      <c r="H54" s="571">
        <f t="shared" si="0"/>
        <v>0</v>
      </c>
      <c r="I54" s="572">
        <v>0</v>
      </c>
      <c r="K54" s="573">
        <f t="shared" si="2"/>
        <v>11.865500000000001</v>
      </c>
      <c r="L54" s="573">
        <f t="shared" si="3"/>
        <v>0</v>
      </c>
      <c r="M54" s="573">
        <f t="shared" si="4"/>
        <v>0</v>
      </c>
    </row>
    <row r="55" spans="1:13" s="234" customFormat="1" ht="28.65" customHeight="1">
      <c r="A55" s="568">
        <v>1132056</v>
      </c>
      <c r="B55" s="569">
        <f t="shared" si="12"/>
        <v>0.2</v>
      </c>
      <c r="C55" s="570" t="s">
        <v>358</v>
      </c>
      <c r="D55" s="571">
        <v>1159558</v>
      </c>
      <c r="E55" s="367">
        <f t="shared" si="15"/>
        <v>0.23</v>
      </c>
      <c r="F55" s="571">
        <v>1507257</v>
      </c>
      <c r="G55" s="367">
        <f t="shared" si="14"/>
        <v>0.31</v>
      </c>
      <c r="H55" s="321">
        <f>D55-F55</f>
        <v>-347699</v>
      </c>
      <c r="I55" s="322">
        <f>ROUND(H55/F55*100,2)</f>
        <v>-23.07</v>
      </c>
      <c r="K55" s="573">
        <f>ROUND(A55/$A$8*100,4)</f>
        <v>0.19989999999999999</v>
      </c>
      <c r="L55" s="573">
        <f>ROUND(D55/$D$8*100,4)</f>
        <v>0.2346</v>
      </c>
      <c r="M55" s="573">
        <f>ROUND(F55/$F$8*100,4)</f>
        <v>0.31009999999999999</v>
      </c>
    </row>
    <row r="56" spans="1:13" s="234" customFormat="1" ht="28.65" customHeight="1">
      <c r="A56" s="568">
        <v>454310</v>
      </c>
      <c r="B56" s="569">
        <f t="shared" si="12"/>
        <v>0.08</v>
      </c>
      <c r="C56" s="570" t="s">
        <v>371</v>
      </c>
      <c r="D56" s="574">
        <f>D57+D58</f>
        <v>701531</v>
      </c>
      <c r="E56" s="367">
        <f t="shared" si="15"/>
        <v>0.14000000000000001</v>
      </c>
      <c r="F56" s="574">
        <f>F57+F58</f>
        <v>710379</v>
      </c>
      <c r="G56" s="367">
        <f t="shared" si="14"/>
        <v>0.15</v>
      </c>
      <c r="H56" s="575">
        <f t="shared" si="0"/>
        <v>-8848</v>
      </c>
      <c r="I56" s="322">
        <f t="shared" si="33"/>
        <v>-1.25</v>
      </c>
      <c r="K56" s="573">
        <f t="shared" si="2"/>
        <v>8.0199999999999994E-2</v>
      </c>
      <c r="L56" s="573">
        <f t="shared" si="3"/>
        <v>0.1419</v>
      </c>
      <c r="M56" s="573">
        <f t="shared" si="4"/>
        <v>0.14610000000000001</v>
      </c>
    </row>
    <row r="57" spans="1:13" s="234" customFormat="1" ht="28.65" customHeight="1">
      <c r="A57" s="568">
        <v>441160</v>
      </c>
      <c r="B57" s="569">
        <f t="shared" si="12"/>
        <v>0.08</v>
      </c>
      <c r="C57" s="570" t="s">
        <v>357</v>
      </c>
      <c r="D57" s="574">
        <v>681537</v>
      </c>
      <c r="E57" s="367">
        <f t="shared" si="15"/>
        <v>0.14000000000000001</v>
      </c>
      <c r="F57" s="574">
        <v>679718</v>
      </c>
      <c r="G57" s="367">
        <f t="shared" si="14"/>
        <v>0.14000000000000001</v>
      </c>
      <c r="H57" s="575">
        <f t="shared" si="0"/>
        <v>1819</v>
      </c>
      <c r="I57" s="322">
        <f t="shared" si="33"/>
        <v>0.27</v>
      </c>
      <c r="K57" s="573">
        <f t="shared" si="2"/>
        <v>7.7899999999999997E-2</v>
      </c>
      <c r="L57" s="573">
        <f t="shared" si="3"/>
        <v>0.13789999999999999</v>
      </c>
      <c r="M57" s="573">
        <f t="shared" si="4"/>
        <v>0.13980000000000001</v>
      </c>
    </row>
    <row r="58" spans="1:13" s="234" customFormat="1" ht="28.65" customHeight="1">
      <c r="A58" s="568">
        <v>13150</v>
      </c>
      <c r="B58" s="571">
        <f t="shared" si="12"/>
        <v>0</v>
      </c>
      <c r="C58" s="570" t="s">
        <v>358</v>
      </c>
      <c r="D58" s="574">
        <v>19994</v>
      </c>
      <c r="E58" s="367">
        <f t="shared" si="15"/>
        <v>0</v>
      </c>
      <c r="F58" s="574">
        <v>30661</v>
      </c>
      <c r="G58" s="367">
        <f t="shared" si="14"/>
        <v>0.01</v>
      </c>
      <c r="H58" s="575">
        <f t="shared" si="0"/>
        <v>-10667</v>
      </c>
      <c r="I58" s="322">
        <f t="shared" si="33"/>
        <v>-34.79</v>
      </c>
      <c r="K58" s="573">
        <f t="shared" si="2"/>
        <v>2.3E-3</v>
      </c>
      <c r="L58" s="573">
        <f t="shared" si="3"/>
        <v>4.0000000000000001E-3</v>
      </c>
      <c r="M58" s="573">
        <f t="shared" si="4"/>
        <v>6.3E-3</v>
      </c>
    </row>
    <row r="59" spans="1:13" s="32" customFormat="1" ht="25.05" customHeight="1">
      <c r="A59" s="311">
        <v>8</v>
      </c>
      <c r="B59" s="576">
        <f t="shared" ref="B59" si="34">ROUND(A59/$A$8*100,2)</f>
        <v>0</v>
      </c>
      <c r="C59" s="563" t="s">
        <v>1202</v>
      </c>
      <c r="D59" s="571">
        <f>+D60</f>
        <v>0</v>
      </c>
      <c r="E59" s="367">
        <f t="shared" ref="E59" si="35">ROUND(D59/$D$8*100,2)</f>
        <v>0</v>
      </c>
      <c r="F59" s="571">
        <f>+F60</f>
        <v>0</v>
      </c>
      <c r="G59" s="367">
        <f t="shared" ref="G59" si="36">ROUND(F59/$F$8*100,2)</f>
        <v>0</v>
      </c>
      <c r="H59" s="571">
        <f t="shared" ref="H59" si="37">D59-F59</f>
        <v>0</v>
      </c>
      <c r="I59" s="572">
        <v>0</v>
      </c>
      <c r="K59" s="566">
        <f t="shared" ref="K59" si="38">ROUND(A59/$A$8*100,4)</f>
        <v>0</v>
      </c>
      <c r="L59" s="566">
        <f t="shared" ref="L59" si="39">ROUND(D59/$D$8*100,4)</f>
        <v>0</v>
      </c>
      <c r="M59" s="566">
        <f t="shared" ref="M59" si="40">ROUND(F59/$F$8*100,4)</f>
        <v>0</v>
      </c>
    </row>
    <row r="60" spans="1:13" s="234" customFormat="1" ht="25.05" customHeight="1">
      <c r="A60" s="568">
        <v>8</v>
      </c>
      <c r="B60" s="571">
        <f t="shared" ref="B60:B61" si="41">ROUND(A60/$A$8*100,2)</f>
        <v>0</v>
      </c>
      <c r="C60" s="570" t="s">
        <v>1169</v>
      </c>
      <c r="D60" s="571">
        <f>+D61</f>
        <v>0</v>
      </c>
      <c r="E60" s="367">
        <f t="shared" ref="E60:E61" si="42">ROUND(D60/$D$8*100,2)</f>
        <v>0</v>
      </c>
      <c r="F60" s="571">
        <f>+F61</f>
        <v>0</v>
      </c>
      <c r="G60" s="367">
        <f t="shared" ref="G60:G61" si="43">ROUND(F60/$F$8*100,2)</f>
        <v>0</v>
      </c>
      <c r="H60" s="571">
        <f t="shared" ref="H60:H61" si="44">D60-F60</f>
        <v>0</v>
      </c>
      <c r="I60" s="572">
        <v>0</v>
      </c>
      <c r="K60" s="573">
        <f t="shared" ref="K60:K61" si="45">ROUND(A60/$A$8*100,4)</f>
        <v>0</v>
      </c>
      <c r="L60" s="573">
        <f t="shared" ref="L60:L61" si="46">ROUND(D60/$D$8*100,4)</f>
        <v>0</v>
      </c>
      <c r="M60" s="573">
        <f t="shared" ref="M60:M61" si="47">ROUND(F60/$F$8*100,4)</f>
        <v>0</v>
      </c>
    </row>
    <row r="61" spans="1:13" s="234" customFormat="1" ht="25.05" customHeight="1">
      <c r="A61" s="568">
        <v>8</v>
      </c>
      <c r="B61" s="571">
        <f t="shared" si="41"/>
        <v>0</v>
      </c>
      <c r="C61" s="570" t="s">
        <v>351</v>
      </c>
      <c r="D61" s="571">
        <v>0</v>
      </c>
      <c r="E61" s="367">
        <f t="shared" si="42"/>
        <v>0</v>
      </c>
      <c r="F61" s="571">
        <v>0</v>
      </c>
      <c r="G61" s="367">
        <f t="shared" si="43"/>
        <v>0</v>
      </c>
      <c r="H61" s="571">
        <f t="shared" si="44"/>
        <v>0</v>
      </c>
      <c r="I61" s="572">
        <v>0</v>
      </c>
      <c r="K61" s="573">
        <f t="shared" si="45"/>
        <v>0</v>
      </c>
      <c r="L61" s="573">
        <f t="shared" si="46"/>
        <v>0</v>
      </c>
      <c r="M61" s="573">
        <f t="shared" si="47"/>
        <v>0</v>
      </c>
    </row>
    <row r="62" spans="1:13" s="32" customFormat="1" ht="28.65" customHeight="1">
      <c r="A62" s="591">
        <v>-287792</v>
      </c>
      <c r="B62" s="562">
        <f t="shared" si="12"/>
        <v>-0.05</v>
      </c>
      <c r="C62" s="563" t="s">
        <v>567</v>
      </c>
      <c r="D62" s="565">
        <f>SUM(D63:D64)</f>
        <v>-216469</v>
      </c>
      <c r="E62" s="562">
        <f t="shared" si="15"/>
        <v>-0.04</v>
      </c>
      <c r="F62" s="565">
        <f>SUM(F63:F64)</f>
        <v>-94330</v>
      </c>
      <c r="G62" s="562">
        <f t="shared" si="14"/>
        <v>-0.02</v>
      </c>
      <c r="H62" s="565">
        <f t="shared" si="0"/>
        <v>-122139</v>
      </c>
      <c r="I62" s="326">
        <f t="shared" si="33"/>
        <v>129.47999999999999</v>
      </c>
      <c r="K62" s="566">
        <f t="shared" si="2"/>
        <v>-5.0799999999999998E-2</v>
      </c>
      <c r="L62" s="566">
        <f t="shared" si="3"/>
        <v>-4.3799999999999999E-2</v>
      </c>
      <c r="M62" s="566">
        <f t="shared" si="4"/>
        <v>-1.9400000000000001E-2</v>
      </c>
    </row>
    <row r="63" spans="1:13" s="234" customFormat="1" ht="24.05" customHeight="1">
      <c r="A63" s="592">
        <v>-287171</v>
      </c>
      <c r="B63" s="569">
        <f t="shared" si="12"/>
        <v>-0.05</v>
      </c>
      <c r="C63" s="570" t="s">
        <v>357</v>
      </c>
      <c r="D63" s="593">
        <f>+D11+D14+D17++D21+D19+D23+D27+D34+D36-D40-D43-D46-D48-D51-D54-D57+D30</f>
        <v>-216377</v>
      </c>
      <c r="E63" s="569">
        <f t="shared" si="15"/>
        <v>-0.04</v>
      </c>
      <c r="F63" s="593">
        <f>+F11+F14+F17++F21+F19+F23+F27+F36-F40-F43-F46-F48-F51-F54-F57+F30+F34</f>
        <v>-94213</v>
      </c>
      <c r="G63" s="569">
        <f t="shared" si="14"/>
        <v>-0.02</v>
      </c>
      <c r="H63" s="593">
        <f t="shared" si="0"/>
        <v>-122164</v>
      </c>
      <c r="I63" s="322">
        <f t="shared" si="33"/>
        <v>129.66999999999999</v>
      </c>
      <c r="K63" s="573">
        <f t="shared" si="2"/>
        <v>-5.0700000000000002E-2</v>
      </c>
      <c r="L63" s="573">
        <f t="shared" si="3"/>
        <v>-4.3799999999999999E-2</v>
      </c>
      <c r="M63" s="573">
        <f t="shared" si="4"/>
        <v>-1.9400000000000001E-2</v>
      </c>
    </row>
    <row r="64" spans="1:13" s="234" customFormat="1" ht="26.2" customHeight="1">
      <c r="A64" s="592">
        <v>-620</v>
      </c>
      <c r="B64" s="576">
        <f t="shared" si="12"/>
        <v>0</v>
      </c>
      <c r="C64" s="570" t="s">
        <v>358</v>
      </c>
      <c r="D64" s="593">
        <f>D15+D24+D28+D31-D44-D52-D55-D58</f>
        <v>-92</v>
      </c>
      <c r="E64" s="367">
        <f t="shared" si="15"/>
        <v>0</v>
      </c>
      <c r="F64" s="593">
        <f>F24+F15+F28+F31-F44-F52-F58-F55</f>
        <v>-117</v>
      </c>
      <c r="G64" s="367">
        <f t="shared" si="14"/>
        <v>0</v>
      </c>
      <c r="H64" s="593">
        <f t="shared" si="0"/>
        <v>25</v>
      </c>
      <c r="I64" s="322">
        <f t="shared" si="33"/>
        <v>-21.37</v>
      </c>
      <c r="K64" s="573">
        <f t="shared" si="2"/>
        <v>-1E-4</v>
      </c>
      <c r="L64" s="573">
        <f t="shared" si="3"/>
        <v>0</v>
      </c>
      <c r="M64" s="573">
        <f t="shared" si="4"/>
        <v>0</v>
      </c>
    </row>
    <row r="65" spans="1:14" s="32" customFormat="1" ht="28.65" customHeight="1">
      <c r="A65" s="313">
        <v>289400</v>
      </c>
      <c r="B65" s="562">
        <f t="shared" si="12"/>
        <v>0.05</v>
      </c>
      <c r="C65" s="563" t="s">
        <v>372</v>
      </c>
      <c r="D65" s="594">
        <f>D66+D70</f>
        <v>216495</v>
      </c>
      <c r="E65" s="567">
        <f t="shared" si="15"/>
        <v>0.04</v>
      </c>
      <c r="F65" s="594">
        <f>F66+F70</f>
        <v>94402</v>
      </c>
      <c r="G65" s="567">
        <f t="shared" si="14"/>
        <v>0.02</v>
      </c>
      <c r="H65" s="325">
        <f t="shared" si="0"/>
        <v>122093</v>
      </c>
      <c r="I65" s="326">
        <f t="shared" si="33"/>
        <v>129.33000000000001</v>
      </c>
      <c r="K65" s="566">
        <f t="shared" si="2"/>
        <v>5.11E-2</v>
      </c>
      <c r="L65" s="566">
        <f t="shared" si="3"/>
        <v>4.3799999999999999E-2</v>
      </c>
      <c r="M65" s="566">
        <f t="shared" si="4"/>
        <v>1.9400000000000001E-2</v>
      </c>
    </row>
    <row r="66" spans="1:14" s="32" customFormat="1" ht="27.85" customHeight="1">
      <c r="A66" s="311">
        <v>462</v>
      </c>
      <c r="B66" s="576">
        <f t="shared" si="12"/>
        <v>0</v>
      </c>
      <c r="C66" s="563" t="s">
        <v>373</v>
      </c>
      <c r="D66" s="564">
        <f>D67</f>
        <v>341</v>
      </c>
      <c r="E66" s="567">
        <f t="shared" si="15"/>
        <v>0</v>
      </c>
      <c r="F66" s="564">
        <f>F67</f>
        <v>340</v>
      </c>
      <c r="G66" s="567">
        <f t="shared" si="14"/>
        <v>0</v>
      </c>
      <c r="H66" s="325">
        <f t="shared" si="0"/>
        <v>1</v>
      </c>
      <c r="I66" s="326">
        <f t="shared" si="33"/>
        <v>0.28999999999999998</v>
      </c>
      <c r="K66" s="566">
        <f t="shared" si="2"/>
        <v>1E-4</v>
      </c>
      <c r="L66" s="566">
        <f t="shared" si="3"/>
        <v>1E-4</v>
      </c>
      <c r="M66" s="566">
        <f t="shared" si="4"/>
        <v>1E-4</v>
      </c>
    </row>
    <row r="67" spans="1:14" s="234" customFormat="1" ht="28.15" customHeight="1">
      <c r="A67" s="568">
        <v>462</v>
      </c>
      <c r="B67" s="576">
        <f t="shared" si="12"/>
        <v>0</v>
      </c>
      <c r="C67" s="570" t="s">
        <v>374</v>
      </c>
      <c r="D67" s="574">
        <f>SUM(D68:D69)</f>
        <v>341</v>
      </c>
      <c r="E67" s="367">
        <f t="shared" si="15"/>
        <v>0</v>
      </c>
      <c r="F67" s="574">
        <f>SUM(F68:F69)</f>
        <v>340</v>
      </c>
      <c r="G67" s="367">
        <f t="shared" si="14"/>
        <v>0</v>
      </c>
      <c r="H67" s="593">
        <f t="shared" si="0"/>
        <v>1</v>
      </c>
      <c r="I67" s="322">
        <f t="shared" si="33"/>
        <v>0.28999999999999998</v>
      </c>
      <c r="K67" s="573">
        <f t="shared" si="2"/>
        <v>1E-4</v>
      </c>
      <c r="L67" s="573">
        <f t="shared" si="3"/>
        <v>1E-4</v>
      </c>
      <c r="M67" s="573">
        <f t="shared" si="4"/>
        <v>1E-4</v>
      </c>
    </row>
    <row r="68" spans="1:14" s="234" customFormat="1" ht="27" customHeight="1">
      <c r="A68" s="568">
        <v>426</v>
      </c>
      <c r="B68" s="576">
        <f t="shared" si="12"/>
        <v>0</v>
      </c>
      <c r="C68" s="570" t="s">
        <v>357</v>
      </c>
      <c r="D68" s="574">
        <v>320</v>
      </c>
      <c r="E68" s="367">
        <f t="shared" si="15"/>
        <v>0</v>
      </c>
      <c r="F68" s="574">
        <v>313</v>
      </c>
      <c r="G68" s="367">
        <f t="shared" si="14"/>
        <v>0</v>
      </c>
      <c r="H68" s="575">
        <f t="shared" si="0"/>
        <v>7</v>
      </c>
      <c r="I68" s="322">
        <f t="shared" si="33"/>
        <v>2.2400000000000002</v>
      </c>
      <c r="K68" s="573">
        <f t="shared" si="2"/>
        <v>1E-4</v>
      </c>
      <c r="L68" s="573">
        <f t="shared" si="3"/>
        <v>1E-4</v>
      </c>
      <c r="M68" s="573">
        <f t="shared" si="4"/>
        <v>1E-4</v>
      </c>
    </row>
    <row r="69" spans="1:14" s="234" customFormat="1" ht="28.15" customHeight="1">
      <c r="A69" s="568">
        <v>36</v>
      </c>
      <c r="B69" s="576">
        <f t="shared" si="12"/>
        <v>0</v>
      </c>
      <c r="C69" s="570" t="s">
        <v>358</v>
      </c>
      <c r="D69" s="574">
        <v>21</v>
      </c>
      <c r="E69" s="367">
        <f t="shared" si="15"/>
        <v>0</v>
      </c>
      <c r="F69" s="574">
        <v>27</v>
      </c>
      <c r="G69" s="367">
        <f t="shared" si="14"/>
        <v>0</v>
      </c>
      <c r="H69" s="575">
        <f t="shared" si="0"/>
        <v>-6</v>
      </c>
      <c r="I69" s="322">
        <f t="shared" si="33"/>
        <v>-22.22</v>
      </c>
      <c r="K69" s="573">
        <f t="shared" si="2"/>
        <v>0</v>
      </c>
      <c r="L69" s="573">
        <f t="shared" si="3"/>
        <v>0</v>
      </c>
      <c r="M69" s="573">
        <f t="shared" si="4"/>
        <v>0</v>
      </c>
    </row>
    <row r="70" spans="1:14" s="32" customFormat="1" ht="27" customHeight="1">
      <c r="A70" s="311">
        <v>288938</v>
      </c>
      <c r="B70" s="562">
        <f t="shared" si="12"/>
        <v>0.05</v>
      </c>
      <c r="C70" s="563" t="s">
        <v>375</v>
      </c>
      <c r="D70" s="564">
        <f>D71+D73+D76</f>
        <v>216154</v>
      </c>
      <c r="E70" s="567">
        <f t="shared" si="15"/>
        <v>0.04</v>
      </c>
      <c r="F70" s="564">
        <f>F71+F73+F76</f>
        <v>94062</v>
      </c>
      <c r="G70" s="567">
        <f t="shared" si="14"/>
        <v>0.02</v>
      </c>
      <c r="H70" s="325">
        <f t="shared" si="0"/>
        <v>122092</v>
      </c>
      <c r="I70" s="326">
        <f t="shared" si="33"/>
        <v>129.80000000000001</v>
      </c>
      <c r="K70" s="566">
        <f t="shared" si="2"/>
        <v>5.0999999999999997E-2</v>
      </c>
      <c r="L70" s="566">
        <f t="shared" si="3"/>
        <v>4.3700000000000003E-2</v>
      </c>
      <c r="M70" s="566">
        <f t="shared" si="4"/>
        <v>1.9300000000000001E-2</v>
      </c>
    </row>
    <row r="71" spans="1:14" s="234" customFormat="1" ht="28.15" customHeight="1">
      <c r="A71" s="568">
        <v>611</v>
      </c>
      <c r="B71" s="576">
        <f t="shared" si="12"/>
        <v>0</v>
      </c>
      <c r="C71" s="570" t="s">
        <v>376</v>
      </c>
      <c r="D71" s="571">
        <f>SUM(D72:D72)</f>
        <v>700</v>
      </c>
      <c r="E71" s="367">
        <f t="shared" si="15"/>
        <v>0</v>
      </c>
      <c r="F71" s="571">
        <f>SUM(F72:F72)</f>
        <v>700</v>
      </c>
      <c r="G71" s="367">
        <f t="shared" si="14"/>
        <v>0</v>
      </c>
      <c r="H71" s="571">
        <f t="shared" ref="H71:H86" si="48">D71-F71</f>
        <v>0</v>
      </c>
      <c r="I71" s="320">
        <v>0</v>
      </c>
      <c r="K71" s="573">
        <f t="shared" ref="K71:K89" si="49">ROUND(A71/$A$8*100,4)</f>
        <v>1E-4</v>
      </c>
      <c r="L71" s="573">
        <f t="shared" ref="L71:L89" si="50">ROUND(D71/$D$8*100,4)</f>
        <v>1E-4</v>
      </c>
      <c r="M71" s="573">
        <f t="shared" ref="M71:M89" si="51">ROUND(F71/$F$8*100,4)</f>
        <v>1E-4</v>
      </c>
    </row>
    <row r="72" spans="1:14" s="234" customFormat="1" ht="24.05" customHeight="1">
      <c r="A72" s="568">
        <v>611</v>
      </c>
      <c r="B72" s="576">
        <f t="shared" si="12"/>
        <v>0</v>
      </c>
      <c r="C72" s="570" t="s">
        <v>357</v>
      </c>
      <c r="D72" s="571">
        <v>700</v>
      </c>
      <c r="E72" s="367">
        <f t="shared" si="15"/>
        <v>0</v>
      </c>
      <c r="F72" s="571">
        <v>700</v>
      </c>
      <c r="G72" s="367">
        <f t="shared" si="14"/>
        <v>0</v>
      </c>
      <c r="H72" s="571">
        <f t="shared" si="48"/>
        <v>0</v>
      </c>
      <c r="I72" s="320">
        <v>0</v>
      </c>
      <c r="K72" s="573">
        <f t="shared" si="49"/>
        <v>1E-4</v>
      </c>
      <c r="L72" s="573">
        <f t="shared" si="50"/>
        <v>1E-4</v>
      </c>
      <c r="M72" s="573">
        <f t="shared" si="51"/>
        <v>1E-4</v>
      </c>
    </row>
    <row r="73" spans="1:14" s="234" customFormat="1" ht="27.85" customHeight="1">
      <c r="A73" s="568">
        <v>262800</v>
      </c>
      <c r="B73" s="569">
        <f t="shared" si="12"/>
        <v>0.05</v>
      </c>
      <c r="C73" s="570" t="s">
        <v>377</v>
      </c>
      <c r="D73" s="574">
        <f>SUM(D74:D75)</f>
        <v>210505</v>
      </c>
      <c r="E73" s="367">
        <f t="shared" si="15"/>
        <v>0.04</v>
      </c>
      <c r="F73" s="574">
        <f>SUM(F74:F75)</f>
        <v>88492</v>
      </c>
      <c r="G73" s="367">
        <f t="shared" si="14"/>
        <v>0.02</v>
      </c>
      <c r="H73" s="593">
        <f t="shared" si="48"/>
        <v>122013</v>
      </c>
      <c r="I73" s="322">
        <f t="shared" si="33"/>
        <v>137.88</v>
      </c>
      <c r="K73" s="573">
        <f t="shared" si="49"/>
        <v>4.6399999999999997E-2</v>
      </c>
      <c r="L73" s="573">
        <f t="shared" si="50"/>
        <v>4.2599999999999999E-2</v>
      </c>
      <c r="M73" s="573">
        <f t="shared" si="51"/>
        <v>1.8200000000000001E-2</v>
      </c>
    </row>
    <row r="74" spans="1:14" s="234" customFormat="1" ht="29.95" customHeight="1">
      <c r="A74" s="568">
        <v>262272</v>
      </c>
      <c r="B74" s="569">
        <f t="shared" ref="B74:B86" si="52">ROUND(A74/$A$8*100,2)</f>
        <v>0.05</v>
      </c>
      <c r="C74" s="570" t="s">
        <v>357</v>
      </c>
      <c r="D74" s="574">
        <v>210435</v>
      </c>
      <c r="E74" s="367">
        <f t="shared" si="15"/>
        <v>0.04</v>
      </c>
      <c r="F74" s="574">
        <v>88401</v>
      </c>
      <c r="G74" s="367">
        <f t="shared" ref="G74:G86" si="53">ROUND(F74/$F$8*100,2)</f>
        <v>0.02</v>
      </c>
      <c r="H74" s="575">
        <f t="shared" si="48"/>
        <v>122034</v>
      </c>
      <c r="I74" s="320">
        <f t="shared" si="33"/>
        <v>138.05000000000001</v>
      </c>
      <c r="K74" s="573">
        <f t="shared" si="49"/>
        <v>4.6300000000000001E-2</v>
      </c>
      <c r="L74" s="573">
        <f t="shared" si="50"/>
        <v>4.2599999999999999E-2</v>
      </c>
      <c r="M74" s="573">
        <f t="shared" si="51"/>
        <v>1.8200000000000001E-2</v>
      </c>
    </row>
    <row r="75" spans="1:14" s="234" customFormat="1" ht="25.2" customHeight="1" thickBot="1">
      <c r="A75" s="579">
        <v>528</v>
      </c>
      <c r="B75" s="595">
        <f t="shared" si="52"/>
        <v>0</v>
      </c>
      <c r="C75" s="581" t="s">
        <v>358</v>
      </c>
      <c r="D75" s="582">
        <v>70</v>
      </c>
      <c r="E75" s="389">
        <f t="shared" si="15"/>
        <v>0</v>
      </c>
      <c r="F75" s="582">
        <v>91</v>
      </c>
      <c r="G75" s="389">
        <f t="shared" si="53"/>
        <v>0</v>
      </c>
      <c r="H75" s="583">
        <f t="shared" si="48"/>
        <v>-21</v>
      </c>
      <c r="I75" s="338">
        <f t="shared" si="33"/>
        <v>-23.08</v>
      </c>
      <c r="K75" s="573">
        <f t="shared" si="49"/>
        <v>1E-4</v>
      </c>
      <c r="L75" s="573">
        <f t="shared" si="50"/>
        <v>0</v>
      </c>
      <c r="M75" s="573">
        <f t="shared" si="51"/>
        <v>0</v>
      </c>
    </row>
    <row r="76" spans="1:14" s="234" customFormat="1" ht="29.45" customHeight="1">
      <c r="A76" s="568">
        <v>25528</v>
      </c>
      <c r="B76" s="576">
        <f t="shared" si="52"/>
        <v>0</v>
      </c>
      <c r="C76" s="570" t="s">
        <v>378</v>
      </c>
      <c r="D76" s="574">
        <f>SUM(D77:D78)</f>
        <v>4949</v>
      </c>
      <c r="E76" s="367">
        <f t="shared" si="15"/>
        <v>0</v>
      </c>
      <c r="F76" s="574">
        <f>SUM(F77:F78)</f>
        <v>4870</v>
      </c>
      <c r="G76" s="367">
        <f t="shared" si="53"/>
        <v>0</v>
      </c>
      <c r="H76" s="575">
        <f t="shared" si="48"/>
        <v>79</v>
      </c>
      <c r="I76" s="322">
        <f t="shared" si="33"/>
        <v>1.62</v>
      </c>
      <c r="K76" s="573">
        <f t="shared" si="49"/>
        <v>4.4999999999999997E-3</v>
      </c>
      <c r="L76" s="573">
        <f t="shared" si="50"/>
        <v>1E-3</v>
      </c>
      <c r="M76" s="573">
        <f t="shared" si="51"/>
        <v>1E-3</v>
      </c>
    </row>
    <row r="77" spans="1:14" s="234" customFormat="1" ht="28.15" customHeight="1">
      <c r="A77" s="568">
        <v>25459</v>
      </c>
      <c r="B77" s="576">
        <f t="shared" si="52"/>
        <v>0</v>
      </c>
      <c r="C77" s="570" t="s">
        <v>357</v>
      </c>
      <c r="D77" s="574">
        <v>4936</v>
      </c>
      <c r="E77" s="367">
        <f t="shared" ref="E77:E86" si="54">ROUND(D77/$D$8*100,2)</f>
        <v>0</v>
      </c>
      <c r="F77" s="574">
        <v>4861</v>
      </c>
      <c r="G77" s="367">
        <f t="shared" si="53"/>
        <v>0</v>
      </c>
      <c r="H77" s="575">
        <f t="shared" si="48"/>
        <v>75</v>
      </c>
      <c r="I77" s="322">
        <f t="shared" si="33"/>
        <v>1.54</v>
      </c>
      <c r="K77" s="573">
        <f t="shared" si="49"/>
        <v>4.4999999999999997E-3</v>
      </c>
      <c r="L77" s="573">
        <f t="shared" si="50"/>
        <v>1E-3</v>
      </c>
      <c r="M77" s="573">
        <f t="shared" si="51"/>
        <v>1E-3</v>
      </c>
      <c r="N77" s="596"/>
    </row>
    <row r="78" spans="1:14" s="234" customFormat="1" ht="29.45" customHeight="1">
      <c r="A78" s="568">
        <v>68</v>
      </c>
      <c r="B78" s="576">
        <f t="shared" si="52"/>
        <v>0</v>
      </c>
      <c r="C78" s="570" t="s">
        <v>358</v>
      </c>
      <c r="D78" s="574">
        <v>13</v>
      </c>
      <c r="E78" s="367">
        <f t="shared" si="54"/>
        <v>0</v>
      </c>
      <c r="F78" s="574">
        <v>9</v>
      </c>
      <c r="G78" s="367">
        <f t="shared" si="53"/>
        <v>0</v>
      </c>
      <c r="H78" s="575">
        <f t="shared" si="48"/>
        <v>4</v>
      </c>
      <c r="I78" s="322">
        <f t="shared" si="33"/>
        <v>44.44</v>
      </c>
      <c r="K78" s="573">
        <f t="shared" si="49"/>
        <v>0</v>
      </c>
      <c r="L78" s="573">
        <f t="shared" si="50"/>
        <v>0</v>
      </c>
      <c r="M78" s="573">
        <f t="shared" si="51"/>
        <v>0</v>
      </c>
    </row>
    <row r="79" spans="1:14" s="32" customFormat="1" ht="26.35" customHeight="1">
      <c r="A79" s="313">
        <v>1608</v>
      </c>
      <c r="B79" s="576">
        <f t="shared" si="52"/>
        <v>0</v>
      </c>
      <c r="C79" s="563" t="s">
        <v>379</v>
      </c>
      <c r="D79" s="594">
        <f t="shared" ref="D79:F80" si="55">D80</f>
        <v>26</v>
      </c>
      <c r="E79" s="567">
        <f t="shared" si="54"/>
        <v>0</v>
      </c>
      <c r="F79" s="594">
        <f t="shared" si="55"/>
        <v>72</v>
      </c>
      <c r="G79" s="567">
        <f t="shared" si="53"/>
        <v>0</v>
      </c>
      <c r="H79" s="325">
        <f t="shared" si="48"/>
        <v>-46</v>
      </c>
      <c r="I79" s="326">
        <f t="shared" si="33"/>
        <v>-63.89</v>
      </c>
      <c r="K79" s="566">
        <f t="shared" si="49"/>
        <v>2.9999999999999997E-4</v>
      </c>
      <c r="L79" s="566">
        <f t="shared" si="50"/>
        <v>0</v>
      </c>
      <c r="M79" s="566">
        <f t="shared" si="51"/>
        <v>0</v>
      </c>
    </row>
    <row r="80" spans="1:14" s="32" customFormat="1" ht="30.95" customHeight="1">
      <c r="A80" s="311">
        <v>1608</v>
      </c>
      <c r="B80" s="576">
        <f t="shared" si="52"/>
        <v>0</v>
      </c>
      <c r="C80" s="563" t="s">
        <v>380</v>
      </c>
      <c r="D80" s="564">
        <f t="shared" si="55"/>
        <v>26</v>
      </c>
      <c r="E80" s="567">
        <f t="shared" si="54"/>
        <v>0</v>
      </c>
      <c r="F80" s="564">
        <f t="shared" si="55"/>
        <v>72</v>
      </c>
      <c r="G80" s="567">
        <f t="shared" si="53"/>
        <v>0</v>
      </c>
      <c r="H80" s="325">
        <f t="shared" si="48"/>
        <v>-46</v>
      </c>
      <c r="I80" s="326">
        <f t="shared" si="33"/>
        <v>-63.89</v>
      </c>
      <c r="K80" s="566">
        <f t="shared" si="49"/>
        <v>2.9999999999999997E-4</v>
      </c>
      <c r="L80" s="566">
        <f t="shared" si="50"/>
        <v>0</v>
      </c>
      <c r="M80" s="566">
        <f t="shared" si="51"/>
        <v>0</v>
      </c>
    </row>
    <row r="81" spans="1:13" s="234" customFormat="1" ht="30.95" customHeight="1">
      <c r="A81" s="568">
        <v>1608</v>
      </c>
      <c r="B81" s="576">
        <f t="shared" si="52"/>
        <v>0</v>
      </c>
      <c r="C81" s="570" t="s">
        <v>381</v>
      </c>
      <c r="D81" s="574">
        <f>SUM(D82:D83)</f>
        <v>26</v>
      </c>
      <c r="E81" s="367">
        <f t="shared" si="54"/>
        <v>0</v>
      </c>
      <c r="F81" s="574">
        <f>SUM(F82:F83)</f>
        <v>72</v>
      </c>
      <c r="G81" s="367">
        <f t="shared" si="53"/>
        <v>0</v>
      </c>
      <c r="H81" s="321">
        <f t="shared" si="48"/>
        <v>-46</v>
      </c>
      <c r="I81" s="322">
        <f t="shared" si="33"/>
        <v>-63.89</v>
      </c>
      <c r="K81" s="573">
        <f t="shared" si="49"/>
        <v>2.9999999999999997E-4</v>
      </c>
      <c r="L81" s="573">
        <f t="shared" si="50"/>
        <v>0</v>
      </c>
      <c r="M81" s="573">
        <f t="shared" si="51"/>
        <v>0</v>
      </c>
    </row>
    <row r="82" spans="1:13" s="234" customFormat="1" ht="30.95" customHeight="1">
      <c r="A82" s="568">
        <v>1596</v>
      </c>
      <c r="B82" s="576">
        <f t="shared" si="52"/>
        <v>0</v>
      </c>
      <c r="C82" s="570" t="s">
        <v>357</v>
      </c>
      <c r="D82" s="574">
        <v>14</v>
      </c>
      <c r="E82" s="367">
        <f t="shared" si="54"/>
        <v>0</v>
      </c>
      <c r="F82" s="574">
        <v>62</v>
      </c>
      <c r="G82" s="367">
        <f t="shared" si="53"/>
        <v>0</v>
      </c>
      <c r="H82" s="321">
        <f t="shared" si="48"/>
        <v>-48</v>
      </c>
      <c r="I82" s="322">
        <f t="shared" si="33"/>
        <v>-77.42</v>
      </c>
      <c r="K82" s="573">
        <f t="shared" si="49"/>
        <v>2.9999999999999997E-4</v>
      </c>
      <c r="L82" s="573">
        <f t="shared" si="50"/>
        <v>0</v>
      </c>
      <c r="M82" s="573">
        <f t="shared" si="51"/>
        <v>0</v>
      </c>
    </row>
    <row r="83" spans="1:13" s="234" customFormat="1" ht="30.95" customHeight="1">
      <c r="A83" s="586">
        <v>12</v>
      </c>
      <c r="B83" s="576">
        <f t="shared" si="52"/>
        <v>0</v>
      </c>
      <c r="C83" s="570" t="s">
        <v>358</v>
      </c>
      <c r="D83" s="574">
        <v>12</v>
      </c>
      <c r="E83" s="367">
        <f t="shared" si="54"/>
        <v>0</v>
      </c>
      <c r="F83" s="574">
        <v>10</v>
      </c>
      <c r="G83" s="367">
        <f t="shared" si="53"/>
        <v>0</v>
      </c>
      <c r="H83" s="571">
        <f t="shared" si="48"/>
        <v>2</v>
      </c>
      <c r="I83" s="320">
        <f t="shared" si="33"/>
        <v>20</v>
      </c>
      <c r="K83" s="573">
        <f t="shared" si="49"/>
        <v>0</v>
      </c>
      <c r="L83" s="573">
        <f t="shared" si="50"/>
        <v>0</v>
      </c>
      <c r="M83" s="573">
        <f t="shared" si="51"/>
        <v>0</v>
      </c>
    </row>
    <row r="84" spans="1:13" s="32" customFormat="1" ht="30.95" customHeight="1">
      <c r="A84" s="313">
        <v>287792</v>
      </c>
      <c r="B84" s="562">
        <f t="shared" si="52"/>
        <v>0.05</v>
      </c>
      <c r="C84" s="563" t="s">
        <v>558</v>
      </c>
      <c r="D84" s="594">
        <f>SUM(D85:D86)</f>
        <v>216469</v>
      </c>
      <c r="E84" s="567">
        <f t="shared" si="54"/>
        <v>0.04</v>
      </c>
      <c r="F84" s="594">
        <f>SUM(F85:F86)</f>
        <v>94330</v>
      </c>
      <c r="G84" s="567">
        <f t="shared" si="53"/>
        <v>0.02</v>
      </c>
      <c r="H84" s="325">
        <f t="shared" si="48"/>
        <v>122139</v>
      </c>
      <c r="I84" s="326">
        <f t="shared" si="33"/>
        <v>129.47999999999999</v>
      </c>
      <c r="K84" s="566">
        <f t="shared" si="49"/>
        <v>5.0799999999999998E-2</v>
      </c>
      <c r="L84" s="566">
        <f t="shared" si="50"/>
        <v>4.3799999999999999E-2</v>
      </c>
      <c r="M84" s="566">
        <f t="shared" si="51"/>
        <v>1.9400000000000001E-2</v>
      </c>
    </row>
    <row r="85" spans="1:13" s="234" customFormat="1" ht="29.95" customHeight="1">
      <c r="A85" s="568">
        <v>287171</v>
      </c>
      <c r="B85" s="569">
        <f t="shared" si="52"/>
        <v>0.05</v>
      </c>
      <c r="C85" s="570" t="s">
        <v>357</v>
      </c>
      <c r="D85" s="574">
        <f>D68+D72+D74+D77-D82</f>
        <v>216377</v>
      </c>
      <c r="E85" s="367">
        <f t="shared" si="54"/>
        <v>0.04</v>
      </c>
      <c r="F85" s="574">
        <f>F68+F72+F74+F77-F82</f>
        <v>94213</v>
      </c>
      <c r="G85" s="367">
        <f t="shared" si="53"/>
        <v>0.02</v>
      </c>
      <c r="H85" s="575">
        <f t="shared" si="48"/>
        <v>122164</v>
      </c>
      <c r="I85" s="322">
        <f t="shared" si="33"/>
        <v>129.66999999999999</v>
      </c>
      <c r="K85" s="573">
        <f t="shared" si="49"/>
        <v>5.0700000000000002E-2</v>
      </c>
      <c r="L85" s="573">
        <f t="shared" si="50"/>
        <v>4.3799999999999999E-2</v>
      </c>
      <c r="M85" s="573">
        <f t="shared" si="51"/>
        <v>1.9400000000000001E-2</v>
      </c>
    </row>
    <row r="86" spans="1:13" s="234" customFormat="1" ht="30.6" customHeight="1">
      <c r="A86" s="568">
        <v>620</v>
      </c>
      <c r="B86" s="576">
        <f t="shared" si="52"/>
        <v>0</v>
      </c>
      <c r="C86" s="570" t="s">
        <v>358</v>
      </c>
      <c r="D86" s="574">
        <f>D69+D75+D78-D83</f>
        <v>92</v>
      </c>
      <c r="E86" s="367">
        <f t="shared" si="54"/>
        <v>0</v>
      </c>
      <c r="F86" s="574">
        <f>F69+F75+F78-F83</f>
        <v>117</v>
      </c>
      <c r="G86" s="367">
        <f t="shared" si="53"/>
        <v>0</v>
      </c>
      <c r="H86" s="575">
        <f t="shared" si="48"/>
        <v>-25</v>
      </c>
      <c r="I86" s="322">
        <f t="shared" si="33"/>
        <v>-21.37</v>
      </c>
      <c r="K86" s="573">
        <f t="shared" si="49"/>
        <v>1E-4</v>
      </c>
      <c r="L86" s="573">
        <f t="shared" si="50"/>
        <v>0</v>
      </c>
      <c r="M86" s="573">
        <f t="shared" si="51"/>
        <v>0</v>
      </c>
    </row>
    <row r="87" spans="1:13" s="234" customFormat="1" ht="42.75" customHeight="1">
      <c r="A87" s="584">
        <f>A62+A84</f>
        <v>0</v>
      </c>
      <c r="B87" s="576">
        <f t="shared" ref="B87" si="56">ROUND(A87/$A$8*100,2)</f>
        <v>0</v>
      </c>
      <c r="C87" s="570" t="s">
        <v>1040</v>
      </c>
      <c r="D87" s="576">
        <f>+D62+D84</f>
        <v>0</v>
      </c>
      <c r="E87" s="367">
        <f t="shared" ref="E87" si="57">ROUND(D87/$D$8*100,2)</f>
        <v>0</v>
      </c>
      <c r="F87" s="576">
        <f>+F62+F84</f>
        <v>0</v>
      </c>
      <c r="G87" s="367">
        <f t="shared" ref="G87" si="58">ROUND(F87/$F$8*100,2)</f>
        <v>0</v>
      </c>
      <c r="H87" s="576">
        <f t="shared" ref="H87" si="59">D87-F87</f>
        <v>0</v>
      </c>
      <c r="I87" s="587">
        <v>0</v>
      </c>
      <c r="K87" s="573"/>
      <c r="L87" s="573"/>
      <c r="M87" s="573"/>
    </row>
    <row r="88" spans="1:13" s="234" customFormat="1" ht="62.2" customHeight="1">
      <c r="A88" s="568"/>
      <c r="B88" s="576"/>
      <c r="C88" s="570"/>
      <c r="D88" s="574"/>
      <c r="E88" s="367"/>
      <c r="F88" s="574"/>
      <c r="G88" s="367"/>
      <c r="H88" s="575"/>
      <c r="I88" s="322"/>
      <c r="K88" s="573"/>
      <c r="L88" s="573"/>
      <c r="M88" s="573"/>
    </row>
    <row r="89" spans="1:13" s="32" customFormat="1" ht="168.55" customHeight="1" thickBot="1">
      <c r="A89" s="941"/>
      <c r="B89" s="595"/>
      <c r="C89" s="600"/>
      <c r="D89" s="942"/>
      <c r="E89" s="888"/>
      <c r="F89" s="942"/>
      <c r="G89" s="888"/>
      <c r="H89" s="942"/>
      <c r="I89" s="943"/>
      <c r="K89" s="566">
        <f t="shared" si="49"/>
        <v>0</v>
      </c>
      <c r="L89" s="566">
        <f t="shared" si="50"/>
        <v>0</v>
      </c>
      <c r="M89" s="566">
        <f t="shared" si="51"/>
        <v>0</v>
      </c>
    </row>
    <row r="90" spans="1:13" ht="23.25" customHeight="1">
      <c r="A90" s="1044" t="s">
        <v>976</v>
      </c>
      <c r="B90" s="1044"/>
      <c r="C90" s="1044"/>
      <c r="D90" s="1044"/>
      <c r="E90" s="1044"/>
      <c r="F90" s="1044"/>
      <c r="G90" s="1044"/>
      <c r="H90" s="1044"/>
      <c r="I90" s="1044"/>
    </row>
    <row r="91" spans="1:13" s="9" customFormat="1" ht="15.05">
      <c r="A91" s="605"/>
      <c r="B91" s="756"/>
      <c r="C91" s="607"/>
      <c r="D91" s="608"/>
      <c r="E91" s="759"/>
      <c r="F91" s="606"/>
      <c r="G91" s="756"/>
      <c r="H91" s="606"/>
      <c r="I91" s="756"/>
    </row>
    <row r="92" spans="1:13" s="9" customFormat="1" ht="15.05">
      <c r="B92" s="756"/>
      <c r="C92" s="609"/>
      <c r="D92" s="610"/>
      <c r="E92" s="759"/>
      <c r="G92" s="756"/>
      <c r="I92" s="756"/>
    </row>
    <row r="93" spans="1:13" s="9" customFormat="1" ht="15.05">
      <c r="B93" s="756"/>
      <c r="C93" s="609"/>
      <c r="D93" s="610"/>
      <c r="E93" s="759"/>
      <c r="G93" s="756"/>
      <c r="I93" s="756"/>
    </row>
    <row r="94" spans="1:13" s="9" customFormat="1" ht="15.05">
      <c r="B94" s="756"/>
      <c r="C94" s="609"/>
      <c r="D94" s="610"/>
      <c r="E94" s="759"/>
      <c r="G94" s="756"/>
      <c r="I94" s="756"/>
    </row>
    <row r="95" spans="1:13" s="9" customFormat="1" ht="15.05">
      <c r="B95" s="756"/>
      <c r="C95" s="609"/>
      <c r="D95" s="610"/>
      <c r="E95" s="759"/>
      <c r="G95" s="756"/>
      <c r="I95" s="756"/>
    </row>
    <row r="96" spans="1:13" s="9" customFormat="1" ht="15.05">
      <c r="B96" s="756"/>
      <c r="C96" s="609"/>
      <c r="D96" s="610"/>
      <c r="E96" s="759"/>
      <c r="G96" s="756"/>
      <c r="I96" s="756"/>
    </row>
    <row r="97" spans="2:9" s="9" customFormat="1" ht="15.05">
      <c r="B97" s="756"/>
      <c r="C97" s="609"/>
      <c r="D97" s="610"/>
      <c r="E97" s="759"/>
      <c r="G97" s="756"/>
      <c r="I97" s="756"/>
    </row>
    <row r="98" spans="2:9" s="9" customFormat="1" ht="15.05">
      <c r="B98" s="756"/>
      <c r="C98" s="609"/>
      <c r="D98" s="610"/>
      <c r="E98" s="759"/>
      <c r="G98" s="756"/>
      <c r="I98" s="756"/>
    </row>
    <row r="99" spans="2:9" s="9" customFormat="1" ht="15.05">
      <c r="B99" s="756"/>
      <c r="C99" s="609"/>
      <c r="D99" s="610"/>
      <c r="E99" s="759"/>
      <c r="G99" s="756"/>
      <c r="I99" s="756"/>
    </row>
  </sheetData>
  <mergeCells count="10">
    <mergeCell ref="A90:I90"/>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H40"/>
  <sheetViews>
    <sheetView view="pageBreakPreview" zoomScaleNormal="100" zoomScaleSheetLayoutView="100" workbookViewId="0">
      <selection activeCell="F36" sqref="F36"/>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051" t="s">
        <v>62</v>
      </c>
      <c r="B1" s="1051"/>
      <c r="C1" s="1051"/>
      <c r="D1" s="1051"/>
      <c r="E1" s="1051"/>
      <c r="F1" s="1"/>
      <c r="G1" s="1"/>
      <c r="H1" s="1"/>
    </row>
    <row r="2" spans="1:8" s="2" customFormat="1" ht="22.25">
      <c r="A2" s="1051" t="s">
        <v>63</v>
      </c>
      <c r="B2" s="1051"/>
      <c r="C2" s="1051"/>
      <c r="D2" s="1051"/>
      <c r="E2" s="1051"/>
      <c r="F2" s="1"/>
      <c r="G2" s="1"/>
      <c r="H2" s="1"/>
    </row>
    <row r="3" spans="1:8" s="2" customFormat="1" ht="24.75" customHeight="1">
      <c r="A3" s="1053" t="s">
        <v>537</v>
      </c>
      <c r="B3" s="1053"/>
      <c r="C3" s="1053"/>
      <c r="D3" s="1053"/>
      <c r="E3" s="1053"/>
      <c r="F3" s="3"/>
      <c r="G3" s="3"/>
      <c r="H3" s="3"/>
    </row>
    <row r="4" spans="1:8" s="2" customFormat="1" ht="24.9" customHeight="1" thickBot="1">
      <c r="A4" s="1067" t="s">
        <v>1125</v>
      </c>
      <c r="B4" s="1067"/>
      <c r="C4" s="1067"/>
      <c r="D4" s="1067"/>
      <c r="E4" s="1067"/>
      <c r="F4" s="4"/>
      <c r="G4" s="4"/>
      <c r="H4" s="4"/>
    </row>
    <row r="5" spans="1:8">
      <c r="A5" s="1087" t="s">
        <v>64</v>
      </c>
      <c r="B5" s="1090" t="s">
        <v>65</v>
      </c>
      <c r="C5" s="1093" t="s">
        <v>66</v>
      </c>
      <c r="D5" s="1094"/>
      <c r="E5" s="1095"/>
      <c r="F5" s="4"/>
      <c r="G5" s="4"/>
      <c r="H5" s="4"/>
    </row>
    <row r="6" spans="1:8">
      <c r="A6" s="1088"/>
      <c r="B6" s="1091"/>
      <c r="C6" s="1096"/>
      <c r="D6" s="1097"/>
      <c r="E6" s="1098"/>
      <c r="F6" s="4"/>
      <c r="G6" s="4"/>
      <c r="H6" s="4"/>
    </row>
    <row r="7" spans="1:8" ht="12.8" customHeight="1">
      <c r="A7" s="1089"/>
      <c r="B7" s="1092"/>
      <c r="C7" s="1099"/>
      <c r="D7" s="1100"/>
      <c r="E7" s="1101"/>
    </row>
    <row r="8" spans="1:8" ht="5.25" customHeight="1">
      <c r="A8" s="663"/>
      <c r="B8" s="664"/>
      <c r="C8" s="84"/>
      <c r="D8" s="134"/>
      <c r="E8" s="87"/>
    </row>
    <row r="9" spans="1:8" s="9" customFormat="1" ht="18.850000000000001" customHeight="1">
      <c r="A9" s="135" t="s">
        <v>606</v>
      </c>
      <c r="B9" s="136"/>
      <c r="C9" s="137"/>
      <c r="D9" s="138"/>
      <c r="E9" s="139"/>
    </row>
    <row r="10" spans="1:8" s="30" customFormat="1" ht="17.05" customHeight="1">
      <c r="A10" s="140" t="s">
        <v>555</v>
      </c>
      <c r="B10" s="187">
        <v>0</v>
      </c>
      <c r="C10" s="141"/>
      <c r="D10" s="142"/>
      <c r="E10" s="139"/>
    </row>
    <row r="11" spans="1:8" s="30" customFormat="1" ht="22.6" customHeight="1">
      <c r="A11" s="140" t="s">
        <v>783</v>
      </c>
      <c r="B11" s="31">
        <f>-D11+D12</f>
        <v>-4612765</v>
      </c>
      <c r="C11" s="774" t="s">
        <v>778</v>
      </c>
      <c r="D11" s="809">
        <v>4612765</v>
      </c>
      <c r="E11" s="775" t="s">
        <v>779</v>
      </c>
    </row>
    <row r="12" spans="1:8" s="30" customFormat="1" ht="20.3" hidden="1" customHeight="1">
      <c r="A12" s="140"/>
      <c r="B12" s="67"/>
      <c r="C12" s="774" t="s">
        <v>482</v>
      </c>
      <c r="D12" s="658">
        <v>0</v>
      </c>
      <c r="E12" s="775" t="s">
        <v>68</v>
      </c>
    </row>
    <row r="13" spans="1:8" s="30" customFormat="1" ht="19.149999999999999" customHeight="1">
      <c r="A13" s="140" t="s">
        <v>784</v>
      </c>
      <c r="B13" s="31">
        <f>+B10+B11</f>
        <v>-4612765</v>
      </c>
      <c r="C13" s="141"/>
      <c r="D13" s="142"/>
      <c r="E13" s="139"/>
    </row>
    <row r="14" spans="1:8" s="30" customFormat="1" ht="20" customHeight="1">
      <c r="A14" s="140" t="s">
        <v>771</v>
      </c>
      <c r="B14" s="143">
        <f>D14+D16+D17+D15+D18+D19+D20</f>
        <v>-11503438</v>
      </c>
      <c r="C14" s="774" t="s">
        <v>483</v>
      </c>
      <c r="D14" s="809">
        <v>701531</v>
      </c>
      <c r="E14" s="775" t="s">
        <v>68</v>
      </c>
      <c r="F14" s="35"/>
    </row>
    <row r="15" spans="1:8" s="9" customFormat="1" ht="22.25" customHeight="1">
      <c r="A15" s="140"/>
      <c r="B15" s="143"/>
      <c r="C15" s="774" t="s">
        <v>934</v>
      </c>
      <c r="D15" s="809">
        <v>-9657378</v>
      </c>
      <c r="E15" s="775" t="s">
        <v>68</v>
      </c>
    </row>
    <row r="16" spans="1:8" s="30" customFormat="1" ht="20.45" customHeight="1">
      <c r="A16" s="140"/>
      <c r="B16" s="143"/>
      <c r="C16" s="774" t="s">
        <v>560</v>
      </c>
      <c r="D16" s="809">
        <v>16154</v>
      </c>
      <c r="E16" s="775" t="s">
        <v>68</v>
      </c>
      <c r="F16" s="35"/>
    </row>
    <row r="17" spans="1:8" s="9" customFormat="1" ht="22.25" customHeight="1">
      <c r="A17" s="140"/>
      <c r="B17" s="143"/>
      <c r="C17" s="774" t="s">
        <v>805</v>
      </c>
      <c r="D17" s="820">
        <v>609</v>
      </c>
      <c r="E17" s="775" t="s">
        <v>68</v>
      </c>
    </row>
    <row r="18" spans="1:8" s="30" customFormat="1" ht="22.25" customHeight="1">
      <c r="A18" s="140" t="s">
        <v>607</v>
      </c>
      <c r="B18" s="31"/>
      <c r="C18" s="774" t="s">
        <v>1409</v>
      </c>
      <c r="D18" s="809">
        <v>-2466340</v>
      </c>
      <c r="E18" s="775" t="s">
        <v>68</v>
      </c>
      <c r="F18" s="36"/>
      <c r="H18" s="10"/>
    </row>
    <row r="19" spans="1:8" s="9" customFormat="1" ht="22.25" customHeight="1">
      <c r="A19" s="140" t="s">
        <v>607</v>
      </c>
      <c r="B19" s="31"/>
      <c r="C19" s="774" t="s">
        <v>1337</v>
      </c>
      <c r="D19" s="809">
        <v>-37099</v>
      </c>
      <c r="E19" s="775" t="s">
        <v>68</v>
      </c>
    </row>
    <row r="20" spans="1:8" s="9" customFormat="1" ht="18.649999999999999" customHeight="1">
      <c r="A20" s="140"/>
      <c r="B20" s="31"/>
      <c r="C20" s="774" t="s">
        <v>780</v>
      </c>
      <c r="D20" s="809">
        <v>-60915</v>
      </c>
      <c r="E20" s="775" t="s">
        <v>68</v>
      </c>
    </row>
    <row r="21" spans="1:8" s="30" customFormat="1" ht="22.6" customHeight="1">
      <c r="A21" s="140" t="s">
        <v>789</v>
      </c>
      <c r="B21" s="31">
        <f>+B13+B14</f>
        <v>-16116203</v>
      </c>
      <c r="C21" s="141"/>
      <c r="D21" s="142"/>
      <c r="E21" s="139"/>
    </row>
    <row r="22" spans="1:8" s="30" customFormat="1" ht="18.649999999999999" customHeight="1">
      <c r="A22" s="140" t="s">
        <v>786</v>
      </c>
      <c r="B22" s="31">
        <v>341</v>
      </c>
      <c r="C22" s="1102" t="s">
        <v>1205</v>
      </c>
      <c r="D22" s="1103"/>
      <c r="E22" s="1104"/>
    </row>
    <row r="23" spans="1:8" s="9" customFormat="1" ht="19.149999999999999" customHeight="1">
      <c r="A23" s="135" t="s">
        <v>545</v>
      </c>
      <c r="B23" s="27">
        <f>+B21+B22</f>
        <v>-16115862</v>
      </c>
      <c r="C23" s="372"/>
      <c r="D23" s="373"/>
      <c r="E23" s="810"/>
    </row>
    <row r="24" spans="1:8" s="9" customFormat="1" ht="24.75" customHeight="1">
      <c r="A24" s="135" t="s">
        <v>610</v>
      </c>
      <c r="B24" s="27"/>
      <c r="C24" s="374"/>
      <c r="D24" s="375"/>
      <c r="E24" s="376"/>
    </row>
    <row r="25" spans="1:8" s="9" customFormat="1" ht="43.55" customHeight="1">
      <c r="A25" s="140" t="s">
        <v>601</v>
      </c>
      <c r="B25" s="31">
        <v>4823724</v>
      </c>
      <c r="C25" s="1084" t="s">
        <v>1410</v>
      </c>
      <c r="D25" s="1085"/>
      <c r="E25" s="1086"/>
    </row>
    <row r="26" spans="1:8" s="9" customFormat="1" ht="51.05" customHeight="1">
      <c r="A26" s="140" t="s">
        <v>939</v>
      </c>
      <c r="B26" s="31">
        <v>15416759</v>
      </c>
      <c r="C26" s="1102" t="s">
        <v>1411</v>
      </c>
      <c r="D26" s="1103"/>
      <c r="E26" s="1104"/>
    </row>
    <row r="27" spans="1:8" s="9" customFormat="1" ht="26.35" customHeight="1">
      <c r="A27" s="140" t="s">
        <v>786</v>
      </c>
      <c r="B27" s="31">
        <v>4612425</v>
      </c>
      <c r="C27" s="1102" t="s">
        <v>1412</v>
      </c>
      <c r="D27" s="1103"/>
      <c r="E27" s="1104"/>
    </row>
    <row r="28" spans="1:8" s="9" customFormat="1" ht="26.35" hidden="1" customHeight="1">
      <c r="A28" s="140" t="s">
        <v>614</v>
      </c>
      <c r="B28" s="31">
        <v>0</v>
      </c>
      <c r="C28" s="1304" t="s">
        <v>1206</v>
      </c>
      <c r="D28" s="1085"/>
      <c r="E28" s="1086"/>
    </row>
    <row r="29" spans="1:8" s="9" customFormat="1" ht="28.15" customHeight="1">
      <c r="A29" s="140" t="s">
        <v>615</v>
      </c>
      <c r="B29" s="31">
        <v>-10201694</v>
      </c>
      <c r="C29" s="1084" t="s">
        <v>1207</v>
      </c>
      <c r="D29" s="1085"/>
      <c r="E29" s="1086"/>
    </row>
    <row r="30" spans="1:8" s="9" customFormat="1" ht="29.95" hidden="1" customHeight="1">
      <c r="A30" s="140" t="s">
        <v>781</v>
      </c>
      <c r="B30" s="31">
        <v>0</v>
      </c>
      <c r="C30" s="1084" t="s">
        <v>75</v>
      </c>
      <c r="D30" s="1085"/>
      <c r="E30" s="1086"/>
    </row>
    <row r="31" spans="1:8" s="9" customFormat="1" ht="20.95" customHeight="1">
      <c r="A31" s="135" t="s">
        <v>546</v>
      </c>
      <c r="B31" s="27">
        <f>SUM(B25:B30)</f>
        <v>14651214</v>
      </c>
      <c r="C31" s="372"/>
      <c r="D31" s="373"/>
      <c r="E31" s="376"/>
    </row>
    <row r="32" spans="1:8" s="9" customFormat="1" ht="18.649999999999999" customHeight="1">
      <c r="A32" s="135" t="s">
        <v>488</v>
      </c>
      <c r="B32" s="144"/>
      <c r="C32" s="377"/>
      <c r="D32" s="378"/>
      <c r="E32" s="376"/>
    </row>
    <row r="33" spans="1:5" s="390" customFormat="1" ht="25.2" hidden="1" customHeight="1">
      <c r="A33" s="140" t="s">
        <v>619</v>
      </c>
      <c r="B33" s="31">
        <v>0</v>
      </c>
      <c r="C33" s="1305" t="s">
        <v>1041</v>
      </c>
      <c r="D33" s="1103"/>
      <c r="E33" s="1104"/>
    </row>
    <row r="34" spans="1:5" s="390" customFormat="1" ht="24.05" customHeight="1">
      <c r="A34" s="140" t="s">
        <v>620</v>
      </c>
      <c r="B34" s="31">
        <v>-602903</v>
      </c>
      <c r="C34" s="1102" t="s">
        <v>1208</v>
      </c>
      <c r="D34" s="1103"/>
      <c r="E34" s="1104"/>
    </row>
    <row r="35" spans="1:5" s="390" customFormat="1" ht="26.05" hidden="1" customHeight="1">
      <c r="A35" s="140" t="s">
        <v>621</v>
      </c>
      <c r="B35" s="31">
        <v>0</v>
      </c>
      <c r="C35" s="1102" t="s">
        <v>539</v>
      </c>
      <c r="D35" s="1103"/>
      <c r="E35" s="1104"/>
    </row>
    <row r="36" spans="1:5" s="9" customFormat="1" ht="23.4" customHeight="1">
      <c r="A36" s="135" t="s">
        <v>547</v>
      </c>
      <c r="B36" s="77">
        <f>SUM(B33:B35)</f>
        <v>-602903</v>
      </c>
      <c r="C36" s="379"/>
      <c r="D36" s="380"/>
      <c r="E36" s="381"/>
    </row>
    <row r="37" spans="1:5" s="9" customFormat="1" ht="25.85" customHeight="1">
      <c r="A37" s="135" t="s">
        <v>548</v>
      </c>
      <c r="B37" s="77">
        <f>B23+B31+B36</f>
        <v>-2067551</v>
      </c>
      <c r="C37" s="382"/>
      <c r="D37" s="383"/>
      <c r="E37" s="384"/>
    </row>
    <row r="38" spans="1:5" s="9" customFormat="1" ht="26.2" customHeight="1">
      <c r="A38" s="135" t="s">
        <v>608</v>
      </c>
      <c r="B38" s="77">
        <v>35473762</v>
      </c>
      <c r="C38" s="382"/>
      <c r="D38" s="383"/>
      <c r="E38" s="384"/>
    </row>
    <row r="39" spans="1:5" s="9" customFormat="1" ht="29.45" customHeight="1" thickBot="1">
      <c r="A39" s="481" t="s">
        <v>782</v>
      </c>
      <c r="B39" s="145">
        <f>+B37+B38</f>
        <v>33406211</v>
      </c>
      <c r="C39" s="386"/>
      <c r="D39" s="387"/>
      <c r="E39" s="388"/>
    </row>
    <row r="40" spans="1:5">
      <c r="B40" s="657"/>
    </row>
  </sheetData>
  <mergeCells count="17">
    <mergeCell ref="C34:E34"/>
    <mergeCell ref="C35:E35"/>
    <mergeCell ref="C26:E26"/>
    <mergeCell ref="C27:E27"/>
    <mergeCell ref="C28:E28"/>
    <mergeCell ref="C29:E29"/>
    <mergeCell ref="C30:E30"/>
    <mergeCell ref="C33:E33"/>
    <mergeCell ref="C25:E25"/>
    <mergeCell ref="C22:E22"/>
    <mergeCell ref="A1:E1"/>
    <mergeCell ref="A2:E2"/>
    <mergeCell ref="A3:E3"/>
    <mergeCell ref="A4:E4"/>
    <mergeCell ref="A5:A7"/>
    <mergeCell ref="B5:B7"/>
    <mergeCell ref="C5:E7"/>
  </mergeCells>
  <phoneticPr fontId="4" type="noConversion"/>
  <printOptions horizontalCentered="1"/>
  <pageMargins left="0.59055118110236227" right="0.59055118110236227" top="0.59055118110236227" bottom="0.78740157480314965" header="0.51181102362204722" footer="0.51181102362204722"/>
  <pageSetup paperSize="9" firstPageNumber="5" orientation="portrait" useFirstPageNumber="1" r:id="rId1"/>
  <headerFooter alignWithMargins="0">
    <oddFooter>&amp;C&amp;"-,標準"附1-&amp;P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E52"/>
  <sheetViews>
    <sheetView view="pageBreakPreview" zoomScaleNormal="100" zoomScaleSheetLayoutView="100" workbookViewId="0">
      <selection activeCell="J10" sqref="J10"/>
    </sheetView>
  </sheetViews>
  <sheetFormatPr defaultColWidth="9" defaultRowHeight="16.399999999999999"/>
  <cols>
    <col min="1" max="1" width="14.625" style="6" customWidth="1"/>
    <col min="2" max="2" width="31.5" style="475" customWidth="1"/>
    <col min="3" max="3" width="15.625" style="6" customWidth="1"/>
    <col min="4" max="4" width="15.25" style="19" customWidth="1"/>
    <col min="5" max="5" width="13.125" style="6" customWidth="1"/>
    <col min="6" max="16384" width="9" style="6"/>
  </cols>
  <sheetData>
    <row r="1" spans="1:5" ht="22.25">
      <c r="A1" s="1051" t="s">
        <v>382</v>
      </c>
      <c r="B1" s="1051"/>
      <c r="C1" s="1051"/>
      <c r="D1" s="1051"/>
      <c r="E1" s="1051"/>
    </row>
    <row r="2" spans="1:5" ht="22.25">
      <c r="A2" s="1051" t="s">
        <v>383</v>
      </c>
      <c r="B2" s="1051"/>
      <c r="C2" s="1051"/>
      <c r="D2" s="1051"/>
      <c r="E2" s="1051"/>
    </row>
    <row r="3" spans="1:5" ht="24.75" customHeight="1">
      <c r="A3" s="1053" t="s">
        <v>384</v>
      </c>
      <c r="B3" s="1053"/>
      <c r="C3" s="1053"/>
      <c r="D3" s="1053"/>
      <c r="E3" s="1053"/>
    </row>
    <row r="4" spans="1:5" ht="24.75" customHeight="1" thickBot="1">
      <c r="A4" s="1067" t="s">
        <v>1126</v>
      </c>
      <c r="B4" s="1067"/>
      <c r="C4" s="1067"/>
      <c r="D4" s="1067"/>
      <c r="E4" s="1067"/>
    </row>
    <row r="5" spans="1:5" ht="15.75" customHeight="1">
      <c r="A5" s="1235" t="s">
        <v>1129</v>
      </c>
      <c r="B5" s="1308" t="s">
        <v>385</v>
      </c>
      <c r="C5" s="1244" t="s">
        <v>1127</v>
      </c>
      <c r="D5" s="1244" t="s">
        <v>1128</v>
      </c>
      <c r="E5" s="1241" t="s">
        <v>936</v>
      </c>
    </row>
    <row r="6" spans="1:5" ht="15.75" customHeight="1">
      <c r="A6" s="1236"/>
      <c r="B6" s="1309"/>
      <c r="C6" s="1245"/>
      <c r="D6" s="1245"/>
      <c r="E6" s="1242"/>
    </row>
    <row r="7" spans="1:5" ht="15.75" customHeight="1">
      <c r="A7" s="1237"/>
      <c r="B7" s="1310"/>
      <c r="C7" s="1246"/>
      <c r="D7" s="1246"/>
      <c r="E7" s="1243"/>
    </row>
    <row r="8" spans="1:5" ht="8.1999999999999993" customHeight="1">
      <c r="A8" s="24"/>
      <c r="B8" s="612"/>
      <c r="C8" s="552"/>
      <c r="D8" s="713"/>
      <c r="E8" s="714"/>
    </row>
    <row r="9" spans="1:5" s="30" customFormat="1" ht="29.95" customHeight="1">
      <c r="A9" s="114">
        <v>847171154</v>
      </c>
      <c r="B9" s="115" t="s">
        <v>386</v>
      </c>
      <c r="C9" s="116">
        <f>C10+C16+C19+C21</f>
        <v>798934385</v>
      </c>
      <c r="D9" s="116">
        <f>D10+D16+D19+D21</f>
        <v>809292680</v>
      </c>
      <c r="E9" s="715">
        <f>E10+E16+E19+E21</f>
        <v>-10358295</v>
      </c>
    </row>
    <row r="10" spans="1:5" s="30" customFormat="1" ht="29.95" customHeight="1">
      <c r="A10" s="114">
        <v>712093852</v>
      </c>
      <c r="B10" s="118" t="s">
        <v>387</v>
      </c>
      <c r="C10" s="116">
        <f>SUM(C11:C15)</f>
        <v>606892900</v>
      </c>
      <c r="D10" s="116">
        <f>SUM(D11:D15)</f>
        <v>612265111</v>
      </c>
      <c r="E10" s="715">
        <f>SUM(E11:E15)</f>
        <v>-5372211</v>
      </c>
    </row>
    <row r="11" spans="1:5" s="9" customFormat="1" ht="29.95" customHeight="1">
      <c r="A11" s="119">
        <v>47255605</v>
      </c>
      <c r="B11" s="120" t="s">
        <v>388</v>
      </c>
      <c r="C11" s="121">
        <v>33406211</v>
      </c>
      <c r="D11" s="121">
        <v>35473762</v>
      </c>
      <c r="E11" s="716">
        <f>C11-D11</f>
        <v>-2067551</v>
      </c>
    </row>
    <row r="12" spans="1:5" s="9" customFormat="1" ht="29.95" customHeight="1">
      <c r="A12" s="119">
        <v>586905577</v>
      </c>
      <c r="B12" s="120" t="s">
        <v>389</v>
      </c>
      <c r="C12" s="121">
        <v>489754513</v>
      </c>
      <c r="D12" s="121">
        <v>492763580</v>
      </c>
      <c r="E12" s="716">
        <f>C12-D12</f>
        <v>-3009067</v>
      </c>
    </row>
    <row r="13" spans="1:5" s="9" customFormat="1" ht="29.95" customHeight="1">
      <c r="A13" s="119">
        <v>73574910</v>
      </c>
      <c r="B13" s="120" t="s">
        <v>390</v>
      </c>
      <c r="C13" s="121">
        <v>79672176</v>
      </c>
      <c r="D13" s="121">
        <v>79870769</v>
      </c>
      <c r="E13" s="716">
        <f>C13-D13</f>
        <v>-198593</v>
      </c>
    </row>
    <row r="14" spans="1:5" s="9" customFormat="1" ht="29.95" customHeight="1">
      <c r="A14" s="119">
        <v>115545</v>
      </c>
      <c r="B14" s="120" t="s">
        <v>391</v>
      </c>
      <c r="C14" s="129">
        <v>0</v>
      </c>
      <c r="D14" s="129">
        <v>0</v>
      </c>
      <c r="E14" s="717">
        <f>C14-D14</f>
        <v>0</v>
      </c>
    </row>
    <row r="15" spans="1:5" s="9" customFormat="1" ht="29.95" customHeight="1">
      <c r="A15" s="119">
        <v>4242215</v>
      </c>
      <c r="B15" s="120" t="s">
        <v>392</v>
      </c>
      <c r="C15" s="121">
        <v>4060000</v>
      </c>
      <c r="D15" s="121">
        <v>4157000</v>
      </c>
      <c r="E15" s="716">
        <f>C15-D15</f>
        <v>-97000</v>
      </c>
    </row>
    <row r="16" spans="1:5" s="30" customFormat="1" ht="29.95" customHeight="1">
      <c r="A16" s="114">
        <v>100209731</v>
      </c>
      <c r="B16" s="123" t="s">
        <v>393</v>
      </c>
      <c r="C16" s="116">
        <f>SUM(C17:C18)</f>
        <v>164585811</v>
      </c>
      <c r="D16" s="116">
        <f>SUM(D17:D18)</f>
        <v>168902570</v>
      </c>
      <c r="E16" s="715">
        <f>SUM(E17:E18)</f>
        <v>-4316759</v>
      </c>
    </row>
    <row r="17" spans="1:5" s="9" customFormat="1" ht="29.95" customHeight="1">
      <c r="A17" s="119">
        <v>91343299</v>
      </c>
      <c r="B17" s="120" t="s">
        <v>522</v>
      </c>
      <c r="C17" s="121">
        <v>154214811</v>
      </c>
      <c r="D17" s="121">
        <v>158431570</v>
      </c>
      <c r="E17" s="716">
        <f>C17-D17</f>
        <v>-4216759</v>
      </c>
    </row>
    <row r="18" spans="1:5" s="9" customFormat="1" ht="29.95" customHeight="1">
      <c r="A18" s="119">
        <v>8866432</v>
      </c>
      <c r="B18" s="120" t="s">
        <v>394</v>
      </c>
      <c r="C18" s="121">
        <v>10371000</v>
      </c>
      <c r="D18" s="121">
        <v>10471000</v>
      </c>
      <c r="E18" s="716">
        <f>C18-D18</f>
        <v>-100000</v>
      </c>
    </row>
    <row r="19" spans="1:5" s="30" customFormat="1" ht="29.95" customHeight="1">
      <c r="A19" s="114">
        <v>1434151</v>
      </c>
      <c r="B19" s="118" t="s">
        <v>505</v>
      </c>
      <c r="C19" s="116">
        <f>+C20</f>
        <v>1401843</v>
      </c>
      <c r="D19" s="116">
        <f>+D20</f>
        <v>1417997</v>
      </c>
      <c r="E19" s="715">
        <f>+E20</f>
        <v>-16154</v>
      </c>
    </row>
    <row r="20" spans="1:5" s="9" customFormat="1" ht="29.95" customHeight="1">
      <c r="A20" s="119">
        <v>1434151</v>
      </c>
      <c r="B20" s="120" t="s">
        <v>523</v>
      </c>
      <c r="C20" s="121">
        <v>1401843</v>
      </c>
      <c r="D20" s="121">
        <v>1417997</v>
      </c>
      <c r="E20" s="716">
        <f>C20-D20</f>
        <v>-16154</v>
      </c>
    </row>
    <row r="21" spans="1:5" s="30" customFormat="1" ht="29.95" customHeight="1">
      <c r="A21" s="114">
        <v>33433420</v>
      </c>
      <c r="B21" s="118" t="s">
        <v>395</v>
      </c>
      <c r="C21" s="116">
        <f>SUM(C22:C24)</f>
        <v>26053831</v>
      </c>
      <c r="D21" s="116">
        <f>SUM(D22:D24)</f>
        <v>26707002</v>
      </c>
      <c r="E21" s="715">
        <f>SUM(E22:E24)</f>
        <v>-653171</v>
      </c>
    </row>
    <row r="22" spans="1:5" s="9" customFormat="1" ht="29.95" customHeight="1">
      <c r="A22" s="119">
        <v>40361</v>
      </c>
      <c r="B22" s="120" t="s">
        <v>958</v>
      </c>
      <c r="C22" s="121">
        <v>39143</v>
      </c>
      <c r="D22" s="121">
        <v>39752</v>
      </c>
      <c r="E22" s="716">
        <f>C22-D22</f>
        <v>-609</v>
      </c>
    </row>
    <row r="23" spans="1:5" s="9" customFormat="1" ht="29.95" customHeight="1">
      <c r="A23" s="119">
        <v>33154747</v>
      </c>
      <c r="B23" s="120" t="s">
        <v>396</v>
      </c>
      <c r="C23" s="121">
        <v>25776376</v>
      </c>
      <c r="D23" s="121">
        <v>26428938</v>
      </c>
      <c r="E23" s="716">
        <f>C23-D23</f>
        <v>-652562</v>
      </c>
    </row>
    <row r="24" spans="1:5" s="9" customFormat="1" ht="29.95" customHeight="1">
      <c r="A24" s="119">
        <v>238312</v>
      </c>
      <c r="B24" s="120" t="s">
        <v>524</v>
      </c>
      <c r="C24" s="121">
        <v>238312</v>
      </c>
      <c r="D24" s="121">
        <v>238312</v>
      </c>
      <c r="E24" s="717">
        <f>C24-D24</f>
        <v>0</v>
      </c>
    </row>
    <row r="25" spans="1:5" s="9" customFormat="1" ht="38.950000000000003" customHeight="1">
      <c r="A25" s="119"/>
      <c r="B25" s="120"/>
      <c r="C25" s="121"/>
      <c r="D25" s="121"/>
      <c r="E25" s="716"/>
    </row>
    <row r="26" spans="1:5" s="9" customFormat="1" ht="27.65" customHeight="1">
      <c r="A26" s="119"/>
      <c r="B26" s="120"/>
      <c r="C26" s="121"/>
      <c r="D26" s="121"/>
      <c r="E26" s="716"/>
    </row>
    <row r="27" spans="1:5" s="9" customFormat="1" ht="20.95" customHeight="1">
      <c r="A27" s="119"/>
      <c r="B27" s="120"/>
      <c r="C27" s="121"/>
      <c r="D27" s="121"/>
      <c r="E27" s="716"/>
    </row>
    <row r="28" spans="1:5" s="9" customFormat="1" ht="24.55" customHeight="1">
      <c r="A28" s="119"/>
      <c r="B28" s="120"/>
      <c r="C28" s="121"/>
      <c r="D28" s="121"/>
      <c r="E28" s="716"/>
    </row>
    <row r="29" spans="1:5" s="30" customFormat="1" ht="29.95" customHeight="1" thickBot="1">
      <c r="A29" s="125">
        <f>A9</f>
        <v>847171154</v>
      </c>
      <c r="B29" s="126" t="s">
        <v>397</v>
      </c>
      <c r="C29" s="127">
        <f>C9</f>
        <v>798934385</v>
      </c>
      <c r="D29" s="127">
        <f>D9</f>
        <v>809292680</v>
      </c>
      <c r="E29" s="718">
        <f>E9</f>
        <v>-10358295</v>
      </c>
    </row>
    <row r="30" spans="1:5" s="30" customFormat="1" ht="29.95" customHeight="1">
      <c r="A30" s="114">
        <v>847165945</v>
      </c>
      <c r="B30" s="115" t="s">
        <v>398</v>
      </c>
      <c r="C30" s="116">
        <f>C31+C35</f>
        <v>798929176</v>
      </c>
      <c r="D30" s="116">
        <f>D31+D35</f>
        <v>809287471</v>
      </c>
      <c r="E30" s="117">
        <f>E31+E35</f>
        <v>-10358295</v>
      </c>
    </row>
    <row r="31" spans="1:5" s="30" customFormat="1" ht="25.55" customHeight="1">
      <c r="A31" s="114">
        <v>14638369</v>
      </c>
      <c r="B31" s="118" t="s">
        <v>399</v>
      </c>
      <c r="C31" s="116">
        <f>SUM(C32:C34)</f>
        <v>14675469</v>
      </c>
      <c r="D31" s="116">
        <f>SUM(D32:D34)</f>
        <v>14712568</v>
      </c>
      <c r="E31" s="117">
        <f>SUM(E32:E34)</f>
        <v>-37099</v>
      </c>
    </row>
    <row r="32" spans="1:5" s="9" customFormat="1" ht="29.95" customHeight="1">
      <c r="A32" s="119">
        <v>14454233</v>
      </c>
      <c r="B32" s="120" t="s">
        <v>400</v>
      </c>
      <c r="C32" s="121">
        <v>14490350</v>
      </c>
      <c r="D32" s="121">
        <v>14526466</v>
      </c>
      <c r="E32" s="122">
        <f>C32-D32</f>
        <v>-36116</v>
      </c>
    </row>
    <row r="33" spans="1:5" s="9" customFormat="1" ht="29.95" customHeight="1">
      <c r="A33" s="119">
        <v>82716</v>
      </c>
      <c r="B33" s="120" t="s">
        <v>401</v>
      </c>
      <c r="C33" s="121">
        <v>83698</v>
      </c>
      <c r="D33" s="121">
        <v>84681</v>
      </c>
      <c r="E33" s="122">
        <f>C33-D33</f>
        <v>-983</v>
      </c>
    </row>
    <row r="34" spans="1:5" s="9" customFormat="1" ht="29.95" customHeight="1">
      <c r="A34" s="119">
        <v>101421</v>
      </c>
      <c r="B34" s="120" t="s">
        <v>402</v>
      </c>
      <c r="C34" s="129">
        <v>101421</v>
      </c>
      <c r="D34" s="129">
        <v>101421</v>
      </c>
      <c r="E34" s="124">
        <f>C34-D34</f>
        <v>0</v>
      </c>
    </row>
    <row r="35" spans="1:5" s="30" customFormat="1" ht="29.95" customHeight="1">
      <c r="A35" s="114">
        <v>832527575</v>
      </c>
      <c r="B35" s="123" t="s">
        <v>403</v>
      </c>
      <c r="C35" s="116">
        <f>SUM(C36:C38)</f>
        <v>784253707</v>
      </c>
      <c r="D35" s="116">
        <f>SUM(D36:D38)</f>
        <v>794574903</v>
      </c>
      <c r="E35" s="117">
        <f>SUM(E36:E38)</f>
        <v>-10321196</v>
      </c>
    </row>
    <row r="36" spans="1:5" s="9" customFormat="1" ht="29.95" customHeight="1">
      <c r="A36" s="119">
        <v>4036091</v>
      </c>
      <c r="B36" s="120" t="s">
        <v>597</v>
      </c>
      <c r="C36" s="121">
        <v>3914261</v>
      </c>
      <c r="D36" s="121">
        <v>3975176</v>
      </c>
      <c r="E36" s="122">
        <f>C36-D36</f>
        <v>-60915</v>
      </c>
    </row>
    <row r="37" spans="1:5" s="9" customFormat="1" ht="29.95" customHeight="1">
      <c r="A37" s="119">
        <v>828430104</v>
      </c>
      <c r="B37" s="120" t="s">
        <v>404</v>
      </c>
      <c r="C37" s="121">
        <v>780278065</v>
      </c>
      <c r="D37" s="121">
        <v>790538346</v>
      </c>
      <c r="E37" s="122">
        <f>C37-D37</f>
        <v>-10260281</v>
      </c>
    </row>
    <row r="38" spans="1:5" s="9" customFormat="1" ht="29.95" customHeight="1">
      <c r="A38" s="119">
        <v>61380</v>
      </c>
      <c r="B38" s="120" t="s">
        <v>405</v>
      </c>
      <c r="C38" s="121">
        <v>61381</v>
      </c>
      <c r="D38" s="121">
        <v>61381</v>
      </c>
      <c r="E38" s="124">
        <f>C38-D38</f>
        <v>0</v>
      </c>
    </row>
    <row r="39" spans="1:5" s="30" customFormat="1" ht="29.95" customHeight="1">
      <c r="A39" s="114">
        <v>5209</v>
      </c>
      <c r="B39" s="115" t="s">
        <v>406</v>
      </c>
      <c r="C39" s="116">
        <f>C40+C42+C44</f>
        <v>5209</v>
      </c>
      <c r="D39" s="116">
        <f>D40+D42+D44</f>
        <v>5209</v>
      </c>
      <c r="E39" s="132">
        <f>E40+E42+E44</f>
        <v>0</v>
      </c>
    </row>
    <row r="40" spans="1:5" s="30" customFormat="1" ht="29.95" customHeight="1">
      <c r="A40" s="114">
        <f>A41</f>
        <v>625</v>
      </c>
      <c r="B40" s="118" t="s">
        <v>407</v>
      </c>
      <c r="C40" s="116">
        <f>C41</f>
        <v>625</v>
      </c>
      <c r="D40" s="116">
        <f>D41</f>
        <v>625</v>
      </c>
      <c r="E40" s="132">
        <f>E41</f>
        <v>0</v>
      </c>
    </row>
    <row r="41" spans="1:5" s="9" customFormat="1" ht="24.05" customHeight="1">
      <c r="A41" s="119">
        <v>625</v>
      </c>
      <c r="B41" s="120" t="s">
        <v>408</v>
      </c>
      <c r="C41" s="121">
        <v>625</v>
      </c>
      <c r="D41" s="121">
        <v>625</v>
      </c>
      <c r="E41" s="124">
        <f>C41-D41</f>
        <v>0</v>
      </c>
    </row>
    <row r="42" spans="1:5" s="30" customFormat="1" ht="29.95" customHeight="1">
      <c r="A42" s="114">
        <f>A43</f>
        <v>4584</v>
      </c>
      <c r="B42" s="118" t="s">
        <v>409</v>
      </c>
      <c r="C42" s="116">
        <f>+C43</f>
        <v>4584</v>
      </c>
      <c r="D42" s="116">
        <f>+D43</f>
        <v>4584</v>
      </c>
      <c r="E42" s="132">
        <f>E43</f>
        <v>0</v>
      </c>
    </row>
    <row r="43" spans="1:5" s="9" customFormat="1" ht="24.75" customHeight="1">
      <c r="A43" s="119">
        <v>4584</v>
      </c>
      <c r="B43" s="120" t="s">
        <v>410</v>
      </c>
      <c r="C43" s="121">
        <v>4584</v>
      </c>
      <c r="D43" s="121">
        <v>4584</v>
      </c>
      <c r="E43" s="124">
        <v>0</v>
      </c>
    </row>
    <row r="44" spans="1:5" s="30" customFormat="1" ht="27.85" customHeight="1">
      <c r="A44" s="130">
        <f>A45</f>
        <v>0</v>
      </c>
      <c r="B44" s="118" t="s">
        <v>549</v>
      </c>
      <c r="C44" s="131">
        <f>C45</f>
        <v>0</v>
      </c>
      <c r="D44" s="131">
        <f>D45</f>
        <v>0</v>
      </c>
      <c r="E44" s="132">
        <f>E45</f>
        <v>0</v>
      </c>
    </row>
    <row r="45" spans="1:5" s="9" customFormat="1" ht="31.6" customHeight="1">
      <c r="A45" s="133">
        <v>0</v>
      </c>
      <c r="B45" s="120" t="s">
        <v>411</v>
      </c>
      <c r="C45" s="129">
        <v>0</v>
      </c>
      <c r="D45" s="129">
        <v>0</v>
      </c>
      <c r="E45" s="124">
        <v>0</v>
      </c>
    </row>
    <row r="46" spans="1:5" s="9" customFormat="1" ht="45" customHeight="1">
      <c r="A46" s="133"/>
      <c r="B46" s="120"/>
      <c r="C46" s="129"/>
      <c r="D46" s="129"/>
      <c r="E46" s="124"/>
    </row>
    <row r="47" spans="1:5" s="9" customFormat="1" ht="29.45" customHeight="1">
      <c r="A47" s="133"/>
      <c r="B47" s="120"/>
      <c r="C47" s="129"/>
      <c r="D47" s="129"/>
      <c r="E47" s="124"/>
    </row>
    <row r="48" spans="1:5" s="9" customFormat="1" ht="23.4" customHeight="1">
      <c r="A48" s="133"/>
      <c r="B48" s="120"/>
      <c r="C48" s="129"/>
      <c r="D48" s="129"/>
      <c r="E48" s="124"/>
    </row>
    <row r="49" spans="1:5" s="9" customFormat="1" ht="11.95" customHeight="1">
      <c r="A49" s="133"/>
      <c r="B49" s="120"/>
      <c r="C49" s="129"/>
      <c r="D49" s="129"/>
      <c r="E49" s="124"/>
    </row>
    <row r="50" spans="1:5" s="30" customFormat="1" ht="18.649999999999999" customHeight="1" thickBot="1">
      <c r="A50" s="125">
        <v>847171154</v>
      </c>
      <c r="B50" s="126" t="s">
        <v>397</v>
      </c>
      <c r="C50" s="127">
        <f>C30+C39</f>
        <v>798934385</v>
      </c>
      <c r="D50" s="127">
        <f>D30+D39</f>
        <v>809292680</v>
      </c>
      <c r="E50" s="128">
        <f>E30+E39</f>
        <v>-10358295</v>
      </c>
    </row>
    <row r="51" spans="1:5" s="30" customFormat="1" ht="6.05" customHeight="1">
      <c r="A51" s="740"/>
      <c r="B51" s="115"/>
      <c r="C51" s="740"/>
      <c r="D51" s="740"/>
      <c r="E51" s="740"/>
    </row>
    <row r="52" spans="1:5" s="201" customFormat="1" ht="24.55" customHeight="1">
      <c r="A52" s="1306" t="s">
        <v>1203</v>
      </c>
      <c r="B52" s="1307"/>
      <c r="C52" s="1307"/>
      <c r="D52" s="1307"/>
      <c r="E52" s="1307"/>
    </row>
  </sheetData>
  <mergeCells count="10">
    <mergeCell ref="A52:E52"/>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6" orientation="portrait" useFirstPageNumber="1" r:id="rId1"/>
  <headerFooter alignWithMargins="0">
    <oddFooter>&amp;C&amp;"細明體,標準"附&amp;"Times New Roman,標準"1-&amp;P</oddFooter>
  </headerFooter>
  <rowBreaks count="1" manualBreakCount="1">
    <brk id="29"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P63"/>
  <sheetViews>
    <sheetView view="pageBreakPreview" zoomScale="125" zoomScaleNormal="100" zoomScaleSheetLayoutView="125" workbookViewId="0">
      <pane xSplit="7" ySplit="7" topLeftCell="H8" activePane="bottomRight" state="frozen"/>
      <selection activeCell="C1" sqref="C1:C1048576"/>
      <selection pane="topRight" activeCell="C1" sqref="C1:C1048576"/>
      <selection pane="bottomLeft" activeCell="C1" sqref="C1:C1048576"/>
      <selection pane="bottomRight" activeCell="F42" sqref="F42"/>
    </sheetView>
  </sheetViews>
  <sheetFormatPr defaultColWidth="9" defaultRowHeight="16.399999999999999"/>
  <cols>
    <col min="1" max="1" width="10.5" style="2" customWidth="1"/>
    <col min="2" max="2" width="6.625" style="2" customWidth="1"/>
    <col min="3" max="3" width="21.75" style="611" customWidth="1"/>
    <col min="4" max="4" width="10.5" style="2" customWidth="1"/>
    <col min="5" max="5" width="6.625" style="288" customWidth="1"/>
    <col min="6" max="6" width="10.5" style="2" customWidth="1"/>
    <col min="7" max="7" width="6.625" style="2" customWidth="1"/>
    <col min="8" max="8" width="10.5" style="2" customWidth="1"/>
    <col min="9" max="9" width="6.625" style="2" customWidth="1"/>
    <col min="10" max="10" width="9" style="2"/>
    <col min="11" max="13" width="11.625" style="2" hidden="1" customWidth="1"/>
    <col min="14" max="14" width="0" style="2" hidden="1" customWidth="1"/>
    <col min="15" max="16384" width="9" style="2"/>
  </cols>
  <sheetData>
    <row r="1" spans="1:13" ht="20.95" customHeight="1">
      <c r="A1" s="1051" t="s">
        <v>62</v>
      </c>
      <c r="B1" s="1051"/>
      <c r="C1" s="1051"/>
      <c r="D1" s="1051"/>
      <c r="E1" s="1051"/>
      <c r="F1" s="1051"/>
      <c r="G1" s="1051"/>
      <c r="H1" s="1051"/>
      <c r="I1" s="1051"/>
    </row>
    <row r="2" spans="1:13" ht="20.95" customHeight="1">
      <c r="A2" s="1051" t="s">
        <v>63</v>
      </c>
      <c r="B2" s="1051"/>
      <c r="C2" s="1051"/>
      <c r="D2" s="1051"/>
      <c r="E2" s="1051"/>
      <c r="F2" s="1051"/>
      <c r="G2" s="1051"/>
      <c r="H2" s="1051"/>
      <c r="I2" s="1051"/>
    </row>
    <row r="3" spans="1:13" ht="24.9" customHeight="1">
      <c r="A3" s="1053" t="s">
        <v>412</v>
      </c>
      <c r="B3" s="1053"/>
      <c r="C3" s="1053"/>
      <c r="D3" s="1053"/>
      <c r="E3" s="1053"/>
      <c r="F3" s="1053"/>
      <c r="G3" s="1053"/>
      <c r="H3" s="1053"/>
      <c r="I3" s="1053"/>
    </row>
    <row r="4" spans="1:13" ht="24.9" customHeight="1" thickBot="1">
      <c r="A4" s="1055" t="s">
        <v>1130</v>
      </c>
      <c r="B4" s="1055"/>
      <c r="C4" s="1055"/>
      <c r="D4" s="1055"/>
      <c r="E4" s="1055"/>
      <c r="F4" s="1055"/>
      <c r="G4" s="1055"/>
      <c r="H4" s="1055"/>
      <c r="I4" s="1055"/>
    </row>
    <row r="5" spans="1:13" ht="20.95" customHeight="1">
      <c r="A5" s="1302" t="s">
        <v>345</v>
      </c>
      <c r="B5" s="1057"/>
      <c r="C5" s="1058" t="s">
        <v>16</v>
      </c>
      <c r="D5" s="1057" t="s">
        <v>346</v>
      </c>
      <c r="E5" s="1057"/>
      <c r="F5" s="1057" t="s">
        <v>347</v>
      </c>
      <c r="G5" s="1057"/>
      <c r="H5" s="1058" t="s">
        <v>938</v>
      </c>
      <c r="I5" s="1060"/>
    </row>
    <row r="6" spans="1:13" ht="19.5" customHeight="1">
      <c r="A6" s="554" t="s">
        <v>413</v>
      </c>
      <c r="B6" s="551" t="s">
        <v>349</v>
      </c>
      <c r="C6" s="1303"/>
      <c r="D6" s="551" t="s">
        <v>413</v>
      </c>
      <c r="E6" s="556" t="s">
        <v>349</v>
      </c>
      <c r="F6" s="551" t="s">
        <v>413</v>
      </c>
      <c r="G6" s="551" t="s">
        <v>349</v>
      </c>
      <c r="H6" s="551" t="s">
        <v>413</v>
      </c>
      <c r="I6" s="557" t="s">
        <v>349</v>
      </c>
    </row>
    <row r="7" spans="1:13" ht="8.1999999999999993" customHeight="1">
      <c r="A7" s="558"/>
      <c r="B7" s="167"/>
      <c r="C7" s="166"/>
      <c r="D7" s="167"/>
      <c r="E7" s="560"/>
      <c r="F7" s="167"/>
      <c r="G7" s="167"/>
      <c r="H7" s="167"/>
      <c r="I7" s="561"/>
    </row>
    <row r="8" spans="1:13" s="30" customFormat="1" ht="24.05" customHeight="1">
      <c r="A8" s="311">
        <v>31901130</v>
      </c>
      <c r="B8" s="562">
        <v>100</v>
      </c>
      <c r="C8" s="563" t="s">
        <v>17</v>
      </c>
      <c r="D8" s="564">
        <f>D13+D9</f>
        <v>31811941</v>
      </c>
      <c r="E8" s="562">
        <v>100</v>
      </c>
      <c r="F8" s="564">
        <f>F13+F9</f>
        <v>30617188</v>
      </c>
      <c r="G8" s="562">
        <v>100</v>
      </c>
      <c r="H8" s="565">
        <f t="shared" ref="H8:H27" si="0">D8-F8</f>
        <v>1194753</v>
      </c>
      <c r="I8" s="326">
        <f t="shared" ref="I8:I14" si="1">ROUND(H8/F8*100,2)</f>
        <v>3.9</v>
      </c>
      <c r="K8" s="613">
        <f t="shared" ref="K8:K38" si="2">ROUND(A8/$A$8*100,4)</f>
        <v>100</v>
      </c>
      <c r="L8" s="613">
        <f t="shared" ref="L8:L38" si="3">ROUND(D8/$D$8*100,4)</f>
        <v>100</v>
      </c>
      <c r="M8" s="613">
        <f t="shared" ref="M8:M38" si="4">ROUND(F8/$F$8*100,4)</f>
        <v>100</v>
      </c>
    </row>
    <row r="9" spans="1:13" s="30" customFormat="1" ht="24.05" customHeight="1">
      <c r="A9" s="311">
        <v>3469218</v>
      </c>
      <c r="B9" s="562">
        <f>ROUND(A9/$A$8*100,2)</f>
        <v>10.87</v>
      </c>
      <c r="C9" s="563" t="s">
        <v>171</v>
      </c>
      <c r="D9" s="564">
        <f>SUM(D10:D12)</f>
        <v>2004257</v>
      </c>
      <c r="E9" s="562">
        <f>ROUND(D9/$D$8*100,2)</f>
        <v>6.3</v>
      </c>
      <c r="F9" s="564">
        <f>SUM(F10:F12)</f>
        <v>1990758</v>
      </c>
      <c r="G9" s="617">
        <f>ROUND(F9/$F$8*100,2)</f>
        <v>6.5</v>
      </c>
      <c r="H9" s="565">
        <f t="shared" si="0"/>
        <v>13499</v>
      </c>
      <c r="I9" s="326">
        <f t="shared" si="1"/>
        <v>0.68</v>
      </c>
      <c r="K9" s="613">
        <f t="shared" si="2"/>
        <v>10.8749</v>
      </c>
      <c r="L9" s="613">
        <f t="shared" si="3"/>
        <v>6.3003</v>
      </c>
      <c r="M9" s="613">
        <f t="shared" si="4"/>
        <v>6.5021000000000004</v>
      </c>
    </row>
    <row r="10" spans="1:13" s="9" customFormat="1" ht="24.05" customHeight="1">
      <c r="A10" s="568">
        <v>1877294</v>
      </c>
      <c r="B10" s="569">
        <f>ROUND(A10/$A$8*100,2)</f>
        <v>5.88</v>
      </c>
      <c r="C10" s="570" t="s">
        <v>510</v>
      </c>
      <c r="D10" s="574">
        <v>1695791</v>
      </c>
      <c r="E10" s="616">
        <f>ROUND(D10/$D$8*100,2)</f>
        <v>5.33</v>
      </c>
      <c r="F10" s="574">
        <v>1700750</v>
      </c>
      <c r="G10" s="616">
        <f>ROUND(F10/$F$8*100,2)</f>
        <v>5.55</v>
      </c>
      <c r="H10" s="575">
        <f>D10-F10</f>
        <v>-4959</v>
      </c>
      <c r="I10" s="322">
        <f>ROUND(H10/F10*100,2)</f>
        <v>-0.28999999999999998</v>
      </c>
      <c r="K10" s="615">
        <f>ROUND(A10/$A$8*100,4)</f>
        <v>5.8846999999999996</v>
      </c>
      <c r="L10" s="615">
        <f>ROUND(D10/$D$8*100,4)</f>
        <v>5.3307000000000002</v>
      </c>
      <c r="M10" s="615">
        <f>ROUND(F10/$F$8*100,4)</f>
        <v>5.5548999999999999</v>
      </c>
    </row>
    <row r="11" spans="1:13" s="9" customFormat="1" ht="25.85" customHeight="1">
      <c r="A11" s="568">
        <v>1084986</v>
      </c>
      <c r="B11" s="569">
        <f t="shared" ref="B11:B38" si="5">ROUND(A11/$A$8*100,2)</f>
        <v>3.4</v>
      </c>
      <c r="C11" s="570" t="s">
        <v>172</v>
      </c>
      <c r="D11" s="571">
        <v>0</v>
      </c>
      <c r="E11" s="571">
        <f>ROUND(D11/$D$8*100,2)</f>
        <v>0</v>
      </c>
      <c r="F11" s="571">
        <v>0</v>
      </c>
      <c r="G11" s="571">
        <f t="shared" ref="G11:G38" si="6">ROUND(F11/$F$8*100,2)</f>
        <v>0</v>
      </c>
      <c r="H11" s="571">
        <f t="shared" si="0"/>
        <v>0</v>
      </c>
      <c r="I11" s="572">
        <v>0</v>
      </c>
      <c r="K11" s="615">
        <f t="shared" si="2"/>
        <v>3.4011</v>
      </c>
      <c r="L11" s="615">
        <f t="shared" si="3"/>
        <v>0</v>
      </c>
      <c r="M11" s="615">
        <f t="shared" si="4"/>
        <v>0</v>
      </c>
    </row>
    <row r="12" spans="1:13" s="9" customFormat="1" ht="27.85" customHeight="1">
      <c r="A12" s="568">
        <v>506938</v>
      </c>
      <c r="B12" s="569">
        <f t="shared" si="5"/>
        <v>1.59</v>
      </c>
      <c r="C12" s="570" t="s">
        <v>173</v>
      </c>
      <c r="D12" s="574">
        <v>308466</v>
      </c>
      <c r="E12" s="636">
        <f>ROUND(D12/$D$8*100,2)</f>
        <v>0.97</v>
      </c>
      <c r="F12" s="574">
        <v>290008</v>
      </c>
      <c r="G12" s="636">
        <f t="shared" si="6"/>
        <v>0.95</v>
      </c>
      <c r="H12" s="575">
        <f t="shared" si="0"/>
        <v>18458</v>
      </c>
      <c r="I12" s="322">
        <f t="shared" si="1"/>
        <v>6.36</v>
      </c>
      <c r="K12" s="615">
        <f t="shared" si="2"/>
        <v>1.5891</v>
      </c>
      <c r="L12" s="615">
        <f t="shared" si="3"/>
        <v>0.96970000000000001</v>
      </c>
      <c r="M12" s="615">
        <f t="shared" si="4"/>
        <v>0.94720000000000004</v>
      </c>
    </row>
    <row r="13" spans="1:13" s="30" customFormat="1" ht="24.05" customHeight="1">
      <c r="A13" s="311">
        <v>28431913</v>
      </c>
      <c r="B13" s="562">
        <f t="shared" si="5"/>
        <v>89.13</v>
      </c>
      <c r="C13" s="563" t="s">
        <v>174</v>
      </c>
      <c r="D13" s="564">
        <f>D14+D15</f>
        <v>29807684</v>
      </c>
      <c r="E13" s="562">
        <f t="shared" ref="E13:E38" si="7">ROUND(D13/$D$8*100,2)</f>
        <v>93.7</v>
      </c>
      <c r="F13" s="564">
        <f>F14+F15</f>
        <v>28626430</v>
      </c>
      <c r="G13" s="567">
        <f t="shared" si="6"/>
        <v>93.5</v>
      </c>
      <c r="H13" s="565">
        <f t="shared" si="0"/>
        <v>1181254</v>
      </c>
      <c r="I13" s="326">
        <f t="shared" si="1"/>
        <v>4.13</v>
      </c>
      <c r="K13" s="613">
        <f t="shared" si="2"/>
        <v>89.125100000000003</v>
      </c>
      <c r="L13" s="613">
        <f t="shared" si="3"/>
        <v>93.699700000000007</v>
      </c>
      <c r="M13" s="613">
        <f t="shared" si="4"/>
        <v>93.497900000000001</v>
      </c>
    </row>
    <row r="14" spans="1:13" s="9" customFormat="1" ht="24.05" customHeight="1">
      <c r="A14" s="568">
        <v>28431913</v>
      </c>
      <c r="B14" s="569">
        <f t="shared" si="5"/>
        <v>89.13</v>
      </c>
      <c r="C14" s="570" t="s">
        <v>175</v>
      </c>
      <c r="D14" s="574">
        <v>29807684</v>
      </c>
      <c r="E14" s="636">
        <f t="shared" si="7"/>
        <v>93.7</v>
      </c>
      <c r="F14" s="574">
        <v>28626430</v>
      </c>
      <c r="G14" s="367">
        <f t="shared" si="6"/>
        <v>93.5</v>
      </c>
      <c r="H14" s="575">
        <f t="shared" si="0"/>
        <v>1181254</v>
      </c>
      <c r="I14" s="322">
        <f t="shared" si="1"/>
        <v>4.13</v>
      </c>
      <c r="K14" s="615">
        <f t="shared" si="2"/>
        <v>89.125100000000003</v>
      </c>
      <c r="L14" s="615">
        <f t="shared" si="3"/>
        <v>93.699700000000007</v>
      </c>
      <c r="M14" s="615">
        <f t="shared" si="4"/>
        <v>93.497900000000001</v>
      </c>
    </row>
    <row r="15" spans="1:13" s="9" customFormat="1" ht="24.05" hidden="1" customHeight="1">
      <c r="A15" s="568">
        <v>0</v>
      </c>
      <c r="B15" s="569">
        <f t="shared" si="5"/>
        <v>0</v>
      </c>
      <c r="C15" s="585" t="s">
        <v>176</v>
      </c>
      <c r="D15" s="571">
        <v>0</v>
      </c>
      <c r="E15" s="616">
        <f t="shared" si="7"/>
        <v>0</v>
      </c>
      <c r="F15" s="571">
        <v>0</v>
      </c>
      <c r="G15" s="616">
        <f t="shared" si="6"/>
        <v>0</v>
      </c>
      <c r="H15" s="589">
        <f t="shared" si="0"/>
        <v>0</v>
      </c>
      <c r="I15" s="572">
        <v>0</v>
      </c>
      <c r="K15" s="615">
        <f t="shared" si="2"/>
        <v>0</v>
      </c>
      <c r="L15" s="615">
        <f t="shared" si="3"/>
        <v>0</v>
      </c>
      <c r="M15" s="615">
        <f t="shared" si="4"/>
        <v>0</v>
      </c>
    </row>
    <row r="16" spans="1:13" s="30" customFormat="1" ht="27.65" customHeight="1">
      <c r="A16" s="311">
        <v>31911055</v>
      </c>
      <c r="B16" s="562">
        <f t="shared" si="5"/>
        <v>100.03</v>
      </c>
      <c r="C16" s="563" t="s">
        <v>179</v>
      </c>
      <c r="D16" s="564">
        <f>D17+D20+D24</f>
        <v>31820028</v>
      </c>
      <c r="E16" s="617">
        <f t="shared" si="7"/>
        <v>100.03</v>
      </c>
      <c r="F16" s="564">
        <f>F17+F20+F24</f>
        <v>30622400</v>
      </c>
      <c r="G16" s="617">
        <f t="shared" si="6"/>
        <v>100.02</v>
      </c>
      <c r="H16" s="565">
        <f t="shared" si="0"/>
        <v>1197628</v>
      </c>
      <c r="I16" s="326">
        <f t="shared" ref="I16:I37" si="8">ROUND(H16/F16*100,2)</f>
        <v>3.91</v>
      </c>
      <c r="K16" s="613">
        <f t="shared" si="2"/>
        <v>100.0311</v>
      </c>
      <c r="L16" s="613">
        <f t="shared" si="3"/>
        <v>100.0254</v>
      </c>
      <c r="M16" s="613">
        <f t="shared" si="4"/>
        <v>100.017</v>
      </c>
    </row>
    <row r="17" spans="1:13" s="30" customFormat="1" ht="27.65" customHeight="1">
      <c r="A17" s="311">
        <v>1696803</v>
      </c>
      <c r="B17" s="567">
        <f t="shared" si="5"/>
        <v>5.32</v>
      </c>
      <c r="C17" s="563" t="s">
        <v>180</v>
      </c>
      <c r="D17" s="564">
        <f>SUM(D18:D18)</f>
        <v>824</v>
      </c>
      <c r="E17" s="567">
        <f t="shared" si="7"/>
        <v>0</v>
      </c>
      <c r="F17" s="564">
        <f>SUM(F18:F18)</f>
        <v>807</v>
      </c>
      <c r="G17" s="567">
        <f t="shared" si="6"/>
        <v>0</v>
      </c>
      <c r="H17" s="565">
        <f t="shared" si="0"/>
        <v>17</v>
      </c>
      <c r="I17" s="326">
        <f t="shared" si="8"/>
        <v>2.11</v>
      </c>
      <c r="K17" s="613">
        <f t="shared" si="2"/>
        <v>5.3189000000000002</v>
      </c>
      <c r="L17" s="613">
        <f t="shared" si="3"/>
        <v>2.5999999999999999E-3</v>
      </c>
      <c r="M17" s="613">
        <f t="shared" si="4"/>
        <v>2.5999999999999999E-3</v>
      </c>
    </row>
    <row r="18" spans="1:13" s="9" customFormat="1" ht="24.05" customHeight="1">
      <c r="A18" s="568">
        <v>4173</v>
      </c>
      <c r="B18" s="367">
        <f>ROUND(A18/$A$8*100,2)</f>
        <v>0.01</v>
      </c>
      <c r="C18" s="570" t="s">
        <v>512</v>
      </c>
      <c r="D18" s="318">
        <v>824</v>
      </c>
      <c r="E18" s="367">
        <f>ROUND(D18/$D$8*100,2)</f>
        <v>0</v>
      </c>
      <c r="F18" s="318">
        <v>807</v>
      </c>
      <c r="G18" s="367">
        <f>ROUND(F18/$F$8*100,2)</f>
        <v>0</v>
      </c>
      <c r="H18" s="575">
        <f>D18-F18</f>
        <v>17</v>
      </c>
      <c r="I18" s="322">
        <f>ROUND(H18/F18*100,2)</f>
        <v>2.11</v>
      </c>
      <c r="K18" s="615">
        <f>ROUND(A18/$A$8*100,4)</f>
        <v>1.3100000000000001E-2</v>
      </c>
      <c r="L18" s="615">
        <f>ROUND(D18/$D$8*100,4)</f>
        <v>2.5999999999999999E-3</v>
      </c>
      <c r="M18" s="615">
        <f>ROUND(F18/$F$8*100,4)</f>
        <v>2.5999999999999999E-3</v>
      </c>
    </row>
    <row r="19" spans="1:13" s="9" customFormat="1" ht="24.05" customHeight="1">
      <c r="A19" s="568">
        <v>1692630</v>
      </c>
      <c r="B19" s="367">
        <f t="shared" si="5"/>
        <v>5.31</v>
      </c>
      <c r="C19" s="570" t="s">
        <v>181</v>
      </c>
      <c r="D19" s="571">
        <v>0</v>
      </c>
      <c r="E19" s="571">
        <f t="shared" si="7"/>
        <v>0</v>
      </c>
      <c r="F19" s="571">
        <v>0</v>
      </c>
      <c r="G19" s="571">
        <f t="shared" si="6"/>
        <v>0</v>
      </c>
      <c r="H19" s="571">
        <f t="shared" si="0"/>
        <v>0</v>
      </c>
      <c r="I19" s="572">
        <v>0</v>
      </c>
      <c r="K19" s="615">
        <f t="shared" si="2"/>
        <v>5.3059000000000003</v>
      </c>
      <c r="L19" s="615">
        <f t="shared" si="3"/>
        <v>0</v>
      </c>
      <c r="M19" s="615">
        <f t="shared" si="4"/>
        <v>0</v>
      </c>
    </row>
    <row r="20" spans="1:13" s="30" customFormat="1" ht="24.05" customHeight="1">
      <c r="A20" s="311">
        <v>28075066</v>
      </c>
      <c r="B20" s="562">
        <f t="shared" si="5"/>
        <v>88.01</v>
      </c>
      <c r="C20" s="563" t="s">
        <v>182</v>
      </c>
      <c r="D20" s="564">
        <f>SUM(D21:D23)</f>
        <v>28391151</v>
      </c>
      <c r="E20" s="614">
        <f t="shared" si="7"/>
        <v>89.25</v>
      </c>
      <c r="F20" s="564">
        <f>SUM(F21:F23)</f>
        <v>27724093</v>
      </c>
      <c r="G20" s="614">
        <f t="shared" si="6"/>
        <v>90.55</v>
      </c>
      <c r="H20" s="565">
        <f t="shared" si="0"/>
        <v>667058</v>
      </c>
      <c r="I20" s="326">
        <f t="shared" si="8"/>
        <v>2.41</v>
      </c>
      <c r="K20" s="613">
        <f t="shared" si="2"/>
        <v>88.006500000000003</v>
      </c>
      <c r="L20" s="613">
        <f t="shared" si="3"/>
        <v>89.246799999999993</v>
      </c>
      <c r="M20" s="613">
        <f t="shared" si="4"/>
        <v>90.550700000000006</v>
      </c>
    </row>
    <row r="21" spans="1:13" s="9" customFormat="1" ht="24.05" customHeight="1">
      <c r="A21" s="568">
        <v>20300207</v>
      </c>
      <c r="B21" s="569">
        <f t="shared" si="5"/>
        <v>63.63</v>
      </c>
      <c r="C21" s="570" t="s">
        <v>183</v>
      </c>
      <c r="D21" s="574">
        <v>22823256</v>
      </c>
      <c r="E21" s="990">
        <f t="shared" si="7"/>
        <v>71.739999999999995</v>
      </c>
      <c r="F21" s="574">
        <v>21553412</v>
      </c>
      <c r="G21" s="367">
        <f t="shared" si="6"/>
        <v>70.400000000000006</v>
      </c>
      <c r="H21" s="575">
        <f t="shared" si="0"/>
        <v>1269844</v>
      </c>
      <c r="I21" s="322">
        <f t="shared" si="8"/>
        <v>5.89</v>
      </c>
      <c r="K21" s="615">
        <f t="shared" si="2"/>
        <v>63.634799999999998</v>
      </c>
      <c r="L21" s="615">
        <f t="shared" si="3"/>
        <v>71.744299999999996</v>
      </c>
      <c r="M21" s="615">
        <f t="shared" si="4"/>
        <v>70.3964</v>
      </c>
    </row>
    <row r="22" spans="1:13" s="9" customFormat="1" ht="24.05" customHeight="1">
      <c r="A22" s="568">
        <v>7759070</v>
      </c>
      <c r="B22" s="569">
        <f t="shared" si="5"/>
        <v>24.32</v>
      </c>
      <c r="C22" s="570" t="s">
        <v>184</v>
      </c>
      <c r="D22" s="574">
        <v>5527767</v>
      </c>
      <c r="E22" s="367">
        <f t="shared" si="7"/>
        <v>17.38</v>
      </c>
      <c r="F22" s="574">
        <v>6125313</v>
      </c>
      <c r="G22" s="367">
        <f t="shared" si="6"/>
        <v>20.010000000000002</v>
      </c>
      <c r="H22" s="575">
        <f t="shared" si="0"/>
        <v>-597546</v>
      </c>
      <c r="I22" s="322">
        <f t="shared" si="8"/>
        <v>-9.76</v>
      </c>
      <c r="K22" s="615">
        <f t="shared" si="2"/>
        <v>24.322199999999999</v>
      </c>
      <c r="L22" s="615">
        <f t="shared" si="3"/>
        <v>17.3764</v>
      </c>
      <c r="M22" s="615">
        <f t="shared" si="4"/>
        <v>20.0061</v>
      </c>
    </row>
    <row r="23" spans="1:13" s="9" customFormat="1" ht="24.05" customHeight="1">
      <c r="A23" s="568">
        <v>15789</v>
      </c>
      <c r="B23" s="569">
        <f t="shared" si="5"/>
        <v>0.05</v>
      </c>
      <c r="C23" s="570" t="s">
        <v>185</v>
      </c>
      <c r="D23" s="574">
        <v>40128</v>
      </c>
      <c r="E23" s="636">
        <f t="shared" si="7"/>
        <v>0.13</v>
      </c>
      <c r="F23" s="574">
        <v>45368</v>
      </c>
      <c r="G23" s="636">
        <f t="shared" si="6"/>
        <v>0.15</v>
      </c>
      <c r="H23" s="575">
        <f t="shared" si="0"/>
        <v>-5240</v>
      </c>
      <c r="I23" s="322">
        <f t="shared" si="8"/>
        <v>-11.55</v>
      </c>
      <c r="K23" s="615">
        <f t="shared" si="2"/>
        <v>4.9500000000000002E-2</v>
      </c>
      <c r="L23" s="615">
        <f t="shared" si="3"/>
        <v>0.12609999999999999</v>
      </c>
      <c r="M23" s="615">
        <f t="shared" si="4"/>
        <v>0.1482</v>
      </c>
    </row>
    <row r="24" spans="1:13" s="30" customFormat="1" ht="24.05" customHeight="1">
      <c r="A24" s="311">
        <v>2139186</v>
      </c>
      <c r="B24" s="562">
        <f t="shared" si="5"/>
        <v>6.71</v>
      </c>
      <c r="C24" s="563" t="s">
        <v>186</v>
      </c>
      <c r="D24" s="564">
        <f>SUM(D25:D25)</f>
        <v>3428053</v>
      </c>
      <c r="E24" s="614">
        <f t="shared" si="7"/>
        <v>10.78</v>
      </c>
      <c r="F24" s="564">
        <f>SUM(F25:F25)</f>
        <v>2897500</v>
      </c>
      <c r="G24" s="614">
        <f t="shared" si="6"/>
        <v>9.4600000000000009</v>
      </c>
      <c r="H24" s="565">
        <f t="shared" si="0"/>
        <v>530553</v>
      </c>
      <c r="I24" s="326">
        <f t="shared" si="8"/>
        <v>18.309999999999999</v>
      </c>
      <c r="K24" s="613">
        <f t="shared" si="2"/>
        <v>6.7057000000000002</v>
      </c>
      <c r="L24" s="613">
        <f t="shared" si="3"/>
        <v>10.776</v>
      </c>
      <c r="M24" s="613">
        <f t="shared" si="4"/>
        <v>9.4635999999999996</v>
      </c>
    </row>
    <row r="25" spans="1:13" s="9" customFormat="1" ht="24.05" customHeight="1">
      <c r="A25" s="568">
        <v>2139186</v>
      </c>
      <c r="B25" s="569">
        <f t="shared" si="5"/>
        <v>6.71</v>
      </c>
      <c r="C25" s="570" t="s">
        <v>187</v>
      </c>
      <c r="D25" s="574">
        <v>3428053</v>
      </c>
      <c r="E25" s="616">
        <f t="shared" si="7"/>
        <v>10.78</v>
      </c>
      <c r="F25" s="574">
        <v>2897500</v>
      </c>
      <c r="G25" s="616">
        <f t="shared" si="6"/>
        <v>9.4600000000000009</v>
      </c>
      <c r="H25" s="575">
        <f t="shared" si="0"/>
        <v>530553</v>
      </c>
      <c r="I25" s="322">
        <f t="shared" si="8"/>
        <v>18.309999999999999</v>
      </c>
      <c r="K25" s="615">
        <f t="shared" si="2"/>
        <v>6.7057000000000002</v>
      </c>
      <c r="L25" s="615">
        <f t="shared" si="3"/>
        <v>10.776</v>
      </c>
      <c r="M25" s="615">
        <f t="shared" si="4"/>
        <v>9.4635999999999996</v>
      </c>
    </row>
    <row r="26" spans="1:13" s="30" customFormat="1" ht="28.15" customHeight="1">
      <c r="A26" s="311">
        <v>-9925</v>
      </c>
      <c r="B26" s="562">
        <f t="shared" si="5"/>
        <v>-0.03</v>
      </c>
      <c r="C26" s="563" t="s">
        <v>550</v>
      </c>
      <c r="D26" s="618">
        <f>+D8-D16</f>
        <v>-8087</v>
      </c>
      <c r="E26" s="614">
        <f t="shared" si="7"/>
        <v>-0.03</v>
      </c>
      <c r="F26" s="618">
        <f>+F8-F16</f>
        <v>-5212</v>
      </c>
      <c r="G26" s="614">
        <f t="shared" si="6"/>
        <v>-0.02</v>
      </c>
      <c r="H26" s="618">
        <f t="shared" si="0"/>
        <v>-2875</v>
      </c>
      <c r="I26" s="326">
        <f t="shared" si="8"/>
        <v>55.16</v>
      </c>
      <c r="K26" s="613">
        <f t="shared" si="2"/>
        <v>-3.1099999999999999E-2</v>
      </c>
      <c r="L26" s="613">
        <f t="shared" si="3"/>
        <v>-2.5399999999999999E-2</v>
      </c>
      <c r="M26" s="613">
        <f t="shared" si="4"/>
        <v>-1.7000000000000001E-2</v>
      </c>
    </row>
    <row r="27" spans="1:13" s="30" customFormat="1" ht="24.05" customHeight="1">
      <c r="A27" s="313">
        <v>9940</v>
      </c>
      <c r="B27" s="562">
        <f t="shared" si="5"/>
        <v>0.03</v>
      </c>
      <c r="C27" s="563" t="s">
        <v>188</v>
      </c>
      <c r="D27" s="329">
        <f>D28+D30</f>
        <v>8098</v>
      </c>
      <c r="E27" s="614">
        <f t="shared" si="7"/>
        <v>0.03</v>
      </c>
      <c r="F27" s="329">
        <f>F28+F30</f>
        <v>5223</v>
      </c>
      <c r="G27" s="614">
        <f t="shared" si="6"/>
        <v>0.02</v>
      </c>
      <c r="H27" s="619">
        <f t="shared" si="0"/>
        <v>2875</v>
      </c>
      <c r="I27" s="326">
        <f t="shared" si="8"/>
        <v>55.04</v>
      </c>
      <c r="K27" s="613">
        <f t="shared" si="2"/>
        <v>3.1199999999999999E-2</v>
      </c>
      <c r="L27" s="613">
        <f t="shared" si="3"/>
        <v>2.5499999999999998E-2</v>
      </c>
      <c r="M27" s="613">
        <f t="shared" si="4"/>
        <v>1.7100000000000001E-2</v>
      </c>
    </row>
    <row r="28" spans="1:13" s="30" customFormat="1" ht="29" customHeight="1">
      <c r="A28" s="311">
        <v>110</v>
      </c>
      <c r="B28" s="567">
        <f t="shared" si="5"/>
        <v>0</v>
      </c>
      <c r="C28" s="563" t="s">
        <v>189</v>
      </c>
      <c r="D28" s="564">
        <f>D29</f>
        <v>42</v>
      </c>
      <c r="E28" s="567">
        <f t="shared" si="7"/>
        <v>0</v>
      </c>
      <c r="F28" s="564">
        <f>F29</f>
        <v>35</v>
      </c>
      <c r="G28" s="567">
        <f t="shared" si="6"/>
        <v>0</v>
      </c>
      <c r="H28" s="619">
        <f>H29</f>
        <v>7</v>
      </c>
      <c r="I28" s="620">
        <f t="shared" si="8"/>
        <v>20</v>
      </c>
      <c r="K28" s="613">
        <f t="shared" si="2"/>
        <v>2.9999999999999997E-4</v>
      </c>
      <c r="L28" s="613">
        <f t="shared" si="3"/>
        <v>1E-4</v>
      </c>
      <c r="M28" s="613">
        <f t="shared" si="4"/>
        <v>1E-4</v>
      </c>
    </row>
    <row r="29" spans="1:13" s="9" customFormat="1" ht="24.05" customHeight="1">
      <c r="A29" s="568">
        <v>110</v>
      </c>
      <c r="B29" s="367">
        <f t="shared" si="5"/>
        <v>0</v>
      </c>
      <c r="C29" s="570" t="s">
        <v>190</v>
      </c>
      <c r="D29" s="574">
        <v>42</v>
      </c>
      <c r="E29" s="367">
        <f t="shared" si="7"/>
        <v>0</v>
      </c>
      <c r="F29" s="574">
        <v>35</v>
      </c>
      <c r="G29" s="367">
        <f t="shared" si="6"/>
        <v>0</v>
      </c>
      <c r="H29" s="621">
        <f>D29-F29</f>
        <v>7</v>
      </c>
      <c r="I29" s="322">
        <f t="shared" si="8"/>
        <v>20</v>
      </c>
      <c r="K29" s="615">
        <f t="shared" si="2"/>
        <v>2.9999999999999997E-4</v>
      </c>
      <c r="L29" s="615">
        <f t="shared" si="3"/>
        <v>1E-4</v>
      </c>
      <c r="M29" s="615">
        <f t="shared" si="4"/>
        <v>1E-4</v>
      </c>
    </row>
    <row r="30" spans="1:13" s="30" customFormat="1" ht="27.65" customHeight="1">
      <c r="A30" s="311">
        <v>9830</v>
      </c>
      <c r="B30" s="562">
        <f t="shared" si="5"/>
        <v>0.03</v>
      </c>
      <c r="C30" s="563" t="s">
        <v>191</v>
      </c>
      <c r="D30" s="564">
        <f>SUM(D32:D33)</f>
        <v>8056</v>
      </c>
      <c r="E30" s="614">
        <f t="shared" si="7"/>
        <v>0.03</v>
      </c>
      <c r="F30" s="564">
        <f>SUM(F32:F33)</f>
        <v>5188</v>
      </c>
      <c r="G30" s="614">
        <f t="shared" si="6"/>
        <v>0.02</v>
      </c>
      <c r="H30" s="622">
        <f>+D30-F30</f>
        <v>2868</v>
      </c>
      <c r="I30" s="326">
        <f t="shared" si="8"/>
        <v>55.28</v>
      </c>
      <c r="K30" s="613">
        <f t="shared" si="2"/>
        <v>3.0800000000000001E-2</v>
      </c>
      <c r="L30" s="613">
        <f t="shared" si="3"/>
        <v>2.53E-2</v>
      </c>
      <c r="M30" s="613">
        <f t="shared" si="4"/>
        <v>1.6899999999999998E-2</v>
      </c>
    </row>
    <row r="31" spans="1:13" s="9" customFormat="1" ht="29" hidden="1" customHeight="1">
      <c r="A31" s="586">
        <v>0</v>
      </c>
      <c r="B31" s="367">
        <f t="shared" ref="B31" si="9">ROUND(A31/$A$8*100,2)</f>
        <v>0</v>
      </c>
      <c r="C31" s="570" t="s">
        <v>598</v>
      </c>
      <c r="D31" s="367">
        <v>0</v>
      </c>
      <c r="E31" s="367">
        <f t="shared" ref="E31" si="10">ROUND(D31/$D$8*100,2)</f>
        <v>0</v>
      </c>
      <c r="F31" s="367">
        <v>0</v>
      </c>
      <c r="G31" s="367">
        <f t="shared" ref="G31" si="11">ROUND(F31/$F$8*100,2)</f>
        <v>0</v>
      </c>
      <c r="H31" s="589">
        <f>D31-F31</f>
        <v>0</v>
      </c>
      <c r="I31" s="320">
        <v>0</v>
      </c>
      <c r="K31" s="615">
        <f t="shared" ref="K31" si="12">ROUND(A31/$A$8*100,4)</f>
        <v>0</v>
      </c>
      <c r="L31" s="615">
        <f t="shared" ref="L31" si="13">ROUND(D31/$D$8*100,4)</f>
        <v>0</v>
      </c>
      <c r="M31" s="615">
        <f t="shared" ref="M31" si="14">ROUND(F31/$F$8*100,4)</f>
        <v>0</v>
      </c>
    </row>
    <row r="32" spans="1:13" s="9" customFormat="1" ht="26.35" customHeight="1">
      <c r="A32" s="568">
        <v>9554</v>
      </c>
      <c r="B32" s="569">
        <f t="shared" si="5"/>
        <v>0.03</v>
      </c>
      <c r="C32" s="570" t="s">
        <v>192</v>
      </c>
      <c r="D32" s="574">
        <v>7845</v>
      </c>
      <c r="E32" s="616">
        <f t="shared" si="7"/>
        <v>0.02</v>
      </c>
      <c r="F32" s="574">
        <v>5079</v>
      </c>
      <c r="G32" s="616">
        <f t="shared" si="6"/>
        <v>0.02</v>
      </c>
      <c r="H32" s="321">
        <f>D32-F32</f>
        <v>2766</v>
      </c>
      <c r="I32" s="322">
        <f t="shared" si="8"/>
        <v>54.46</v>
      </c>
      <c r="K32" s="615">
        <f t="shared" si="2"/>
        <v>2.9899999999999999E-2</v>
      </c>
      <c r="L32" s="615">
        <f t="shared" si="3"/>
        <v>2.47E-2</v>
      </c>
      <c r="M32" s="615">
        <f t="shared" si="4"/>
        <v>1.66E-2</v>
      </c>
    </row>
    <row r="33" spans="1:16" s="9" customFormat="1" ht="24.05" customHeight="1">
      <c r="A33" s="568">
        <v>276</v>
      </c>
      <c r="B33" s="571">
        <f t="shared" si="5"/>
        <v>0</v>
      </c>
      <c r="C33" s="570" t="s">
        <v>193</v>
      </c>
      <c r="D33" s="574">
        <v>211</v>
      </c>
      <c r="E33" s="367">
        <f t="shared" si="7"/>
        <v>0</v>
      </c>
      <c r="F33" s="574">
        <v>109</v>
      </c>
      <c r="G33" s="367">
        <f t="shared" si="6"/>
        <v>0</v>
      </c>
      <c r="H33" s="321">
        <f>D33-F33</f>
        <v>102</v>
      </c>
      <c r="I33" s="322">
        <f t="shared" si="8"/>
        <v>93.58</v>
      </c>
      <c r="J33" s="322"/>
      <c r="K33" s="615">
        <f t="shared" si="2"/>
        <v>8.9999999999999998E-4</v>
      </c>
      <c r="L33" s="615">
        <f t="shared" si="3"/>
        <v>6.9999999999999999E-4</v>
      </c>
      <c r="M33" s="615">
        <f t="shared" si="4"/>
        <v>4.0000000000000002E-4</v>
      </c>
      <c r="O33" s="234"/>
    </row>
    <row r="34" spans="1:16" s="30" customFormat="1" ht="26.35" customHeight="1" thickBot="1">
      <c r="A34" s="314">
        <v>15</v>
      </c>
      <c r="B34" s="888">
        <f t="shared" si="5"/>
        <v>0</v>
      </c>
      <c r="C34" s="600" t="s">
        <v>29</v>
      </c>
      <c r="D34" s="330">
        <f t="shared" ref="D34:F35" si="15">D35</f>
        <v>11</v>
      </c>
      <c r="E34" s="888">
        <f t="shared" si="7"/>
        <v>0</v>
      </c>
      <c r="F34" s="330">
        <f t="shared" si="15"/>
        <v>11</v>
      </c>
      <c r="G34" s="888">
        <f t="shared" si="6"/>
        <v>0</v>
      </c>
      <c r="H34" s="623">
        <f>D34-F34</f>
        <v>0</v>
      </c>
      <c r="I34" s="712">
        <v>0</v>
      </c>
      <c r="K34" s="613">
        <f t="shared" si="2"/>
        <v>0</v>
      </c>
      <c r="L34" s="613">
        <f t="shared" si="3"/>
        <v>0</v>
      </c>
      <c r="M34" s="613">
        <f t="shared" si="4"/>
        <v>0</v>
      </c>
      <c r="P34" s="792"/>
    </row>
    <row r="35" spans="1:16" s="30" customFormat="1" ht="29.95" customHeight="1">
      <c r="A35" s="311">
        <v>15</v>
      </c>
      <c r="B35" s="567">
        <f t="shared" si="5"/>
        <v>0</v>
      </c>
      <c r="C35" s="563" t="s">
        <v>194</v>
      </c>
      <c r="D35" s="576">
        <f t="shared" si="15"/>
        <v>11</v>
      </c>
      <c r="E35" s="567">
        <f t="shared" si="7"/>
        <v>0</v>
      </c>
      <c r="F35" s="329">
        <f t="shared" si="15"/>
        <v>11</v>
      </c>
      <c r="G35" s="567">
        <f t="shared" si="6"/>
        <v>0</v>
      </c>
      <c r="H35" s="571">
        <f>+D35-F35</f>
        <v>0</v>
      </c>
      <c r="I35" s="317">
        <v>0</v>
      </c>
      <c r="K35" s="613">
        <f t="shared" si="2"/>
        <v>0</v>
      </c>
      <c r="L35" s="613">
        <f t="shared" si="3"/>
        <v>0</v>
      </c>
      <c r="M35" s="613">
        <f t="shared" si="4"/>
        <v>0</v>
      </c>
    </row>
    <row r="36" spans="1:16" s="9" customFormat="1" ht="29.95" customHeight="1">
      <c r="A36" s="568">
        <v>15</v>
      </c>
      <c r="B36" s="367">
        <f t="shared" si="5"/>
        <v>0</v>
      </c>
      <c r="C36" s="570" t="s">
        <v>195</v>
      </c>
      <c r="D36" s="571">
        <v>11</v>
      </c>
      <c r="E36" s="367">
        <f t="shared" si="7"/>
        <v>0</v>
      </c>
      <c r="F36" s="808">
        <v>11</v>
      </c>
      <c r="G36" s="367">
        <f t="shared" si="6"/>
        <v>0</v>
      </c>
      <c r="H36" s="589">
        <f>D36-F36</f>
        <v>0</v>
      </c>
      <c r="I36" s="320">
        <v>0</v>
      </c>
      <c r="K36" s="615">
        <f t="shared" si="2"/>
        <v>0</v>
      </c>
      <c r="L36" s="615">
        <f t="shared" si="3"/>
        <v>0</v>
      </c>
      <c r="M36" s="615">
        <f t="shared" si="4"/>
        <v>0</v>
      </c>
    </row>
    <row r="37" spans="1:16" s="30" customFormat="1" ht="29.95" customHeight="1">
      <c r="A37" s="313">
        <v>9925</v>
      </c>
      <c r="B37" s="562">
        <f t="shared" si="5"/>
        <v>0.03</v>
      </c>
      <c r="C37" s="563" t="s">
        <v>551</v>
      </c>
      <c r="D37" s="325">
        <f>+D27-D34</f>
        <v>8087</v>
      </c>
      <c r="E37" s="614">
        <f t="shared" si="7"/>
        <v>0.03</v>
      </c>
      <c r="F37" s="325">
        <f>+F27-F34</f>
        <v>5212</v>
      </c>
      <c r="G37" s="614">
        <f t="shared" si="6"/>
        <v>0.02</v>
      </c>
      <c r="H37" s="325">
        <f>D37-F37</f>
        <v>2875</v>
      </c>
      <c r="I37" s="326">
        <f t="shared" si="8"/>
        <v>55.16</v>
      </c>
      <c r="K37" s="613">
        <f t="shared" si="2"/>
        <v>3.1099999999999999E-2</v>
      </c>
      <c r="L37" s="613">
        <f t="shared" si="3"/>
        <v>2.5399999999999999E-2</v>
      </c>
      <c r="M37" s="613">
        <f t="shared" si="4"/>
        <v>1.7000000000000001E-2</v>
      </c>
    </row>
    <row r="38" spans="1:16" s="30" customFormat="1" ht="29.95" customHeight="1">
      <c r="A38" s="597">
        <f>A26+A37</f>
        <v>0</v>
      </c>
      <c r="B38" s="567">
        <f t="shared" si="5"/>
        <v>0</v>
      </c>
      <c r="C38" s="563" t="s">
        <v>552</v>
      </c>
      <c r="D38" s="598">
        <f>+D26+D37</f>
        <v>0</v>
      </c>
      <c r="E38" s="567">
        <f t="shared" si="7"/>
        <v>0</v>
      </c>
      <c r="F38" s="598">
        <f>+F26+F37</f>
        <v>0</v>
      </c>
      <c r="G38" s="567">
        <f t="shared" si="6"/>
        <v>0</v>
      </c>
      <c r="H38" s="598">
        <f>D38-F38</f>
        <v>0</v>
      </c>
      <c r="I38" s="587">
        <v>0</v>
      </c>
      <c r="K38" s="613">
        <f t="shared" si="2"/>
        <v>0</v>
      </c>
      <c r="L38" s="613">
        <f t="shared" si="3"/>
        <v>0</v>
      </c>
      <c r="M38" s="613">
        <f t="shared" si="4"/>
        <v>0</v>
      </c>
    </row>
    <row r="39" spans="1:16" s="30" customFormat="1" ht="29.95" customHeight="1">
      <c r="A39" s="597"/>
      <c r="B39" s="576"/>
      <c r="C39" s="563"/>
      <c r="D39" s="598"/>
      <c r="E39" s="598"/>
      <c r="F39" s="598"/>
      <c r="G39" s="598"/>
      <c r="H39" s="598"/>
      <c r="I39" s="587"/>
      <c r="K39" s="613"/>
      <c r="L39" s="613"/>
      <c r="M39" s="613"/>
    </row>
    <row r="40" spans="1:16" s="30" customFormat="1" ht="29.95" customHeight="1">
      <c r="A40" s="597"/>
      <c r="B40" s="576"/>
      <c r="C40" s="563"/>
      <c r="D40" s="598"/>
      <c r="E40" s="598"/>
      <c r="F40" s="598"/>
      <c r="G40" s="598"/>
      <c r="H40" s="598"/>
      <c r="I40" s="587"/>
      <c r="K40" s="613"/>
      <c r="L40" s="613"/>
      <c r="M40" s="613"/>
    </row>
    <row r="41" spans="1:16" s="30" customFormat="1" ht="29.95" customHeight="1">
      <c r="A41" s="597"/>
      <c r="B41" s="576"/>
      <c r="C41" s="563"/>
      <c r="D41" s="598"/>
      <c r="E41" s="598"/>
      <c r="F41" s="598"/>
      <c r="G41" s="598"/>
      <c r="H41" s="598"/>
      <c r="I41" s="587"/>
      <c r="K41" s="613"/>
      <c r="L41" s="613"/>
      <c r="M41" s="613"/>
    </row>
    <row r="42" spans="1:16" s="30" customFormat="1" ht="29.95" customHeight="1">
      <c r="A42" s="597"/>
      <c r="B42" s="576"/>
      <c r="C42" s="563"/>
      <c r="D42" s="598"/>
      <c r="E42" s="598"/>
      <c r="F42" s="598"/>
      <c r="G42" s="598"/>
      <c r="H42" s="598"/>
      <c r="I42" s="587"/>
      <c r="K42" s="613"/>
      <c r="L42" s="613"/>
      <c r="M42" s="613"/>
    </row>
    <row r="43" spans="1:16" s="30" customFormat="1" ht="29.95" customHeight="1">
      <c r="A43" s="597"/>
      <c r="B43" s="576"/>
      <c r="C43" s="563"/>
      <c r="D43" s="598"/>
      <c r="E43" s="598"/>
      <c r="F43" s="598"/>
      <c r="G43" s="598"/>
      <c r="H43" s="598"/>
      <c r="I43" s="587"/>
      <c r="K43" s="613"/>
      <c r="L43" s="613"/>
      <c r="M43" s="613"/>
    </row>
    <row r="44" spans="1:16" s="30" customFormat="1" ht="29.95" customHeight="1">
      <c r="A44" s="597"/>
      <c r="B44" s="576"/>
      <c r="C44" s="563"/>
      <c r="D44" s="598"/>
      <c r="E44" s="598"/>
      <c r="F44" s="598"/>
      <c r="G44" s="598"/>
      <c r="H44" s="598"/>
      <c r="I44" s="587"/>
      <c r="K44" s="613"/>
      <c r="L44" s="613"/>
      <c r="M44" s="613"/>
    </row>
    <row r="45" spans="1:16" s="30" customFormat="1" ht="29.95" customHeight="1">
      <c r="A45" s="597"/>
      <c r="B45" s="576"/>
      <c r="C45" s="563"/>
      <c r="D45" s="598"/>
      <c r="E45" s="598"/>
      <c r="F45" s="598"/>
      <c r="G45" s="598"/>
      <c r="H45" s="598"/>
      <c r="I45" s="587"/>
      <c r="K45" s="613"/>
      <c r="L45" s="613"/>
      <c r="M45" s="613"/>
    </row>
    <row r="46" spans="1:16" s="30" customFormat="1" ht="29.95" customHeight="1">
      <c r="A46" s="597"/>
      <c r="B46" s="576"/>
      <c r="C46" s="563"/>
      <c r="D46" s="598"/>
      <c r="E46" s="598"/>
      <c r="F46" s="598"/>
      <c r="G46" s="598"/>
      <c r="H46" s="598"/>
      <c r="I46" s="587"/>
      <c r="K46" s="613"/>
      <c r="L46" s="613"/>
      <c r="M46" s="613"/>
    </row>
    <row r="47" spans="1:16" s="30" customFormat="1" ht="29.95" customHeight="1">
      <c r="A47" s="597"/>
      <c r="B47" s="576"/>
      <c r="C47" s="563"/>
      <c r="D47" s="598"/>
      <c r="E47" s="598"/>
      <c r="F47" s="598"/>
      <c r="G47" s="598"/>
      <c r="H47" s="598"/>
      <c r="I47" s="587"/>
      <c r="K47" s="613"/>
      <c r="L47" s="613"/>
      <c r="M47" s="613"/>
    </row>
    <row r="48" spans="1:16" s="30" customFormat="1" ht="44.2" customHeight="1">
      <c r="A48" s="597"/>
      <c r="B48" s="576"/>
      <c r="C48" s="563"/>
      <c r="D48" s="598"/>
      <c r="E48" s="598"/>
      <c r="F48" s="598"/>
      <c r="G48" s="598"/>
      <c r="H48" s="598"/>
      <c r="I48" s="587"/>
      <c r="K48" s="613"/>
      <c r="L48" s="613"/>
      <c r="M48" s="613"/>
    </row>
    <row r="49" spans="1:13" s="30" customFormat="1" ht="14.4" customHeight="1">
      <c r="A49" s="597"/>
      <c r="B49" s="576"/>
      <c r="C49" s="563"/>
      <c r="D49" s="598"/>
      <c r="E49" s="598"/>
      <c r="F49" s="598"/>
      <c r="G49" s="598"/>
      <c r="H49" s="598"/>
      <c r="I49" s="587"/>
      <c r="K49" s="613"/>
      <c r="L49" s="613"/>
      <c r="M49" s="613"/>
    </row>
    <row r="50" spans="1:13" s="30" customFormat="1" ht="16.55" customHeight="1">
      <c r="A50" s="597"/>
      <c r="B50" s="576"/>
      <c r="C50" s="563"/>
      <c r="D50" s="598"/>
      <c r="E50" s="598"/>
      <c r="F50" s="598"/>
      <c r="G50" s="598"/>
      <c r="H50" s="598"/>
      <c r="I50" s="587"/>
      <c r="K50" s="613"/>
      <c r="L50" s="613"/>
      <c r="M50" s="613"/>
    </row>
    <row r="51" spans="1:13" s="30" customFormat="1" ht="43.2" customHeight="1">
      <c r="A51" s="597"/>
      <c r="B51" s="576"/>
      <c r="C51" s="563"/>
      <c r="D51" s="598"/>
      <c r="E51" s="598"/>
      <c r="F51" s="598"/>
      <c r="G51" s="598"/>
      <c r="H51" s="598"/>
      <c r="I51" s="587"/>
      <c r="K51" s="613"/>
      <c r="L51" s="613"/>
      <c r="M51" s="613"/>
    </row>
    <row r="52" spans="1:13" s="32" customFormat="1" ht="63.85" customHeight="1">
      <c r="A52" s="597"/>
      <c r="B52" s="598"/>
      <c r="C52" s="563"/>
      <c r="D52" s="598"/>
      <c r="E52" s="576"/>
      <c r="F52" s="598"/>
      <c r="G52" s="576"/>
      <c r="H52" s="598"/>
      <c r="I52" s="587"/>
      <c r="K52" s="566"/>
      <c r="L52" s="566"/>
      <c r="M52" s="566"/>
    </row>
    <row r="53" spans="1:13" s="9" customFormat="1" ht="36" customHeight="1" thickBot="1">
      <c r="A53" s="314"/>
      <c r="B53" s="599"/>
      <c r="C53" s="600"/>
      <c r="D53" s="601"/>
      <c r="E53" s="599"/>
      <c r="F53" s="601"/>
      <c r="G53" s="602"/>
      <c r="H53" s="330"/>
      <c r="I53" s="603"/>
      <c r="K53" s="604"/>
      <c r="L53" s="604"/>
      <c r="M53" s="604"/>
    </row>
    <row r="54" spans="1:13" ht="22.95" customHeight="1">
      <c r="A54" s="1044" t="s">
        <v>977</v>
      </c>
      <c r="B54" s="1045"/>
      <c r="C54" s="1045"/>
      <c r="D54" s="1045"/>
      <c r="E54" s="1045"/>
      <c r="F54" s="1045"/>
      <c r="G54" s="1045"/>
      <c r="H54" s="1045"/>
      <c r="I54" s="1045"/>
    </row>
    <row r="55" spans="1:13" ht="15.05">
      <c r="A55" s="624"/>
      <c r="B55" s="625"/>
      <c r="C55" s="626"/>
      <c r="D55" s="625"/>
      <c r="E55" s="627"/>
      <c r="F55" s="625"/>
      <c r="G55" s="625"/>
      <c r="H55" s="625"/>
      <c r="I55" s="625"/>
    </row>
    <row r="56" spans="1:13" ht="15.05">
      <c r="C56" s="628"/>
    </row>
    <row r="57" spans="1:13" ht="15.05">
      <c r="C57" s="628"/>
    </row>
    <row r="58" spans="1:13" ht="15.05">
      <c r="C58" s="628"/>
    </row>
    <row r="59" spans="1:13" ht="15.05">
      <c r="C59" s="628"/>
    </row>
    <row r="60" spans="1:13" ht="15.05">
      <c r="C60" s="628"/>
    </row>
    <row r="61" spans="1:13" ht="15.05">
      <c r="C61" s="628"/>
    </row>
    <row r="62" spans="1:13" ht="15.05">
      <c r="C62" s="628"/>
    </row>
    <row r="63" spans="1:13" ht="15.05">
      <c r="C63" s="628"/>
    </row>
  </sheetData>
  <mergeCells count="10">
    <mergeCell ref="A54:I54"/>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H37"/>
  <sheetViews>
    <sheetView view="pageBreakPreview" zoomScaleNormal="100" zoomScaleSheetLayoutView="100" workbookViewId="0">
      <selection activeCell="B37" sqref="B37"/>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051" t="s">
        <v>62</v>
      </c>
      <c r="B1" s="1051"/>
      <c r="C1" s="1051"/>
      <c r="D1" s="1051"/>
      <c r="E1" s="1051"/>
      <c r="F1" s="1"/>
      <c r="G1" s="1"/>
      <c r="H1" s="1"/>
    </row>
    <row r="2" spans="1:8" s="2" customFormat="1" ht="22.25">
      <c r="A2" s="1051" t="s">
        <v>63</v>
      </c>
      <c r="B2" s="1051"/>
      <c r="C2" s="1051"/>
      <c r="D2" s="1051"/>
      <c r="E2" s="1051"/>
      <c r="F2" s="1"/>
      <c r="G2" s="1"/>
      <c r="H2" s="1"/>
    </row>
    <row r="3" spans="1:8" s="2" customFormat="1" ht="24.75" customHeight="1">
      <c r="A3" s="1052" t="s">
        <v>514</v>
      </c>
      <c r="B3" s="1053"/>
      <c r="C3" s="1053"/>
      <c r="D3" s="1053"/>
      <c r="E3" s="1053"/>
      <c r="F3" s="3"/>
      <c r="G3" s="3"/>
      <c r="H3" s="3"/>
    </row>
    <row r="4" spans="1:8" s="2" customFormat="1" ht="24.9" customHeight="1" thickBot="1">
      <c r="A4" s="1067" t="s">
        <v>1125</v>
      </c>
      <c r="B4" s="1067"/>
      <c r="C4" s="1067"/>
      <c r="D4" s="1067"/>
      <c r="E4" s="1067"/>
      <c r="F4" s="4"/>
      <c r="G4" s="4"/>
      <c r="H4" s="4"/>
    </row>
    <row r="5" spans="1:8">
      <c r="A5" s="1087" t="s">
        <v>64</v>
      </c>
      <c r="B5" s="1090" t="s">
        <v>65</v>
      </c>
      <c r="C5" s="1093" t="s">
        <v>123</v>
      </c>
      <c r="D5" s="1094"/>
      <c r="E5" s="1095"/>
      <c r="F5" s="4"/>
      <c r="G5" s="4"/>
      <c r="H5" s="4"/>
    </row>
    <row r="6" spans="1:8">
      <c r="A6" s="1088"/>
      <c r="B6" s="1091"/>
      <c r="C6" s="1096"/>
      <c r="D6" s="1097"/>
      <c r="E6" s="1098"/>
      <c r="F6" s="4"/>
      <c r="G6" s="4"/>
      <c r="H6" s="4"/>
    </row>
    <row r="7" spans="1:8" ht="12.8" customHeight="1">
      <c r="A7" s="1089"/>
      <c r="B7" s="1092"/>
      <c r="C7" s="1099"/>
      <c r="D7" s="1100"/>
      <c r="E7" s="1101"/>
    </row>
    <row r="8" spans="1:8" ht="5.25" customHeight="1">
      <c r="A8" s="670"/>
      <c r="B8" s="671"/>
      <c r="C8" s="84"/>
      <c r="D8" s="134"/>
      <c r="E8" s="87"/>
    </row>
    <row r="9" spans="1:8" s="9" customFormat="1" ht="18.850000000000001" customHeight="1">
      <c r="A9" s="371" t="s">
        <v>67</v>
      </c>
      <c r="B9" s="136"/>
      <c r="C9" s="137"/>
      <c r="D9" s="138"/>
      <c r="E9" s="139"/>
    </row>
    <row r="10" spans="1:8" s="30" customFormat="1" ht="18.850000000000001" customHeight="1">
      <c r="A10" s="68" t="s">
        <v>481</v>
      </c>
      <c r="B10" s="187">
        <v>0</v>
      </c>
      <c r="C10" s="141"/>
      <c r="D10" s="142"/>
      <c r="E10" s="139"/>
    </row>
    <row r="11" spans="1:8" s="30" customFormat="1" ht="23.25" customHeight="1">
      <c r="A11" s="68" t="s">
        <v>493</v>
      </c>
      <c r="B11" s="31">
        <f>-D11+D12</f>
        <v>-2004299</v>
      </c>
      <c r="C11" s="672" t="s">
        <v>538</v>
      </c>
      <c r="D11" s="669">
        <v>2004299</v>
      </c>
      <c r="E11" s="673" t="s">
        <v>68</v>
      </c>
    </row>
    <row r="12" spans="1:8" s="30" customFormat="1" ht="20.3" hidden="1" customHeight="1">
      <c r="A12" s="68"/>
      <c r="B12" s="67"/>
      <c r="C12" s="672" t="s">
        <v>482</v>
      </c>
      <c r="D12" s="658">
        <v>0</v>
      </c>
      <c r="E12" s="673" t="s">
        <v>68</v>
      </c>
    </row>
    <row r="13" spans="1:8" s="30" customFormat="1" ht="23.25" customHeight="1">
      <c r="A13" s="68" t="s">
        <v>543</v>
      </c>
      <c r="B13" s="31">
        <f>+B10+B11</f>
        <v>-2004299</v>
      </c>
      <c r="C13" s="141"/>
      <c r="D13" s="142"/>
      <c r="E13" s="139"/>
    </row>
    <row r="14" spans="1:8" s="30" customFormat="1" ht="21.8" customHeight="1">
      <c r="A14" s="140" t="s">
        <v>771</v>
      </c>
      <c r="B14" s="143">
        <f>D14+D15+D17+D16+D18+D19</f>
        <v>6138224</v>
      </c>
      <c r="C14" s="672" t="s">
        <v>483</v>
      </c>
      <c r="D14" s="669">
        <v>40128</v>
      </c>
      <c r="E14" s="673" t="s">
        <v>68</v>
      </c>
      <c r="F14" s="35"/>
    </row>
    <row r="15" spans="1:8" s="30" customFormat="1" ht="4.5999999999999996" customHeight="1">
      <c r="A15" s="68"/>
      <c r="B15" s="143"/>
      <c r="C15" s="672" t="s">
        <v>484</v>
      </c>
      <c r="D15" s="658"/>
      <c r="E15" s="673" t="s">
        <v>68</v>
      </c>
      <c r="F15" s="35"/>
    </row>
    <row r="16" spans="1:8" s="9" customFormat="1" ht="28.5" customHeight="1">
      <c r="A16" s="68"/>
      <c r="B16" s="143"/>
      <c r="C16" s="672" t="s">
        <v>559</v>
      </c>
      <c r="D16" s="669">
        <v>5527767</v>
      </c>
      <c r="E16" s="673" t="s">
        <v>68</v>
      </c>
    </row>
    <row r="17" spans="1:8" s="9" customFormat="1" ht="24.75" customHeight="1">
      <c r="A17" s="68"/>
      <c r="B17" s="143"/>
      <c r="C17" s="672" t="s">
        <v>571</v>
      </c>
      <c r="D17" s="669">
        <v>506</v>
      </c>
      <c r="E17" s="673" t="s">
        <v>68</v>
      </c>
    </row>
    <row r="18" spans="1:8" s="30" customFormat="1" ht="31.95" customHeight="1">
      <c r="A18" s="68" t="s">
        <v>69</v>
      </c>
      <c r="B18" s="31"/>
      <c r="C18" s="672" t="s">
        <v>541</v>
      </c>
      <c r="D18" s="669">
        <v>569823</v>
      </c>
      <c r="E18" s="673" t="s">
        <v>68</v>
      </c>
      <c r="F18" s="36"/>
      <c r="H18" s="10"/>
    </row>
    <row r="19" spans="1:8" s="9" customFormat="1" ht="32.4" hidden="1" customHeight="1">
      <c r="A19" s="68" t="s">
        <v>69</v>
      </c>
      <c r="B19" s="31"/>
      <c r="C19" s="672" t="s">
        <v>534</v>
      </c>
      <c r="D19" s="669">
        <v>0</v>
      </c>
      <c r="E19" s="673" t="s">
        <v>68</v>
      </c>
    </row>
    <row r="20" spans="1:8" s="30" customFormat="1" ht="27" customHeight="1">
      <c r="A20" s="68" t="s">
        <v>544</v>
      </c>
      <c r="B20" s="31">
        <f>+B13+B14</f>
        <v>4133925</v>
      </c>
      <c r="C20" s="141"/>
      <c r="D20" s="142"/>
      <c r="E20" s="139"/>
    </row>
    <row r="21" spans="1:8" s="30" customFormat="1" ht="23.4" customHeight="1">
      <c r="A21" s="68" t="s">
        <v>542</v>
      </c>
      <c r="B21" s="31">
        <v>42</v>
      </c>
      <c r="C21" s="1305" t="s">
        <v>1209</v>
      </c>
      <c r="D21" s="1103"/>
      <c r="E21" s="1104"/>
    </row>
    <row r="22" spans="1:8" s="9" customFormat="1" ht="23.25" customHeight="1">
      <c r="A22" s="371" t="s">
        <v>487</v>
      </c>
      <c r="B22" s="27">
        <f>+B20+B21</f>
        <v>4133967</v>
      </c>
      <c r="C22" s="372"/>
      <c r="D22" s="373"/>
      <c r="E22" s="673"/>
    </row>
    <row r="23" spans="1:8" s="9" customFormat="1" ht="23.4" customHeight="1">
      <c r="A23" s="371" t="s">
        <v>70</v>
      </c>
      <c r="B23" s="27"/>
      <c r="C23" s="374"/>
      <c r="D23" s="375"/>
      <c r="E23" s="376"/>
    </row>
    <row r="24" spans="1:8" s="9" customFormat="1" ht="29.95" hidden="1" customHeight="1">
      <c r="A24" s="68" t="s">
        <v>71</v>
      </c>
      <c r="B24" s="31">
        <v>0</v>
      </c>
      <c r="C24" s="1084"/>
      <c r="D24" s="1085"/>
      <c r="E24" s="1086"/>
    </row>
    <row r="25" spans="1:8" s="9" customFormat="1" ht="25.55" customHeight="1">
      <c r="A25" s="68" t="s">
        <v>542</v>
      </c>
      <c r="B25" s="31">
        <v>2002682</v>
      </c>
      <c r="C25" s="1102" t="s">
        <v>1210</v>
      </c>
      <c r="D25" s="1103"/>
      <c r="E25" s="1104"/>
    </row>
    <row r="26" spans="1:8" s="9" customFormat="1" ht="33.049999999999997" customHeight="1">
      <c r="A26" s="68" t="s">
        <v>72</v>
      </c>
      <c r="B26" s="31">
        <v>-883226</v>
      </c>
      <c r="C26" s="1084" t="s">
        <v>1211</v>
      </c>
      <c r="D26" s="1085"/>
      <c r="E26" s="1086"/>
    </row>
    <row r="27" spans="1:8" s="9" customFormat="1" ht="42.55" customHeight="1">
      <c r="A27" s="68" t="s">
        <v>73</v>
      </c>
      <c r="B27" s="31">
        <v>-5228248</v>
      </c>
      <c r="C27" s="1102" t="s">
        <v>1212</v>
      </c>
      <c r="D27" s="1103"/>
      <c r="E27" s="1104"/>
    </row>
    <row r="28" spans="1:8" s="9" customFormat="1" ht="29.95" hidden="1" customHeight="1">
      <c r="A28" s="68" t="s">
        <v>74</v>
      </c>
      <c r="B28" s="31">
        <v>0</v>
      </c>
      <c r="C28" s="1084" t="s">
        <v>75</v>
      </c>
      <c r="D28" s="1085"/>
      <c r="E28" s="1086"/>
    </row>
    <row r="29" spans="1:8" s="9" customFormat="1" ht="24.05" customHeight="1">
      <c r="A29" s="371" t="s">
        <v>568</v>
      </c>
      <c r="B29" s="27">
        <f>SUM(B24:B28)</f>
        <v>-4108792</v>
      </c>
      <c r="C29" s="372"/>
      <c r="D29" s="373"/>
      <c r="E29" s="376"/>
    </row>
    <row r="30" spans="1:8" s="9" customFormat="1" ht="26.35" customHeight="1">
      <c r="A30" s="371" t="s">
        <v>516</v>
      </c>
      <c r="B30" s="144"/>
      <c r="C30" s="377"/>
      <c r="D30" s="378"/>
      <c r="E30" s="376"/>
    </row>
    <row r="31" spans="1:8" s="390" customFormat="1" ht="36" hidden="1" customHeight="1">
      <c r="A31" s="68" t="s">
        <v>489</v>
      </c>
      <c r="B31" s="31">
        <v>0</v>
      </c>
      <c r="C31" s="1102" t="s">
        <v>517</v>
      </c>
      <c r="D31" s="1103"/>
      <c r="E31" s="1104"/>
    </row>
    <row r="32" spans="1:8" s="390" customFormat="1" ht="34.200000000000003" hidden="1" customHeight="1">
      <c r="A32" s="68" t="s">
        <v>490</v>
      </c>
      <c r="B32" s="31">
        <v>0</v>
      </c>
      <c r="C32" s="1305" t="s">
        <v>1213</v>
      </c>
      <c r="D32" s="1103"/>
      <c r="E32" s="1104"/>
    </row>
    <row r="33" spans="1:5" s="390" customFormat="1" ht="24.75" hidden="1" customHeight="1">
      <c r="A33" s="68" t="s">
        <v>491</v>
      </c>
      <c r="B33" s="31">
        <v>0</v>
      </c>
      <c r="C33" s="1102" t="s">
        <v>518</v>
      </c>
      <c r="D33" s="1103"/>
      <c r="E33" s="1104"/>
    </row>
    <row r="34" spans="1:5" s="9" customFormat="1" ht="29.95" customHeight="1">
      <c r="A34" s="371" t="s">
        <v>569</v>
      </c>
      <c r="B34" s="144">
        <f>SUM(B31:B33)</f>
        <v>0</v>
      </c>
      <c r="C34" s="379"/>
      <c r="D34" s="380"/>
      <c r="E34" s="381"/>
    </row>
    <row r="35" spans="1:5" s="9" customFormat="1" ht="29" customHeight="1">
      <c r="A35" s="371" t="s">
        <v>570</v>
      </c>
      <c r="B35" s="77">
        <f>B22+B29+B34</f>
        <v>25175</v>
      </c>
      <c r="C35" s="382"/>
      <c r="D35" s="383"/>
      <c r="E35" s="384"/>
    </row>
    <row r="36" spans="1:5" s="9" customFormat="1" ht="28.15" customHeight="1">
      <c r="A36" s="371" t="s">
        <v>76</v>
      </c>
      <c r="B36" s="77">
        <v>3668072</v>
      </c>
      <c r="C36" s="382"/>
      <c r="D36" s="383"/>
      <c r="E36" s="384"/>
    </row>
    <row r="37" spans="1:5" s="9" customFormat="1" ht="97.2" customHeight="1" thickBot="1">
      <c r="A37" s="385" t="s">
        <v>77</v>
      </c>
      <c r="B37" s="145">
        <f>+B35+B36</f>
        <v>3693247</v>
      </c>
      <c r="C37" s="386"/>
      <c r="D37" s="387"/>
      <c r="E37" s="388"/>
    </row>
  </sheetData>
  <mergeCells count="16">
    <mergeCell ref="C32:E32"/>
    <mergeCell ref="C33:E33"/>
    <mergeCell ref="C24:E24"/>
    <mergeCell ref="C25:E25"/>
    <mergeCell ref="C26:E26"/>
    <mergeCell ref="C27:E27"/>
    <mergeCell ref="C28:E28"/>
    <mergeCell ref="C31:E31"/>
    <mergeCell ref="C21:E21"/>
    <mergeCell ref="A1:E1"/>
    <mergeCell ref="A2:E2"/>
    <mergeCell ref="A3:E3"/>
    <mergeCell ref="A4:E4"/>
    <mergeCell ref="A5:A7"/>
    <mergeCell ref="B5:B7"/>
    <mergeCell ref="C5:E7"/>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E33"/>
  <sheetViews>
    <sheetView view="pageBreakPreview" zoomScaleNormal="100" zoomScaleSheetLayoutView="100" workbookViewId="0">
      <selection activeCell="D31" sqref="D31"/>
    </sheetView>
  </sheetViews>
  <sheetFormatPr defaultColWidth="9" defaultRowHeight="16.399999999999999"/>
  <cols>
    <col min="1" max="1" width="15.375" style="6" customWidth="1"/>
    <col min="2" max="2" width="30.875" style="475" customWidth="1"/>
    <col min="3" max="3" width="15.5" style="6" customWidth="1"/>
    <col min="4" max="4" width="15.25" style="19" customWidth="1"/>
    <col min="5" max="5" width="13.125" style="6" customWidth="1"/>
    <col min="6" max="16384" width="9" style="6"/>
  </cols>
  <sheetData>
    <row r="1" spans="1:5" ht="22.25">
      <c r="A1" s="1051" t="s">
        <v>414</v>
      </c>
      <c r="B1" s="1051"/>
      <c r="C1" s="1051"/>
      <c r="D1" s="1051"/>
      <c r="E1" s="1051"/>
    </row>
    <row r="2" spans="1:5" ht="22.25">
      <c r="A2" s="1051" t="s">
        <v>415</v>
      </c>
      <c r="B2" s="1051"/>
      <c r="C2" s="1051"/>
      <c r="D2" s="1051"/>
      <c r="E2" s="1051"/>
    </row>
    <row r="3" spans="1:5" ht="24.75" customHeight="1">
      <c r="A3" s="1053" t="s">
        <v>416</v>
      </c>
      <c r="B3" s="1053"/>
      <c r="C3" s="1053"/>
      <c r="D3" s="1053"/>
      <c r="E3" s="1053"/>
    </row>
    <row r="4" spans="1:5" ht="24.75" customHeight="1" thickBot="1">
      <c r="A4" s="1067" t="s">
        <v>1126</v>
      </c>
      <c r="B4" s="1067"/>
      <c r="C4" s="1067"/>
      <c r="D4" s="1067"/>
      <c r="E4" s="1067"/>
    </row>
    <row r="5" spans="1:5" ht="15.75" customHeight="1">
      <c r="A5" s="1235" t="s">
        <v>1129</v>
      </c>
      <c r="B5" s="1308" t="s">
        <v>417</v>
      </c>
      <c r="C5" s="1244" t="s">
        <v>1127</v>
      </c>
      <c r="D5" s="1244" t="s">
        <v>1128</v>
      </c>
      <c r="E5" s="1241" t="s">
        <v>936</v>
      </c>
    </row>
    <row r="6" spans="1:5" ht="15.75" customHeight="1">
      <c r="A6" s="1236"/>
      <c r="B6" s="1309"/>
      <c r="C6" s="1245"/>
      <c r="D6" s="1245"/>
      <c r="E6" s="1242"/>
    </row>
    <row r="7" spans="1:5" ht="15.75" customHeight="1">
      <c r="A7" s="1237"/>
      <c r="B7" s="1310"/>
      <c r="C7" s="1246"/>
      <c r="D7" s="1246"/>
      <c r="E7" s="1243"/>
    </row>
    <row r="8" spans="1:5" ht="8.1999999999999993" customHeight="1">
      <c r="A8" s="24"/>
      <c r="B8" s="612"/>
      <c r="C8" s="552"/>
      <c r="D8" s="553"/>
      <c r="E8" s="113"/>
    </row>
    <row r="9" spans="1:5" s="30" customFormat="1" ht="24.25" customHeight="1">
      <c r="A9" s="114">
        <v>138934388</v>
      </c>
      <c r="B9" s="115" t="s">
        <v>418</v>
      </c>
      <c r="C9" s="116">
        <f>C10+C14+C18+C16</f>
        <v>150587469</v>
      </c>
      <c r="D9" s="116">
        <f>D10+D14+D18+D16</f>
        <v>145059702</v>
      </c>
      <c r="E9" s="117">
        <f>E10+E14+E18+E16</f>
        <v>5527767</v>
      </c>
    </row>
    <row r="10" spans="1:5" s="30" customFormat="1" ht="24.25" customHeight="1">
      <c r="A10" s="114">
        <v>72763038</v>
      </c>
      <c r="B10" s="118" t="s">
        <v>419</v>
      </c>
      <c r="C10" s="116">
        <f>SUM(C11:C13)</f>
        <v>53669740</v>
      </c>
      <c r="D10" s="116">
        <f>SUM(D11:D13)</f>
        <v>53388428</v>
      </c>
      <c r="E10" s="117">
        <f>SUM(E11:E13)</f>
        <v>281312</v>
      </c>
    </row>
    <row r="11" spans="1:5" s="9" customFormat="1" ht="24.25" customHeight="1">
      <c r="A11" s="119">
        <v>4346588</v>
      </c>
      <c r="B11" s="120" t="s">
        <v>420</v>
      </c>
      <c r="C11" s="121">
        <v>3693247</v>
      </c>
      <c r="D11" s="121">
        <v>3668072</v>
      </c>
      <c r="E11" s="122">
        <f>C11-D11</f>
        <v>25175</v>
      </c>
    </row>
    <row r="12" spans="1:5" s="9" customFormat="1" ht="24.25" customHeight="1">
      <c r="A12" s="119">
        <v>62706896</v>
      </c>
      <c r="B12" s="120" t="s">
        <v>421</v>
      </c>
      <c r="C12" s="121">
        <v>44927197</v>
      </c>
      <c r="D12" s="121">
        <v>44043971</v>
      </c>
      <c r="E12" s="122">
        <f t="shared" ref="E12:E13" si="0">C12-D12</f>
        <v>883226</v>
      </c>
    </row>
    <row r="13" spans="1:5" s="9" customFormat="1" ht="24.25" customHeight="1">
      <c r="A13" s="119">
        <v>5709555</v>
      </c>
      <c r="B13" s="120" t="s">
        <v>422</v>
      </c>
      <c r="C13" s="121">
        <v>5049296</v>
      </c>
      <c r="D13" s="121">
        <v>5676385</v>
      </c>
      <c r="E13" s="122">
        <f t="shared" si="0"/>
        <v>-627089</v>
      </c>
    </row>
    <row r="14" spans="1:5" s="30" customFormat="1" ht="24.25" customHeight="1">
      <c r="A14" s="114">
        <v>65917437</v>
      </c>
      <c r="B14" s="123" t="s">
        <v>423</v>
      </c>
      <c r="C14" s="116">
        <f>+C15</f>
        <v>96628765</v>
      </c>
      <c r="D14" s="116">
        <f>+D15</f>
        <v>91400517</v>
      </c>
      <c r="E14" s="117">
        <f>+E15</f>
        <v>5228248</v>
      </c>
    </row>
    <row r="15" spans="1:5" s="9" customFormat="1" ht="24.25" customHeight="1">
      <c r="A15" s="119">
        <v>65917437</v>
      </c>
      <c r="B15" s="120" t="s">
        <v>525</v>
      </c>
      <c r="C15" s="121">
        <v>96628765</v>
      </c>
      <c r="D15" s="121">
        <v>91400517</v>
      </c>
      <c r="E15" s="122">
        <f>C15-D15</f>
        <v>5228248</v>
      </c>
    </row>
    <row r="16" spans="1:5" s="30" customFormat="1" ht="24.25" customHeight="1">
      <c r="A16" s="130">
        <v>1034</v>
      </c>
      <c r="B16" s="118" t="s">
        <v>59</v>
      </c>
      <c r="C16" s="116">
        <f>SUM(C17:C17)</f>
        <v>24</v>
      </c>
      <c r="D16" s="131">
        <f>SUM(D17:D17)</f>
        <v>530</v>
      </c>
      <c r="E16" s="117">
        <f>SUM(E17:E17)</f>
        <v>-506</v>
      </c>
    </row>
    <row r="17" spans="1:5" s="9" customFormat="1" ht="24.25" customHeight="1">
      <c r="A17" s="133">
        <v>1034</v>
      </c>
      <c r="B17" s="120" t="s">
        <v>60</v>
      </c>
      <c r="C17" s="121">
        <v>24</v>
      </c>
      <c r="D17" s="129">
        <v>530</v>
      </c>
      <c r="E17" s="122">
        <f>C17-D17</f>
        <v>-506</v>
      </c>
    </row>
    <row r="18" spans="1:5" s="30" customFormat="1" ht="24.25" customHeight="1">
      <c r="A18" s="114">
        <v>252878</v>
      </c>
      <c r="B18" s="118" t="s">
        <v>424</v>
      </c>
      <c r="C18" s="116">
        <f>SUM(C19:C19)</f>
        <v>288940</v>
      </c>
      <c r="D18" s="116">
        <f>SUM(D19:D19)</f>
        <v>270227</v>
      </c>
      <c r="E18" s="117">
        <f>SUM(E19:E19)</f>
        <v>18713</v>
      </c>
    </row>
    <row r="19" spans="1:5" s="9" customFormat="1" ht="24.25" customHeight="1">
      <c r="A19" s="119">
        <v>252878</v>
      </c>
      <c r="B19" s="120" t="s">
        <v>23</v>
      </c>
      <c r="C19" s="121">
        <v>288940</v>
      </c>
      <c r="D19" s="121">
        <v>270227</v>
      </c>
      <c r="E19" s="122">
        <f>C19-D19</f>
        <v>18713</v>
      </c>
    </row>
    <row r="20" spans="1:5" s="30" customFormat="1" ht="36" customHeight="1">
      <c r="A20" s="114">
        <v>138934388</v>
      </c>
      <c r="B20" s="115" t="s">
        <v>38</v>
      </c>
      <c r="C20" s="116">
        <f>C9</f>
        <v>150587469</v>
      </c>
      <c r="D20" s="116">
        <f>D9</f>
        <v>145059702</v>
      </c>
      <c r="E20" s="117">
        <f>E9</f>
        <v>5527767</v>
      </c>
    </row>
    <row r="21" spans="1:5" s="30" customFormat="1" ht="24.25" customHeight="1">
      <c r="A21" s="114">
        <v>138934388</v>
      </c>
      <c r="B21" s="115" t="s">
        <v>20</v>
      </c>
      <c r="C21" s="116">
        <f>C22+C25</f>
        <v>150587469</v>
      </c>
      <c r="D21" s="116">
        <f>D22+D25</f>
        <v>145059702</v>
      </c>
      <c r="E21" s="117">
        <f>E22+E25</f>
        <v>5527767</v>
      </c>
    </row>
    <row r="22" spans="1:5" s="30" customFormat="1" ht="24.25" customHeight="1">
      <c r="A22" s="114">
        <v>2685</v>
      </c>
      <c r="B22" s="118" t="s">
        <v>425</v>
      </c>
      <c r="C22" s="116">
        <f>SUM(C23:C24)</f>
        <v>2686</v>
      </c>
      <c r="D22" s="116">
        <f>SUM(D23:D24)</f>
        <v>2686</v>
      </c>
      <c r="E22" s="997">
        <f>SUM(E23:E24)</f>
        <v>0</v>
      </c>
    </row>
    <row r="23" spans="1:5" s="9" customFormat="1" ht="24.25" customHeight="1">
      <c r="A23" s="119">
        <v>21</v>
      </c>
      <c r="B23" s="120" t="s">
        <v>24</v>
      </c>
      <c r="C23" s="121">
        <v>22</v>
      </c>
      <c r="D23" s="121">
        <v>22</v>
      </c>
      <c r="E23" s="132">
        <f>C23-D23</f>
        <v>0</v>
      </c>
    </row>
    <row r="24" spans="1:5" s="9" customFormat="1" ht="24.25" customHeight="1">
      <c r="A24" s="119">
        <v>2664</v>
      </c>
      <c r="B24" s="120" t="s">
        <v>25</v>
      </c>
      <c r="C24" s="121">
        <v>2664</v>
      </c>
      <c r="D24" s="121">
        <v>2664</v>
      </c>
      <c r="E24" s="132">
        <f>C24-D24</f>
        <v>0</v>
      </c>
    </row>
    <row r="25" spans="1:5" s="30" customFormat="1" ht="24.25" customHeight="1">
      <c r="A25" s="114">
        <v>138931703</v>
      </c>
      <c r="B25" s="123" t="s">
        <v>426</v>
      </c>
      <c r="C25" s="116">
        <f>SUM(C26:C27)</f>
        <v>150584783</v>
      </c>
      <c r="D25" s="116">
        <f>SUM(D26:D27)</f>
        <v>145057016</v>
      </c>
      <c r="E25" s="117">
        <f>SUM(E26:E27)</f>
        <v>5527767</v>
      </c>
    </row>
    <row r="26" spans="1:5" s="9" customFormat="1" ht="24.25" customHeight="1">
      <c r="A26" s="119">
        <v>138930438</v>
      </c>
      <c r="B26" s="120" t="s">
        <v>26</v>
      </c>
      <c r="C26" s="121">
        <v>150583518</v>
      </c>
      <c r="D26" s="121">
        <v>145055751</v>
      </c>
      <c r="E26" s="122">
        <f>C26-D26</f>
        <v>5527767</v>
      </c>
    </row>
    <row r="27" spans="1:5" s="9" customFormat="1" ht="24.25" customHeight="1">
      <c r="A27" s="119">
        <v>1265</v>
      </c>
      <c r="B27" s="120" t="s">
        <v>27</v>
      </c>
      <c r="C27" s="121">
        <v>1265</v>
      </c>
      <c r="D27" s="121">
        <v>1265</v>
      </c>
      <c r="E27" s="132">
        <f>C27-D27</f>
        <v>0</v>
      </c>
    </row>
    <row r="28" spans="1:5" s="30" customFormat="1" ht="24.25" customHeight="1">
      <c r="A28" s="130">
        <f>A29</f>
        <v>0</v>
      </c>
      <c r="B28" s="115" t="s">
        <v>427</v>
      </c>
      <c r="C28" s="129">
        <f t="shared" ref="C28:E29" si="1">C29</f>
        <v>0</v>
      </c>
      <c r="D28" s="129">
        <f t="shared" si="1"/>
        <v>0</v>
      </c>
      <c r="E28" s="124">
        <f t="shared" si="1"/>
        <v>0</v>
      </c>
    </row>
    <row r="29" spans="1:5" s="30" customFormat="1" ht="28.15" customHeight="1">
      <c r="A29" s="130">
        <v>0</v>
      </c>
      <c r="B29" s="118" t="s">
        <v>554</v>
      </c>
      <c r="C29" s="131">
        <f t="shared" si="1"/>
        <v>0</v>
      </c>
      <c r="D29" s="131">
        <f t="shared" si="1"/>
        <v>0</v>
      </c>
      <c r="E29" s="132">
        <f t="shared" si="1"/>
        <v>0</v>
      </c>
    </row>
    <row r="30" spans="1:5" s="9" customFormat="1" ht="33.049999999999997" customHeight="1">
      <c r="A30" s="133">
        <v>0</v>
      </c>
      <c r="B30" s="120" t="s">
        <v>28</v>
      </c>
      <c r="C30" s="129">
        <v>0</v>
      </c>
      <c r="D30" s="129">
        <v>0</v>
      </c>
      <c r="E30" s="124">
        <v>0</v>
      </c>
    </row>
    <row r="31" spans="1:5" s="30" customFormat="1" ht="36" customHeight="1" thickBot="1">
      <c r="A31" s="125">
        <v>138934388</v>
      </c>
      <c r="B31" s="126" t="s">
        <v>38</v>
      </c>
      <c r="C31" s="127">
        <f>C21+C28</f>
        <v>150587469</v>
      </c>
      <c r="D31" s="127">
        <f>D21+D28</f>
        <v>145059702</v>
      </c>
      <c r="E31" s="128">
        <f>E21+E28</f>
        <v>5527767</v>
      </c>
    </row>
    <row r="32" spans="1:5" s="30" customFormat="1" ht="12.8" customHeight="1">
      <c r="A32" s="740"/>
      <c r="B32" s="115"/>
      <c r="C32" s="740"/>
      <c r="D32" s="740"/>
      <c r="E32" s="740"/>
    </row>
    <row r="33" spans="1:5" s="201" customFormat="1" ht="18" customHeight="1">
      <c r="A33" s="1311" t="s">
        <v>1204</v>
      </c>
      <c r="B33" s="1311"/>
      <c r="C33" s="1311"/>
      <c r="D33" s="1311"/>
      <c r="E33" s="1311"/>
    </row>
  </sheetData>
  <mergeCells count="10">
    <mergeCell ref="A33:E33"/>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N63"/>
  <sheetViews>
    <sheetView view="pageBreakPreview" zoomScaleNormal="100" zoomScaleSheetLayoutView="100" workbookViewId="0">
      <pane xSplit="7" ySplit="7" topLeftCell="H8" activePane="bottomRight" state="frozen"/>
      <selection activeCell="C1" sqref="C1:C1048576"/>
      <selection pane="topRight" activeCell="C1" sqref="C1:C1048576"/>
      <selection pane="bottomLeft" activeCell="C1" sqref="C1:C1048576"/>
      <selection pane="bottomRight" activeCell="Q38" sqref="Q38"/>
    </sheetView>
  </sheetViews>
  <sheetFormatPr defaultColWidth="9" defaultRowHeight="16.399999999999999"/>
  <cols>
    <col min="1" max="1" width="10.5" style="2" customWidth="1"/>
    <col min="2" max="2" width="6.625" style="2" customWidth="1"/>
    <col min="3" max="3" width="20.625" style="611" customWidth="1"/>
    <col min="4" max="4" width="10.5" style="2" customWidth="1"/>
    <col min="5" max="5" width="6.625" style="288" customWidth="1"/>
    <col min="6" max="6" width="10.5" style="2" customWidth="1"/>
    <col min="7" max="7" width="7.75" style="2" customWidth="1"/>
    <col min="8" max="8" width="10.5" style="2" customWidth="1"/>
    <col min="9" max="9" width="6.625" style="2" customWidth="1"/>
    <col min="10" max="10" width="9" style="2"/>
    <col min="11" max="12" width="11.25" style="2" hidden="1" customWidth="1"/>
    <col min="13" max="13" width="11" style="2" hidden="1" customWidth="1"/>
    <col min="14" max="16384" width="9" style="2"/>
  </cols>
  <sheetData>
    <row r="1" spans="1:13" ht="20.95" customHeight="1">
      <c r="A1" s="1051" t="s">
        <v>62</v>
      </c>
      <c r="B1" s="1051"/>
      <c r="C1" s="1051"/>
      <c r="D1" s="1051"/>
      <c r="E1" s="1051"/>
      <c r="F1" s="1051"/>
      <c r="G1" s="1051"/>
      <c r="H1" s="1051"/>
      <c r="I1" s="1051"/>
    </row>
    <row r="2" spans="1:13" ht="20.95" customHeight="1">
      <c r="A2" s="1051" t="s">
        <v>63</v>
      </c>
      <c r="B2" s="1051"/>
      <c r="C2" s="1051"/>
      <c r="D2" s="1051"/>
      <c r="E2" s="1051"/>
      <c r="F2" s="1051"/>
      <c r="G2" s="1051"/>
      <c r="H2" s="1051"/>
      <c r="I2" s="1051"/>
    </row>
    <row r="3" spans="1:13" ht="24.9" customHeight="1">
      <c r="A3" s="1053" t="s">
        <v>1042</v>
      </c>
      <c r="B3" s="1053"/>
      <c r="C3" s="1053"/>
      <c r="D3" s="1053"/>
      <c r="E3" s="1053"/>
      <c r="F3" s="1053"/>
      <c r="G3" s="1053"/>
      <c r="H3" s="1053"/>
      <c r="I3" s="1053"/>
    </row>
    <row r="4" spans="1:13" ht="24.9" customHeight="1" thickBot="1">
      <c r="A4" s="1055" t="s">
        <v>1131</v>
      </c>
      <c r="B4" s="1055"/>
      <c r="C4" s="1055"/>
      <c r="D4" s="1055"/>
      <c r="E4" s="1055"/>
      <c r="F4" s="1055"/>
      <c r="G4" s="1055"/>
      <c r="H4" s="1055"/>
      <c r="I4" s="1055"/>
    </row>
    <row r="5" spans="1:13" ht="20.95" customHeight="1">
      <c r="A5" s="1302" t="s">
        <v>345</v>
      </c>
      <c r="B5" s="1057"/>
      <c r="C5" s="1058" t="s">
        <v>16</v>
      </c>
      <c r="D5" s="1057" t="s">
        <v>346</v>
      </c>
      <c r="E5" s="1057"/>
      <c r="F5" s="1057" t="s">
        <v>347</v>
      </c>
      <c r="G5" s="1057"/>
      <c r="H5" s="1058" t="s">
        <v>938</v>
      </c>
      <c r="I5" s="1060"/>
    </row>
    <row r="6" spans="1:13" ht="19.5" customHeight="1">
      <c r="A6" s="554" t="s">
        <v>413</v>
      </c>
      <c r="B6" s="932" t="s">
        <v>349</v>
      </c>
      <c r="C6" s="1303"/>
      <c r="D6" s="932" t="s">
        <v>413</v>
      </c>
      <c r="E6" s="556" t="s">
        <v>349</v>
      </c>
      <c r="F6" s="932" t="s">
        <v>413</v>
      </c>
      <c r="G6" s="932" t="s">
        <v>349</v>
      </c>
      <c r="H6" s="932" t="s">
        <v>413</v>
      </c>
      <c r="I6" s="557" t="s">
        <v>349</v>
      </c>
    </row>
    <row r="7" spans="1:13" ht="8.1999999999999993" customHeight="1">
      <c r="A7" s="558"/>
      <c r="B7" s="167"/>
      <c r="C7" s="166"/>
      <c r="D7" s="167"/>
      <c r="E7" s="560"/>
      <c r="F7" s="167"/>
      <c r="G7" s="167"/>
      <c r="H7" s="167"/>
      <c r="I7" s="561"/>
    </row>
    <row r="8" spans="1:13" s="30" customFormat="1" ht="27" customHeight="1">
      <c r="A8" s="311">
        <v>7462223</v>
      </c>
      <c r="B8" s="562">
        <v>100</v>
      </c>
      <c r="C8" s="563" t="s">
        <v>17</v>
      </c>
      <c r="D8" s="564">
        <f>D13+D17+D9</f>
        <v>6952583</v>
      </c>
      <c r="E8" s="562">
        <v>100</v>
      </c>
      <c r="F8" s="564">
        <f>F13+F17+F9</f>
        <v>7197741</v>
      </c>
      <c r="G8" s="562">
        <v>100</v>
      </c>
      <c r="H8" s="565">
        <f t="shared" ref="H8:H43" si="0">D8-F8</f>
        <v>-245158</v>
      </c>
      <c r="I8" s="326">
        <f t="shared" ref="I8:I37" si="1">ROUND(H8/F8*100,2)</f>
        <v>-3.41</v>
      </c>
      <c r="K8" s="629">
        <f t="shared" ref="K8:K43" si="2">ROUND(A8/$A$8*100,4)</f>
        <v>100</v>
      </c>
      <c r="L8" s="629">
        <f t="shared" ref="L8:L43" si="3">ROUND(D8/$D$8*100,4)</f>
        <v>100</v>
      </c>
      <c r="M8" s="629">
        <f t="shared" ref="M8:M43" si="4">ROUND(F8/$F$8*100,4)</f>
        <v>100</v>
      </c>
    </row>
    <row r="9" spans="1:13" s="30" customFormat="1" ht="27" customHeight="1">
      <c r="A9" s="311">
        <v>185</v>
      </c>
      <c r="B9" s="567">
        <f>ROUND(A9/$A$8*100,2)</f>
        <v>0</v>
      </c>
      <c r="C9" s="563" t="s">
        <v>171</v>
      </c>
      <c r="D9" s="564">
        <f>D10</f>
        <v>204</v>
      </c>
      <c r="E9" s="567">
        <f>ROUND(D9/$D$8*100,2)</f>
        <v>0</v>
      </c>
      <c r="F9" s="564">
        <f>F10</f>
        <v>180</v>
      </c>
      <c r="G9" s="367">
        <f>ROUND(F9/$D$8*100,2)</f>
        <v>0</v>
      </c>
      <c r="H9" s="325">
        <f t="shared" si="0"/>
        <v>24</v>
      </c>
      <c r="I9" s="996">
        <f t="shared" si="1"/>
        <v>13.33</v>
      </c>
      <c r="K9" s="629">
        <f t="shared" si="2"/>
        <v>2.5000000000000001E-3</v>
      </c>
      <c r="L9" s="629">
        <f t="shared" si="3"/>
        <v>2.8999999999999998E-3</v>
      </c>
      <c r="M9" s="629">
        <f t="shared" si="4"/>
        <v>2.5000000000000001E-3</v>
      </c>
    </row>
    <row r="10" spans="1:13" s="9" customFormat="1" ht="27" customHeight="1">
      <c r="A10" s="568">
        <v>185</v>
      </c>
      <c r="B10" s="367">
        <f t="shared" ref="B10" si="5">ROUND(A10/$A$8*100,2)</f>
        <v>0</v>
      </c>
      <c r="C10" s="570" t="s">
        <v>173</v>
      </c>
      <c r="D10" s="574">
        <f>+D11+D12</f>
        <v>204</v>
      </c>
      <c r="E10" s="367">
        <f t="shared" ref="E10" si="6">ROUND(D10/$D$8*100,2)</f>
        <v>0</v>
      </c>
      <c r="F10" s="574">
        <f>+F11+F12</f>
        <v>180</v>
      </c>
      <c r="G10" s="367">
        <f t="shared" ref="G10:G12" si="7">ROUND(F10/$D$8*100,2)</f>
        <v>0</v>
      </c>
      <c r="H10" s="321">
        <f t="shared" si="0"/>
        <v>24</v>
      </c>
      <c r="I10" s="984">
        <f t="shared" si="1"/>
        <v>13.33</v>
      </c>
      <c r="K10" s="604">
        <f t="shared" si="2"/>
        <v>2.5000000000000001E-3</v>
      </c>
      <c r="L10" s="604">
        <f t="shared" si="3"/>
        <v>2.8999999999999998E-3</v>
      </c>
      <c r="M10" s="604">
        <f t="shared" si="4"/>
        <v>2.5000000000000001E-3</v>
      </c>
    </row>
    <row r="11" spans="1:13" s="911" customFormat="1" ht="27" customHeight="1">
      <c r="A11" s="568">
        <v>185</v>
      </c>
      <c r="B11" s="367">
        <f t="shared" ref="B11" si="8">ROUND(A11/$A$8*100,2)</f>
        <v>0</v>
      </c>
      <c r="C11" s="570" t="s">
        <v>1025</v>
      </c>
      <c r="D11" s="574">
        <v>184</v>
      </c>
      <c r="E11" s="367">
        <f t="shared" ref="E11" si="9">ROUND(D11/$D$8*100,2)</f>
        <v>0</v>
      </c>
      <c r="F11" s="574">
        <v>160</v>
      </c>
      <c r="G11" s="367">
        <f t="shared" si="7"/>
        <v>0</v>
      </c>
      <c r="H11" s="321">
        <f t="shared" ref="H11" si="10">D11-F11</f>
        <v>24</v>
      </c>
      <c r="I11" s="984">
        <f t="shared" ref="I11" si="11">ROUND(H11/F11*100,2)</f>
        <v>15</v>
      </c>
      <c r="K11" s="604">
        <f t="shared" ref="K11" si="12">ROUND(A11/$A$8*100,4)</f>
        <v>2.5000000000000001E-3</v>
      </c>
      <c r="L11" s="604">
        <f t="shared" ref="L11" si="13">ROUND(D11/$D$8*100,4)</f>
        <v>2.5999999999999999E-3</v>
      </c>
      <c r="M11" s="604">
        <f t="shared" ref="M11" si="14">ROUND(F11/$F$8*100,4)</f>
        <v>2.2000000000000001E-3</v>
      </c>
    </row>
    <row r="12" spans="1:13" s="911" customFormat="1" ht="27" customHeight="1">
      <c r="A12" s="586">
        <v>0</v>
      </c>
      <c r="B12" s="367">
        <f t="shared" ref="B12" si="15">ROUND(A12/$A$8*100,2)</f>
        <v>0</v>
      </c>
      <c r="C12" s="570" t="s">
        <v>1026</v>
      </c>
      <c r="D12" s="574">
        <v>20</v>
      </c>
      <c r="E12" s="367">
        <f t="shared" ref="E12" si="16">ROUND(D12/$D$8*100,2)</f>
        <v>0</v>
      </c>
      <c r="F12" s="571">
        <v>20</v>
      </c>
      <c r="G12" s="367">
        <f t="shared" si="7"/>
        <v>0</v>
      </c>
      <c r="H12" s="571">
        <f t="shared" ref="H12" si="17">D12-F12</f>
        <v>0</v>
      </c>
      <c r="I12" s="320">
        <v>0</v>
      </c>
      <c r="K12" s="604">
        <f t="shared" ref="K12" si="18">ROUND(A12/$A$8*100,4)</f>
        <v>0</v>
      </c>
      <c r="L12" s="604">
        <f t="shared" ref="L12" si="19">ROUND(D12/$D$8*100,4)</f>
        <v>2.9999999999999997E-4</v>
      </c>
      <c r="M12" s="604">
        <f t="shared" ref="M12" si="20">ROUND(F12/$F$8*100,4)</f>
        <v>2.9999999999999997E-4</v>
      </c>
    </row>
    <row r="13" spans="1:13" s="30" customFormat="1" ht="27" customHeight="1">
      <c r="A13" s="311">
        <v>3386006</v>
      </c>
      <c r="B13" s="562">
        <f>ROUND(A13/$A$8*100,2)</f>
        <v>45.38</v>
      </c>
      <c r="C13" s="563" t="s">
        <v>174</v>
      </c>
      <c r="D13" s="564">
        <f>D14</f>
        <v>3358886</v>
      </c>
      <c r="E13" s="562">
        <f>ROUND(D13/$D$8*100,2)</f>
        <v>48.31</v>
      </c>
      <c r="F13" s="564">
        <f>F14</f>
        <v>3482052</v>
      </c>
      <c r="G13" s="562">
        <f>ROUND(F13/$F$8*100,2)</f>
        <v>48.38</v>
      </c>
      <c r="H13" s="565">
        <f t="shared" si="0"/>
        <v>-123166</v>
      </c>
      <c r="I13" s="326">
        <f t="shared" si="1"/>
        <v>-3.54</v>
      </c>
      <c r="K13" s="629">
        <f t="shared" si="2"/>
        <v>45.375300000000003</v>
      </c>
      <c r="L13" s="629">
        <f t="shared" si="3"/>
        <v>48.311300000000003</v>
      </c>
      <c r="M13" s="629">
        <f t="shared" si="4"/>
        <v>48.377000000000002</v>
      </c>
    </row>
    <row r="14" spans="1:13" s="9" customFormat="1" ht="28.15" customHeight="1">
      <c r="A14" s="568">
        <v>3386006</v>
      </c>
      <c r="B14" s="569">
        <f t="shared" ref="B14:B43" si="21">ROUND(A14/$A$8*100,2)</f>
        <v>45.38</v>
      </c>
      <c r="C14" s="570" t="s">
        <v>175</v>
      </c>
      <c r="D14" s="574">
        <f>+D15+D16</f>
        <v>3358886</v>
      </c>
      <c r="E14" s="569">
        <f t="shared" ref="E14:E43" si="22">ROUND(D14/$D$8*100,2)</f>
        <v>48.31</v>
      </c>
      <c r="F14" s="574">
        <f>+F15+F16</f>
        <v>3482052</v>
      </c>
      <c r="G14" s="569">
        <f t="shared" ref="G14:G43" si="23">ROUND(F14/$F$8*100,2)</f>
        <v>48.38</v>
      </c>
      <c r="H14" s="575">
        <f t="shared" si="0"/>
        <v>-123166</v>
      </c>
      <c r="I14" s="322">
        <f t="shared" si="1"/>
        <v>-3.54</v>
      </c>
      <c r="K14" s="604">
        <f t="shared" si="2"/>
        <v>45.375300000000003</v>
      </c>
      <c r="L14" s="604">
        <f t="shared" si="3"/>
        <v>48.311300000000003</v>
      </c>
      <c r="M14" s="604">
        <f t="shared" si="4"/>
        <v>48.377000000000002</v>
      </c>
    </row>
    <row r="15" spans="1:13" s="911" customFormat="1" ht="27" customHeight="1">
      <c r="A15" s="568">
        <v>3386006</v>
      </c>
      <c r="B15" s="367">
        <f t="shared" si="21"/>
        <v>45.38</v>
      </c>
      <c r="C15" s="570" t="s">
        <v>1025</v>
      </c>
      <c r="D15" s="574">
        <v>3250886</v>
      </c>
      <c r="E15" s="367">
        <f t="shared" si="22"/>
        <v>46.76</v>
      </c>
      <c r="F15" s="574">
        <v>3392052</v>
      </c>
      <c r="G15" s="569">
        <f t="shared" si="23"/>
        <v>47.13</v>
      </c>
      <c r="H15" s="575">
        <f t="shared" si="0"/>
        <v>-141166</v>
      </c>
      <c r="I15" s="322">
        <f t="shared" si="1"/>
        <v>-4.16</v>
      </c>
      <c r="K15" s="604">
        <f t="shared" si="2"/>
        <v>45.375300000000003</v>
      </c>
      <c r="L15" s="604">
        <f t="shared" si="3"/>
        <v>46.758000000000003</v>
      </c>
      <c r="M15" s="604">
        <f t="shared" si="4"/>
        <v>47.126600000000003</v>
      </c>
    </row>
    <row r="16" spans="1:13" s="911" customFormat="1" ht="27" customHeight="1">
      <c r="A16" s="586">
        <v>0</v>
      </c>
      <c r="B16" s="367">
        <f t="shared" si="21"/>
        <v>0</v>
      </c>
      <c r="C16" s="570" t="s">
        <v>1026</v>
      </c>
      <c r="D16" s="574">
        <v>108000</v>
      </c>
      <c r="E16" s="367">
        <f t="shared" si="22"/>
        <v>1.55</v>
      </c>
      <c r="F16" s="571">
        <v>90000</v>
      </c>
      <c r="G16" s="367">
        <f t="shared" si="23"/>
        <v>1.25</v>
      </c>
      <c r="H16" s="575">
        <f t="shared" si="0"/>
        <v>18000</v>
      </c>
      <c r="I16" s="322">
        <f t="shared" si="1"/>
        <v>20</v>
      </c>
      <c r="K16" s="604">
        <f t="shared" si="2"/>
        <v>0</v>
      </c>
      <c r="L16" s="604">
        <f t="shared" si="3"/>
        <v>1.5533999999999999</v>
      </c>
      <c r="M16" s="604">
        <f t="shared" si="4"/>
        <v>1.2504</v>
      </c>
    </row>
    <row r="17" spans="1:14" s="30" customFormat="1" ht="28.15" customHeight="1">
      <c r="A17" s="311">
        <v>4076033</v>
      </c>
      <c r="B17" s="562">
        <f t="shared" si="21"/>
        <v>54.62</v>
      </c>
      <c r="C17" s="563" t="s">
        <v>177</v>
      </c>
      <c r="D17" s="564">
        <f>+D18</f>
        <v>3593493</v>
      </c>
      <c r="E17" s="562">
        <f t="shared" si="22"/>
        <v>51.69</v>
      </c>
      <c r="F17" s="564">
        <f>+F18</f>
        <v>3715509</v>
      </c>
      <c r="G17" s="562">
        <f t="shared" si="23"/>
        <v>51.62</v>
      </c>
      <c r="H17" s="630">
        <f t="shared" si="0"/>
        <v>-122016</v>
      </c>
      <c r="I17" s="326">
        <f t="shared" si="1"/>
        <v>-3.28</v>
      </c>
      <c r="K17" s="629">
        <f t="shared" si="2"/>
        <v>54.622199999999999</v>
      </c>
      <c r="L17" s="629">
        <f t="shared" si="3"/>
        <v>51.685699999999997</v>
      </c>
      <c r="M17" s="629">
        <f t="shared" si="4"/>
        <v>51.6205</v>
      </c>
    </row>
    <row r="18" spans="1:14" s="9" customFormat="1" ht="27" customHeight="1">
      <c r="A18" s="586">
        <v>4076032</v>
      </c>
      <c r="B18" s="569">
        <f t="shared" si="21"/>
        <v>54.62</v>
      </c>
      <c r="C18" s="588" t="s">
        <v>178</v>
      </c>
      <c r="D18" s="574">
        <f>+D19+D20</f>
        <v>3593493</v>
      </c>
      <c r="E18" s="569">
        <f t="shared" si="22"/>
        <v>51.69</v>
      </c>
      <c r="F18" s="574">
        <f>+F19+F20</f>
        <v>3715509</v>
      </c>
      <c r="G18" s="569">
        <f t="shared" si="23"/>
        <v>51.62</v>
      </c>
      <c r="H18" s="575">
        <f t="shared" si="0"/>
        <v>-122016</v>
      </c>
      <c r="I18" s="322">
        <f t="shared" si="1"/>
        <v>-3.28</v>
      </c>
      <c r="K18" s="604">
        <f t="shared" si="2"/>
        <v>54.622199999999999</v>
      </c>
      <c r="L18" s="604">
        <f t="shared" si="3"/>
        <v>51.685699999999997</v>
      </c>
      <c r="M18" s="604">
        <f t="shared" si="4"/>
        <v>51.6205</v>
      </c>
    </row>
    <row r="19" spans="1:14" s="911" customFormat="1" ht="27" customHeight="1">
      <c r="A19" s="568">
        <v>4076032</v>
      </c>
      <c r="B19" s="367">
        <f t="shared" ref="B19:B20" si="24">ROUND(A19/$A$8*100,2)</f>
        <v>54.62</v>
      </c>
      <c r="C19" s="570" t="s">
        <v>1025</v>
      </c>
      <c r="D19" s="574">
        <v>3579664</v>
      </c>
      <c r="E19" s="367">
        <f t="shared" ref="E19:E20" si="25">ROUND(D19/$D$8*100,2)</f>
        <v>51.49</v>
      </c>
      <c r="F19" s="574">
        <v>3668635</v>
      </c>
      <c r="G19" s="569">
        <f t="shared" si="23"/>
        <v>50.97</v>
      </c>
      <c r="H19" s="575">
        <f t="shared" ref="H19:H20" si="26">D19-F19</f>
        <v>-88971</v>
      </c>
      <c r="I19" s="322">
        <f t="shared" ref="I19:I20" si="27">ROUND(H19/F19*100,2)</f>
        <v>-2.4300000000000002</v>
      </c>
      <c r="K19" s="604">
        <f t="shared" ref="K19:K20" si="28">ROUND(A19/$A$8*100,4)</f>
        <v>54.622199999999999</v>
      </c>
      <c r="L19" s="604">
        <f t="shared" ref="L19:L20" si="29">ROUND(D19/$D$8*100,4)</f>
        <v>51.486800000000002</v>
      </c>
      <c r="M19" s="604">
        <f t="shared" ref="M19:M20" si="30">ROUND(F19/$F$8*100,4)</f>
        <v>50.969299999999997</v>
      </c>
    </row>
    <row r="20" spans="1:14" s="911" customFormat="1" ht="27" customHeight="1">
      <c r="A20" s="586">
        <v>0</v>
      </c>
      <c r="B20" s="367">
        <f t="shared" si="24"/>
        <v>0</v>
      </c>
      <c r="C20" s="570" t="s">
        <v>1026</v>
      </c>
      <c r="D20" s="574">
        <v>13829</v>
      </c>
      <c r="E20" s="367">
        <f t="shared" si="25"/>
        <v>0.2</v>
      </c>
      <c r="F20" s="571">
        <v>46874</v>
      </c>
      <c r="G20" s="367">
        <f t="shared" si="23"/>
        <v>0.65</v>
      </c>
      <c r="H20" s="321">
        <f t="shared" si="26"/>
        <v>-33045</v>
      </c>
      <c r="I20" s="322">
        <f t="shared" si="27"/>
        <v>-70.5</v>
      </c>
      <c r="J20" s="319"/>
      <c r="K20" s="604">
        <f t="shared" si="28"/>
        <v>0</v>
      </c>
      <c r="L20" s="604">
        <f t="shared" si="29"/>
        <v>0.19889999999999999</v>
      </c>
      <c r="M20" s="604">
        <f t="shared" si="30"/>
        <v>0.6512</v>
      </c>
      <c r="N20" s="234"/>
    </row>
    <row r="21" spans="1:14" s="30" customFormat="1" ht="28.15" customHeight="1">
      <c r="A21" s="311">
        <v>7466998</v>
      </c>
      <c r="B21" s="562">
        <f t="shared" si="21"/>
        <v>100.06</v>
      </c>
      <c r="C21" s="563" t="s">
        <v>179</v>
      </c>
      <c r="D21" s="564">
        <f>+D22+D28</f>
        <v>6957871</v>
      </c>
      <c r="E21" s="562">
        <f t="shared" si="22"/>
        <v>100.08</v>
      </c>
      <c r="F21" s="564">
        <f>+F22+F28</f>
        <v>7203841</v>
      </c>
      <c r="G21" s="562">
        <f t="shared" si="23"/>
        <v>100.08</v>
      </c>
      <c r="H21" s="565">
        <f t="shared" si="0"/>
        <v>-245970</v>
      </c>
      <c r="I21" s="326">
        <f t="shared" si="1"/>
        <v>-3.41</v>
      </c>
      <c r="K21" s="629">
        <f t="shared" si="2"/>
        <v>100.06399999999999</v>
      </c>
      <c r="L21" s="629">
        <f t="shared" si="3"/>
        <v>100.0761</v>
      </c>
      <c r="M21" s="629">
        <f t="shared" si="4"/>
        <v>100.0847</v>
      </c>
    </row>
    <row r="22" spans="1:14" s="30" customFormat="1" ht="28.8" customHeight="1">
      <c r="A22" s="311">
        <v>7391477</v>
      </c>
      <c r="B22" s="562">
        <f t="shared" si="21"/>
        <v>99.05</v>
      </c>
      <c r="C22" s="563" t="s">
        <v>182</v>
      </c>
      <c r="D22" s="564">
        <f>+D23+D26</f>
        <v>6925121</v>
      </c>
      <c r="E22" s="562">
        <f t="shared" si="22"/>
        <v>99.61</v>
      </c>
      <c r="F22" s="564">
        <f>+F23+F26</f>
        <v>7167206</v>
      </c>
      <c r="G22" s="562">
        <f t="shared" si="23"/>
        <v>99.58</v>
      </c>
      <c r="H22" s="565">
        <f t="shared" si="0"/>
        <v>-242085</v>
      </c>
      <c r="I22" s="326">
        <f t="shared" si="1"/>
        <v>-3.38</v>
      </c>
      <c r="K22" s="629">
        <f t="shared" si="2"/>
        <v>99.051900000000003</v>
      </c>
      <c r="L22" s="629">
        <f t="shared" si="3"/>
        <v>99.605000000000004</v>
      </c>
      <c r="M22" s="629">
        <f t="shared" si="4"/>
        <v>99.575800000000001</v>
      </c>
    </row>
    <row r="23" spans="1:14" s="9" customFormat="1" ht="27" customHeight="1">
      <c r="A23" s="568">
        <v>7383282</v>
      </c>
      <c r="B23" s="569">
        <f t="shared" si="21"/>
        <v>98.94</v>
      </c>
      <c r="C23" s="570" t="s">
        <v>183</v>
      </c>
      <c r="D23" s="574">
        <f>+D24+D25</f>
        <v>6916286</v>
      </c>
      <c r="E23" s="569">
        <f t="shared" si="22"/>
        <v>99.48</v>
      </c>
      <c r="F23" s="574">
        <f>+F24+F25</f>
        <v>7156168</v>
      </c>
      <c r="G23" s="569">
        <f t="shared" si="23"/>
        <v>99.42</v>
      </c>
      <c r="H23" s="575">
        <f t="shared" si="0"/>
        <v>-239882</v>
      </c>
      <c r="I23" s="322">
        <f t="shared" si="1"/>
        <v>-3.35</v>
      </c>
      <c r="K23" s="604">
        <f t="shared" si="2"/>
        <v>98.942099999999996</v>
      </c>
      <c r="L23" s="604">
        <f t="shared" si="3"/>
        <v>99.477900000000005</v>
      </c>
      <c r="M23" s="604">
        <f t="shared" si="4"/>
        <v>99.422399999999996</v>
      </c>
    </row>
    <row r="24" spans="1:14" s="911" customFormat="1" ht="27" customHeight="1">
      <c r="A24" s="568">
        <v>7383282</v>
      </c>
      <c r="B24" s="367">
        <f t="shared" si="21"/>
        <v>98.94</v>
      </c>
      <c r="C24" s="570" t="s">
        <v>1025</v>
      </c>
      <c r="D24" s="574">
        <v>6794437</v>
      </c>
      <c r="E24" s="367">
        <f t="shared" si="22"/>
        <v>97.73</v>
      </c>
      <c r="F24" s="574">
        <v>7019274</v>
      </c>
      <c r="G24" s="569">
        <f t="shared" si="23"/>
        <v>97.52</v>
      </c>
      <c r="H24" s="575">
        <f t="shared" si="0"/>
        <v>-224837</v>
      </c>
      <c r="I24" s="322">
        <f t="shared" si="1"/>
        <v>-3.2</v>
      </c>
      <c r="K24" s="604">
        <f t="shared" si="2"/>
        <v>98.942099999999996</v>
      </c>
      <c r="L24" s="604">
        <f t="shared" si="3"/>
        <v>97.725399999999993</v>
      </c>
      <c r="M24" s="604">
        <f t="shared" si="4"/>
        <v>97.520499999999998</v>
      </c>
    </row>
    <row r="25" spans="1:14" s="911" customFormat="1" ht="27" customHeight="1">
      <c r="A25" s="586">
        <v>0</v>
      </c>
      <c r="B25" s="367">
        <f t="shared" si="21"/>
        <v>0</v>
      </c>
      <c r="C25" s="570" t="s">
        <v>1026</v>
      </c>
      <c r="D25" s="574">
        <v>121849</v>
      </c>
      <c r="E25" s="367">
        <f t="shared" si="22"/>
        <v>1.75</v>
      </c>
      <c r="F25" s="571">
        <v>136894</v>
      </c>
      <c r="G25" s="569">
        <f t="shared" si="23"/>
        <v>1.9</v>
      </c>
      <c r="H25" s="575">
        <f t="shared" si="0"/>
        <v>-15045</v>
      </c>
      <c r="I25" s="322">
        <f t="shared" si="1"/>
        <v>-10.99</v>
      </c>
      <c r="K25" s="604">
        <f t="shared" si="2"/>
        <v>0</v>
      </c>
      <c r="L25" s="604">
        <f t="shared" si="3"/>
        <v>1.7525999999999999</v>
      </c>
      <c r="M25" s="604">
        <f t="shared" si="4"/>
        <v>1.9018999999999999</v>
      </c>
    </row>
    <row r="26" spans="1:14" s="9" customFormat="1" ht="27" customHeight="1">
      <c r="A26" s="568">
        <v>8196</v>
      </c>
      <c r="B26" s="569">
        <f t="shared" si="21"/>
        <v>0.11</v>
      </c>
      <c r="C26" s="570" t="s">
        <v>185</v>
      </c>
      <c r="D26" s="574">
        <f>+D27</f>
        <v>8835</v>
      </c>
      <c r="E26" s="569">
        <f t="shared" si="22"/>
        <v>0.13</v>
      </c>
      <c r="F26" s="574">
        <f>+F27</f>
        <v>11038</v>
      </c>
      <c r="G26" s="569">
        <f t="shared" si="23"/>
        <v>0.15</v>
      </c>
      <c r="H26" s="575">
        <f t="shared" si="0"/>
        <v>-2203</v>
      </c>
      <c r="I26" s="322">
        <f t="shared" si="1"/>
        <v>-19.96</v>
      </c>
      <c r="K26" s="604">
        <f t="shared" si="2"/>
        <v>0.10979999999999999</v>
      </c>
      <c r="L26" s="604">
        <f t="shared" si="3"/>
        <v>0.12709999999999999</v>
      </c>
      <c r="M26" s="604">
        <f t="shared" si="4"/>
        <v>0.15340000000000001</v>
      </c>
    </row>
    <row r="27" spans="1:14" s="911" customFormat="1" ht="28.15" customHeight="1">
      <c r="A27" s="568">
        <v>8196</v>
      </c>
      <c r="B27" s="367">
        <f t="shared" ref="B27" si="31">ROUND(A27/$A$8*100,2)</f>
        <v>0.11</v>
      </c>
      <c r="C27" s="570" t="s">
        <v>1025</v>
      </c>
      <c r="D27" s="574">
        <v>8835</v>
      </c>
      <c r="E27" s="367">
        <f t="shared" ref="E27" si="32">ROUND(D27/$D$8*100,2)</f>
        <v>0.13</v>
      </c>
      <c r="F27" s="574">
        <v>11038</v>
      </c>
      <c r="G27" s="569">
        <f t="shared" si="23"/>
        <v>0.15</v>
      </c>
      <c r="H27" s="575">
        <f t="shared" ref="H27" si="33">D27-F27</f>
        <v>-2203</v>
      </c>
      <c r="I27" s="322">
        <f t="shared" ref="I27" si="34">ROUND(H27/F27*100,2)</f>
        <v>-19.96</v>
      </c>
      <c r="K27" s="604">
        <f t="shared" ref="K27" si="35">ROUND(A27/$A$8*100,4)</f>
        <v>0.10979999999999999</v>
      </c>
      <c r="L27" s="604">
        <f t="shared" ref="L27" si="36">ROUND(D27/$D$8*100,4)</f>
        <v>0.12709999999999999</v>
      </c>
      <c r="M27" s="604">
        <f t="shared" ref="M27" si="37">ROUND(F27/$F$8*100,4)</f>
        <v>0.15340000000000001</v>
      </c>
    </row>
    <row r="28" spans="1:14" s="30" customFormat="1" ht="28.15" customHeight="1">
      <c r="A28" s="311">
        <v>75521</v>
      </c>
      <c r="B28" s="562">
        <f t="shared" si="21"/>
        <v>1.01</v>
      </c>
      <c r="C28" s="563" t="s">
        <v>186</v>
      </c>
      <c r="D28" s="564">
        <f>SUM(D29:D29)</f>
        <v>32750</v>
      </c>
      <c r="E28" s="562">
        <f t="shared" si="22"/>
        <v>0.47</v>
      </c>
      <c r="F28" s="564">
        <f>SUM(F29:F29)</f>
        <v>36635</v>
      </c>
      <c r="G28" s="562">
        <f t="shared" si="23"/>
        <v>0.51</v>
      </c>
      <c r="H28" s="325">
        <f t="shared" si="0"/>
        <v>-3885</v>
      </c>
      <c r="I28" s="326">
        <f t="shared" si="1"/>
        <v>-10.6</v>
      </c>
      <c r="K28" s="629">
        <f t="shared" si="2"/>
        <v>1.012</v>
      </c>
      <c r="L28" s="629">
        <f t="shared" si="3"/>
        <v>0.47099999999999997</v>
      </c>
      <c r="M28" s="629">
        <f t="shared" si="4"/>
        <v>0.50900000000000001</v>
      </c>
    </row>
    <row r="29" spans="1:14" s="9" customFormat="1" ht="28.8" customHeight="1">
      <c r="A29" s="568">
        <v>75521</v>
      </c>
      <c r="B29" s="569">
        <f t="shared" si="21"/>
        <v>1.01</v>
      </c>
      <c r="C29" s="570" t="s">
        <v>187</v>
      </c>
      <c r="D29" s="574">
        <f>+D30</f>
        <v>32750</v>
      </c>
      <c r="E29" s="569">
        <f t="shared" si="22"/>
        <v>0.47</v>
      </c>
      <c r="F29" s="574">
        <f>+F30</f>
        <v>36635</v>
      </c>
      <c r="G29" s="569">
        <f t="shared" si="23"/>
        <v>0.51</v>
      </c>
      <c r="H29" s="321">
        <f t="shared" si="0"/>
        <v>-3885</v>
      </c>
      <c r="I29" s="322">
        <f t="shared" si="1"/>
        <v>-10.6</v>
      </c>
      <c r="K29" s="604">
        <f t="shared" si="2"/>
        <v>1.012</v>
      </c>
      <c r="L29" s="604">
        <f t="shared" si="3"/>
        <v>0.47099999999999997</v>
      </c>
      <c r="M29" s="604">
        <f t="shared" si="4"/>
        <v>0.50900000000000001</v>
      </c>
    </row>
    <row r="30" spans="1:14" s="911" customFormat="1" ht="27" customHeight="1" thickBot="1">
      <c r="A30" s="579">
        <v>75521</v>
      </c>
      <c r="B30" s="389">
        <f t="shared" si="21"/>
        <v>1.01</v>
      </c>
      <c r="C30" s="581" t="s">
        <v>1025</v>
      </c>
      <c r="D30" s="582">
        <v>32750</v>
      </c>
      <c r="E30" s="389">
        <f t="shared" si="22"/>
        <v>0.47</v>
      </c>
      <c r="F30" s="582">
        <v>36635</v>
      </c>
      <c r="G30" s="580">
        <f t="shared" si="23"/>
        <v>0.51</v>
      </c>
      <c r="H30" s="337">
        <f t="shared" si="0"/>
        <v>-3885</v>
      </c>
      <c r="I30" s="338">
        <f t="shared" si="1"/>
        <v>-10.6</v>
      </c>
      <c r="K30" s="604">
        <f t="shared" si="2"/>
        <v>1.012</v>
      </c>
      <c r="L30" s="604">
        <f t="shared" si="3"/>
        <v>0.47099999999999997</v>
      </c>
      <c r="M30" s="604">
        <f t="shared" si="4"/>
        <v>0.50900000000000001</v>
      </c>
    </row>
    <row r="31" spans="1:14" s="30" customFormat="1" ht="29.45" customHeight="1">
      <c r="A31" s="591">
        <v>-4775</v>
      </c>
      <c r="B31" s="562">
        <f t="shared" si="21"/>
        <v>-0.06</v>
      </c>
      <c r="C31" s="563" t="s">
        <v>550</v>
      </c>
      <c r="D31" s="565">
        <f>+D32+D33</f>
        <v>-5288</v>
      </c>
      <c r="E31" s="562">
        <f t="shared" si="22"/>
        <v>-0.08</v>
      </c>
      <c r="F31" s="565">
        <f>+F32+F33</f>
        <v>-6100</v>
      </c>
      <c r="G31" s="562">
        <f t="shared" si="23"/>
        <v>-0.08</v>
      </c>
      <c r="H31" s="565">
        <f t="shared" si="0"/>
        <v>812</v>
      </c>
      <c r="I31" s="326">
        <f t="shared" si="1"/>
        <v>-13.31</v>
      </c>
      <c r="K31" s="629">
        <f t="shared" si="2"/>
        <v>-6.4000000000000001E-2</v>
      </c>
      <c r="L31" s="629">
        <f t="shared" si="3"/>
        <v>-7.6100000000000001E-2</v>
      </c>
      <c r="M31" s="629">
        <f t="shared" si="4"/>
        <v>-8.4699999999999998E-2</v>
      </c>
    </row>
    <row r="32" spans="1:14" s="911" customFormat="1" ht="27" customHeight="1">
      <c r="A32" s="568">
        <v>-4775</v>
      </c>
      <c r="B32" s="569">
        <f t="shared" ref="B32:B33" si="38">ROUND(A32/$A$8*100,2)</f>
        <v>-0.06</v>
      </c>
      <c r="C32" s="570" t="s">
        <v>1025</v>
      </c>
      <c r="D32" s="321">
        <f>+D11+D15+D19-D24-D27-D30</f>
        <v>-5288</v>
      </c>
      <c r="E32" s="569">
        <f t="shared" ref="E32:E33" si="39">ROUND(D32/$D$8*100,2)</f>
        <v>-0.08</v>
      </c>
      <c r="F32" s="321">
        <f>+F11+F15+F19-F24-F27-F30</f>
        <v>-6100</v>
      </c>
      <c r="G32" s="569">
        <f t="shared" si="23"/>
        <v>-0.08</v>
      </c>
      <c r="H32" s="575">
        <f t="shared" ref="H32:H33" si="40">D32-F32</f>
        <v>812</v>
      </c>
      <c r="I32" s="322">
        <f t="shared" ref="I32" si="41">ROUND(H32/F32*100,2)</f>
        <v>-13.31</v>
      </c>
      <c r="K32" s="604">
        <f t="shared" ref="K32:K33" si="42">ROUND(A32/$A$8*100,4)</f>
        <v>-6.4000000000000001E-2</v>
      </c>
      <c r="L32" s="604">
        <f t="shared" ref="L32:L33" si="43">ROUND(D32/$D$8*100,4)</f>
        <v>-7.6100000000000001E-2</v>
      </c>
      <c r="M32" s="604">
        <f t="shared" ref="M32:M33" si="44">ROUND(F32/$F$8*100,4)</f>
        <v>-8.4699999999999998E-2</v>
      </c>
    </row>
    <row r="33" spans="1:13" s="911" customFormat="1" ht="27" hidden="1" customHeight="1">
      <c r="A33" s="586">
        <v>0</v>
      </c>
      <c r="B33" s="367">
        <f t="shared" si="38"/>
        <v>0</v>
      </c>
      <c r="C33" s="570" t="s">
        <v>1026</v>
      </c>
      <c r="D33" s="571">
        <f>+D12+D16+D20-D25</f>
        <v>0</v>
      </c>
      <c r="E33" s="367">
        <f t="shared" si="39"/>
        <v>0</v>
      </c>
      <c r="F33" s="571">
        <f>+F12+F16+F20-F25</f>
        <v>0</v>
      </c>
      <c r="G33" s="571">
        <f t="shared" si="23"/>
        <v>0</v>
      </c>
      <c r="H33" s="367">
        <f t="shared" si="40"/>
        <v>0</v>
      </c>
      <c r="I33" s="320">
        <v>0</v>
      </c>
      <c r="K33" s="604">
        <f t="shared" si="42"/>
        <v>0</v>
      </c>
      <c r="L33" s="604">
        <f t="shared" si="43"/>
        <v>0</v>
      </c>
      <c r="M33" s="604">
        <f t="shared" si="44"/>
        <v>0</v>
      </c>
    </row>
    <row r="34" spans="1:13" s="30" customFormat="1" ht="27" customHeight="1">
      <c r="A34" s="313">
        <v>4775</v>
      </c>
      <c r="B34" s="562">
        <f t="shared" si="21"/>
        <v>0.06</v>
      </c>
      <c r="C34" s="563" t="s">
        <v>188</v>
      </c>
      <c r="D34" s="329">
        <f>+D37+D40</f>
        <v>5288</v>
      </c>
      <c r="E34" s="562">
        <f t="shared" si="22"/>
        <v>0.08</v>
      </c>
      <c r="F34" s="329">
        <f>+F37+F40</f>
        <v>6100</v>
      </c>
      <c r="G34" s="562">
        <f t="shared" si="23"/>
        <v>0.08</v>
      </c>
      <c r="H34" s="618">
        <f t="shared" si="0"/>
        <v>-812</v>
      </c>
      <c r="I34" s="326">
        <f t="shared" si="1"/>
        <v>-13.31</v>
      </c>
      <c r="K34" s="629">
        <f t="shared" si="2"/>
        <v>6.4000000000000001E-2</v>
      </c>
      <c r="L34" s="629">
        <f t="shared" si="3"/>
        <v>7.6100000000000001E-2</v>
      </c>
      <c r="M34" s="629">
        <f t="shared" si="4"/>
        <v>8.4699999999999998E-2</v>
      </c>
    </row>
    <row r="35" spans="1:13" s="30" customFormat="1" ht="31.25" customHeight="1">
      <c r="A35" s="311">
        <v>2</v>
      </c>
      <c r="B35" s="315">
        <f t="shared" si="21"/>
        <v>0</v>
      </c>
      <c r="C35" s="563" t="s">
        <v>189</v>
      </c>
      <c r="D35" s="576">
        <f>+D36</f>
        <v>4</v>
      </c>
      <c r="E35" s="315">
        <f t="shared" si="22"/>
        <v>0</v>
      </c>
      <c r="F35" s="576">
        <f>+F36</f>
        <v>10</v>
      </c>
      <c r="G35" s="567">
        <f t="shared" si="23"/>
        <v>0</v>
      </c>
      <c r="H35" s="325">
        <f t="shared" si="0"/>
        <v>-6</v>
      </c>
      <c r="I35" s="326">
        <f t="shared" si="1"/>
        <v>-60</v>
      </c>
      <c r="K35" s="629">
        <f t="shared" si="2"/>
        <v>0</v>
      </c>
      <c r="L35" s="629">
        <f t="shared" si="3"/>
        <v>1E-4</v>
      </c>
      <c r="M35" s="629">
        <f t="shared" si="4"/>
        <v>1E-4</v>
      </c>
    </row>
    <row r="36" spans="1:13" s="9" customFormat="1" ht="27" customHeight="1">
      <c r="A36" s="568">
        <v>2</v>
      </c>
      <c r="B36" s="315">
        <f t="shared" si="21"/>
        <v>0</v>
      </c>
      <c r="C36" s="570" t="s">
        <v>190</v>
      </c>
      <c r="D36" s="571">
        <f>+D37</f>
        <v>4</v>
      </c>
      <c r="E36" s="318">
        <f t="shared" si="22"/>
        <v>0</v>
      </c>
      <c r="F36" s="571">
        <f>+F37</f>
        <v>10</v>
      </c>
      <c r="G36" s="318">
        <f t="shared" si="23"/>
        <v>0</v>
      </c>
      <c r="H36" s="321">
        <f t="shared" si="0"/>
        <v>-6</v>
      </c>
      <c r="I36" s="322">
        <f t="shared" si="1"/>
        <v>-60</v>
      </c>
      <c r="K36" s="604">
        <f t="shared" si="2"/>
        <v>0</v>
      </c>
      <c r="L36" s="604">
        <f t="shared" si="3"/>
        <v>1E-4</v>
      </c>
      <c r="M36" s="604">
        <f t="shared" si="4"/>
        <v>1E-4</v>
      </c>
    </row>
    <row r="37" spans="1:13" s="914" customFormat="1" ht="27" customHeight="1">
      <c r="A37" s="568">
        <v>2</v>
      </c>
      <c r="B37" s="367">
        <f t="shared" si="21"/>
        <v>0</v>
      </c>
      <c r="C37" s="570" t="s">
        <v>966</v>
      </c>
      <c r="D37" s="574">
        <v>4</v>
      </c>
      <c r="E37" s="367">
        <f t="shared" si="22"/>
        <v>0</v>
      </c>
      <c r="F37" s="574">
        <v>10</v>
      </c>
      <c r="G37" s="318">
        <f t="shared" si="23"/>
        <v>0</v>
      </c>
      <c r="H37" s="321">
        <f t="shared" si="0"/>
        <v>-6</v>
      </c>
      <c r="I37" s="322">
        <f t="shared" si="1"/>
        <v>-60</v>
      </c>
      <c r="K37" s="604">
        <f t="shared" si="2"/>
        <v>0</v>
      </c>
      <c r="L37" s="604">
        <f t="shared" si="3"/>
        <v>1E-4</v>
      </c>
      <c r="M37" s="604">
        <f t="shared" si="4"/>
        <v>1E-4</v>
      </c>
    </row>
    <row r="38" spans="1:13" s="30" customFormat="1" ht="29.95" customHeight="1">
      <c r="A38" s="311">
        <v>4773</v>
      </c>
      <c r="B38" s="562">
        <f t="shared" si="21"/>
        <v>0.06</v>
      </c>
      <c r="C38" s="563" t="s">
        <v>191</v>
      </c>
      <c r="D38" s="564">
        <f>+D39</f>
        <v>5284</v>
      </c>
      <c r="E38" s="562">
        <f t="shared" si="22"/>
        <v>0.08</v>
      </c>
      <c r="F38" s="564">
        <f>+F39</f>
        <v>6090</v>
      </c>
      <c r="G38" s="562">
        <f t="shared" si="23"/>
        <v>0.08</v>
      </c>
      <c r="H38" s="325">
        <f t="shared" si="0"/>
        <v>-806</v>
      </c>
      <c r="I38" s="326">
        <f>ROUND(H38/F38*100,2)</f>
        <v>-13.23</v>
      </c>
      <c r="K38" s="629">
        <f t="shared" si="2"/>
        <v>6.4000000000000001E-2</v>
      </c>
      <c r="L38" s="629">
        <f t="shared" si="3"/>
        <v>7.5999999999999998E-2</v>
      </c>
      <c r="M38" s="629">
        <f t="shared" si="4"/>
        <v>8.4599999999999995E-2</v>
      </c>
    </row>
    <row r="39" spans="1:13" s="9" customFormat="1" ht="27" customHeight="1">
      <c r="A39" s="568">
        <v>4773</v>
      </c>
      <c r="B39" s="569">
        <f t="shared" si="21"/>
        <v>0.06</v>
      </c>
      <c r="C39" s="570" t="s">
        <v>192</v>
      </c>
      <c r="D39" s="574">
        <f>+D40</f>
        <v>5284</v>
      </c>
      <c r="E39" s="569">
        <f t="shared" si="22"/>
        <v>0.08</v>
      </c>
      <c r="F39" s="574">
        <f>+F40</f>
        <v>6090</v>
      </c>
      <c r="G39" s="569">
        <f t="shared" si="23"/>
        <v>0.08</v>
      </c>
      <c r="H39" s="321">
        <f t="shared" si="0"/>
        <v>-806</v>
      </c>
      <c r="I39" s="322">
        <f>ROUND(H39/F39*100,2)</f>
        <v>-13.23</v>
      </c>
      <c r="K39" s="604">
        <f t="shared" si="2"/>
        <v>6.4000000000000001E-2</v>
      </c>
      <c r="L39" s="604">
        <f t="shared" si="3"/>
        <v>7.5999999999999998E-2</v>
      </c>
      <c r="M39" s="604">
        <f t="shared" si="4"/>
        <v>8.4599999999999995E-2</v>
      </c>
    </row>
    <row r="40" spans="1:13" s="914" customFormat="1" ht="27" customHeight="1">
      <c r="A40" s="568">
        <v>4773</v>
      </c>
      <c r="B40" s="367">
        <f t="shared" ref="B40" si="45">ROUND(A40/$A$8*100,2)</f>
        <v>0.06</v>
      </c>
      <c r="C40" s="570" t="s">
        <v>966</v>
      </c>
      <c r="D40" s="574">
        <v>5284</v>
      </c>
      <c r="E40" s="367">
        <f t="shared" ref="E40" si="46">ROUND(D40/$D$8*100,2)</f>
        <v>0.08</v>
      </c>
      <c r="F40" s="574">
        <v>6090</v>
      </c>
      <c r="G40" s="569">
        <f t="shared" si="23"/>
        <v>0.08</v>
      </c>
      <c r="H40" s="321">
        <f t="shared" ref="H40" si="47">D40-F40</f>
        <v>-806</v>
      </c>
      <c r="I40" s="322">
        <f t="shared" ref="I40" si="48">ROUND(H40/F40*100,2)</f>
        <v>-13.23</v>
      </c>
      <c r="K40" s="604">
        <f t="shared" ref="K40" si="49">ROUND(A40/$A$8*100,4)</f>
        <v>6.4000000000000001E-2</v>
      </c>
      <c r="L40" s="604">
        <f t="shared" ref="L40" si="50">ROUND(D40/$D$8*100,4)</f>
        <v>7.5999999999999998E-2</v>
      </c>
      <c r="M40" s="604">
        <f t="shared" ref="M40" si="51">ROUND(F40/$F$8*100,4)</f>
        <v>8.4599999999999995E-2</v>
      </c>
    </row>
    <row r="41" spans="1:13" s="30" customFormat="1" ht="31.25" customHeight="1">
      <c r="A41" s="313">
        <v>4775</v>
      </c>
      <c r="B41" s="562">
        <f t="shared" si="21"/>
        <v>0.06</v>
      </c>
      <c r="C41" s="563" t="s">
        <v>551</v>
      </c>
      <c r="D41" s="329">
        <f>+D42</f>
        <v>5288</v>
      </c>
      <c r="E41" s="562">
        <f t="shared" si="22"/>
        <v>0.08</v>
      </c>
      <c r="F41" s="329">
        <f>+F42</f>
        <v>6100</v>
      </c>
      <c r="G41" s="562">
        <f t="shared" si="23"/>
        <v>0.08</v>
      </c>
      <c r="H41" s="325">
        <f t="shared" si="0"/>
        <v>-812</v>
      </c>
      <c r="I41" s="326">
        <f>ROUND(H41/F41*100,2)</f>
        <v>-13.31</v>
      </c>
      <c r="K41" s="629">
        <f t="shared" si="2"/>
        <v>6.4000000000000001E-2</v>
      </c>
      <c r="L41" s="629">
        <f t="shared" si="3"/>
        <v>7.6100000000000001E-2</v>
      </c>
      <c r="M41" s="629">
        <f t="shared" si="4"/>
        <v>8.4699999999999998E-2</v>
      </c>
    </row>
    <row r="42" spans="1:13" s="911" customFormat="1" ht="27" customHeight="1">
      <c r="A42" s="568">
        <v>4775</v>
      </c>
      <c r="B42" s="367">
        <f t="shared" si="21"/>
        <v>0.06</v>
      </c>
      <c r="C42" s="570" t="s">
        <v>1025</v>
      </c>
      <c r="D42" s="574">
        <f>+D37+D40</f>
        <v>5288</v>
      </c>
      <c r="E42" s="367">
        <f t="shared" si="22"/>
        <v>0.08</v>
      </c>
      <c r="F42" s="574">
        <f>+F37+F40</f>
        <v>6100</v>
      </c>
      <c r="G42" s="569">
        <f t="shared" si="23"/>
        <v>0.08</v>
      </c>
      <c r="H42" s="321">
        <f t="shared" si="0"/>
        <v>-812</v>
      </c>
      <c r="I42" s="322">
        <f t="shared" ref="I42" si="52">ROUND(H42/F42*100,2)</f>
        <v>-13.31</v>
      </c>
      <c r="K42" s="604">
        <f t="shared" si="2"/>
        <v>6.4000000000000001E-2</v>
      </c>
      <c r="L42" s="604">
        <f t="shared" si="3"/>
        <v>7.6100000000000001E-2</v>
      </c>
      <c r="M42" s="604">
        <f t="shared" si="4"/>
        <v>8.4699999999999998E-2</v>
      </c>
    </row>
    <row r="43" spans="1:13" s="30" customFormat="1" ht="24.55" customHeight="1">
      <c r="A43" s="597">
        <f>+A31+A41</f>
        <v>0</v>
      </c>
      <c r="B43" s="315">
        <f t="shared" si="21"/>
        <v>0</v>
      </c>
      <c r="C43" s="563" t="s">
        <v>552</v>
      </c>
      <c r="D43" s="598">
        <f>+D31+D41</f>
        <v>0</v>
      </c>
      <c r="E43" s="315">
        <f t="shared" si="22"/>
        <v>0</v>
      </c>
      <c r="F43" s="598">
        <f>+F31+F41</f>
        <v>0</v>
      </c>
      <c r="G43" s="598">
        <f t="shared" si="23"/>
        <v>0</v>
      </c>
      <c r="H43" s="598">
        <f t="shared" si="0"/>
        <v>0</v>
      </c>
      <c r="I43" s="587">
        <v>0</v>
      </c>
      <c r="K43" s="629">
        <f t="shared" si="2"/>
        <v>0</v>
      </c>
      <c r="L43" s="629">
        <f t="shared" si="3"/>
        <v>0</v>
      </c>
      <c r="M43" s="629">
        <f t="shared" si="4"/>
        <v>0</v>
      </c>
    </row>
    <row r="44" spans="1:13" s="30" customFormat="1" ht="24.55" customHeight="1">
      <c r="A44" s="597"/>
      <c r="B44" s="315"/>
      <c r="C44" s="563"/>
      <c r="D44" s="598"/>
      <c r="E44" s="315"/>
      <c r="F44" s="598"/>
      <c r="G44" s="562"/>
      <c r="H44" s="598"/>
      <c r="I44" s="587"/>
      <c r="K44" s="629"/>
      <c r="L44" s="629"/>
      <c r="M44" s="629"/>
    </row>
    <row r="45" spans="1:13" s="30" customFormat="1" ht="24.55" customHeight="1">
      <c r="A45" s="597"/>
      <c r="B45" s="315"/>
      <c r="C45" s="563"/>
      <c r="D45" s="598"/>
      <c r="E45" s="315"/>
      <c r="F45" s="598"/>
      <c r="G45" s="562"/>
      <c r="H45" s="598"/>
      <c r="I45" s="587"/>
      <c r="K45" s="629"/>
      <c r="L45" s="629"/>
      <c r="M45" s="629"/>
    </row>
    <row r="46" spans="1:13" s="30" customFormat="1" ht="35.049999999999997" customHeight="1">
      <c r="A46" s="597"/>
      <c r="B46" s="315"/>
      <c r="C46" s="563"/>
      <c r="D46" s="598"/>
      <c r="E46" s="315"/>
      <c r="F46" s="598"/>
      <c r="G46" s="562"/>
      <c r="H46" s="598"/>
      <c r="I46" s="587"/>
      <c r="K46" s="629"/>
      <c r="L46" s="629"/>
      <c r="M46" s="629"/>
    </row>
    <row r="47" spans="1:13" s="30" customFormat="1" ht="24.55" customHeight="1">
      <c r="A47" s="597"/>
      <c r="B47" s="315"/>
      <c r="C47" s="563"/>
      <c r="D47" s="598"/>
      <c r="E47" s="315"/>
      <c r="F47" s="598"/>
      <c r="G47" s="562"/>
      <c r="H47" s="598"/>
      <c r="I47" s="587"/>
      <c r="K47" s="629"/>
      <c r="L47" s="629"/>
      <c r="M47" s="629"/>
    </row>
    <row r="48" spans="1:13" s="30" customFormat="1" ht="32.4" customHeight="1">
      <c r="A48" s="597"/>
      <c r="B48" s="315"/>
      <c r="C48" s="563"/>
      <c r="D48" s="598"/>
      <c r="E48" s="315"/>
      <c r="F48" s="598"/>
      <c r="G48" s="562"/>
      <c r="H48" s="598"/>
      <c r="I48" s="587"/>
      <c r="K48" s="629"/>
      <c r="L48" s="629"/>
      <c r="M48" s="629"/>
    </row>
    <row r="49" spans="1:13" s="30" customFormat="1" ht="61.85" customHeight="1">
      <c r="A49" s="597"/>
      <c r="B49" s="315"/>
      <c r="C49" s="563"/>
      <c r="D49" s="598"/>
      <c r="E49" s="315"/>
      <c r="F49" s="598"/>
      <c r="G49" s="562"/>
      <c r="H49" s="598"/>
      <c r="I49" s="587"/>
      <c r="K49" s="629"/>
      <c r="L49" s="629"/>
      <c r="M49" s="629"/>
    </row>
    <row r="50" spans="1:13" s="30" customFormat="1" ht="17.350000000000001" customHeight="1">
      <c r="A50" s="597"/>
      <c r="B50" s="315"/>
      <c r="C50" s="563"/>
      <c r="D50" s="598"/>
      <c r="E50" s="315"/>
      <c r="F50" s="598"/>
      <c r="G50" s="562"/>
      <c r="H50" s="598"/>
      <c r="I50" s="587"/>
      <c r="K50" s="629"/>
      <c r="L50" s="629"/>
      <c r="M50" s="629"/>
    </row>
    <row r="51" spans="1:13" s="30" customFormat="1" ht="31.95" customHeight="1">
      <c r="A51" s="597"/>
      <c r="B51" s="315"/>
      <c r="C51" s="563"/>
      <c r="D51" s="598"/>
      <c r="E51" s="315"/>
      <c r="F51" s="598"/>
      <c r="G51" s="562"/>
      <c r="H51" s="598"/>
      <c r="I51" s="587"/>
      <c r="K51" s="629"/>
      <c r="L51" s="629"/>
      <c r="M51" s="629"/>
    </row>
    <row r="52" spans="1:13" s="30" customFormat="1" ht="24.55" customHeight="1">
      <c r="A52" s="597"/>
      <c r="B52" s="315"/>
      <c r="C52" s="563"/>
      <c r="D52" s="598"/>
      <c r="E52" s="315"/>
      <c r="F52" s="598"/>
      <c r="G52" s="562"/>
      <c r="H52" s="598"/>
      <c r="I52" s="587"/>
      <c r="K52" s="629"/>
      <c r="L52" s="629"/>
      <c r="M52" s="629"/>
    </row>
    <row r="53" spans="1:13" s="9" customFormat="1" ht="5.4" customHeight="1" thickBot="1">
      <c r="A53" s="579"/>
      <c r="B53" s="580"/>
      <c r="C53" s="581"/>
      <c r="D53" s="582"/>
      <c r="E53" s="580"/>
      <c r="F53" s="582"/>
      <c r="G53" s="580"/>
      <c r="H53" s="631"/>
      <c r="I53" s="338"/>
      <c r="K53" s="604"/>
      <c r="L53" s="604"/>
      <c r="M53" s="604"/>
    </row>
    <row r="54" spans="1:13" ht="21.6" customHeight="1">
      <c r="A54" s="1044" t="s">
        <v>1027</v>
      </c>
      <c r="B54" s="1045"/>
      <c r="C54" s="1045"/>
      <c r="D54" s="1045"/>
      <c r="E54" s="1045"/>
      <c r="F54" s="1045"/>
      <c r="G54" s="1045"/>
      <c r="H54" s="1045"/>
      <c r="I54" s="1045"/>
    </row>
    <row r="55" spans="1:13" ht="15.05">
      <c r="A55" s="624"/>
      <c r="B55" s="625"/>
      <c r="C55" s="626"/>
      <c r="D55" s="625"/>
      <c r="E55" s="627"/>
      <c r="F55" s="625"/>
      <c r="G55" s="625"/>
      <c r="H55" s="625"/>
      <c r="I55" s="625"/>
    </row>
    <row r="56" spans="1:13" ht="15.05">
      <c r="C56" s="628"/>
    </row>
    <row r="57" spans="1:13" ht="15.05">
      <c r="C57" s="628"/>
    </row>
    <row r="58" spans="1:13" ht="15.05">
      <c r="C58" s="628"/>
    </row>
    <row r="59" spans="1:13" ht="15.05">
      <c r="C59" s="628"/>
    </row>
    <row r="60" spans="1:13" ht="15.05">
      <c r="C60" s="628"/>
    </row>
    <row r="61" spans="1:13" ht="15.05">
      <c r="C61" s="628"/>
    </row>
    <row r="62" spans="1:13" ht="15.05">
      <c r="C62" s="628"/>
    </row>
    <row r="63" spans="1:13" ht="15.05">
      <c r="C63" s="628"/>
    </row>
  </sheetData>
  <mergeCells count="10">
    <mergeCell ref="A54:I54"/>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H37"/>
  <sheetViews>
    <sheetView view="pageBreakPreview" topLeftCell="A25" zoomScaleNormal="100" zoomScaleSheetLayoutView="100" workbookViewId="0">
      <selection activeCell="F35" sqref="F35"/>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051" t="s">
        <v>62</v>
      </c>
      <c r="B1" s="1051"/>
      <c r="C1" s="1051"/>
      <c r="D1" s="1051"/>
      <c r="E1" s="1051"/>
      <c r="F1" s="1"/>
      <c r="G1" s="1"/>
      <c r="H1" s="1"/>
    </row>
    <row r="2" spans="1:8" s="2" customFormat="1" ht="22.25">
      <c r="A2" s="1051" t="s">
        <v>63</v>
      </c>
      <c r="B2" s="1051"/>
      <c r="C2" s="1051"/>
      <c r="D2" s="1051"/>
      <c r="E2" s="1051"/>
      <c r="F2" s="1"/>
      <c r="G2" s="1"/>
      <c r="H2" s="1"/>
    </row>
    <row r="3" spans="1:8" s="2" customFormat="1" ht="24.75" customHeight="1">
      <c r="A3" s="1052" t="s">
        <v>1043</v>
      </c>
      <c r="B3" s="1053"/>
      <c r="C3" s="1053"/>
      <c r="D3" s="1053"/>
      <c r="E3" s="1053"/>
      <c r="F3" s="3"/>
      <c r="G3" s="3"/>
      <c r="H3" s="3"/>
    </row>
    <row r="4" spans="1:8" s="2" customFormat="1" ht="24.9" customHeight="1" thickBot="1">
      <c r="A4" s="1067" t="s">
        <v>1125</v>
      </c>
      <c r="B4" s="1067"/>
      <c r="C4" s="1067"/>
      <c r="D4" s="1067"/>
      <c r="E4" s="1067"/>
      <c r="F4" s="4"/>
      <c r="G4" s="4"/>
      <c r="H4" s="4"/>
    </row>
    <row r="5" spans="1:8">
      <c r="A5" s="1087" t="s">
        <v>64</v>
      </c>
      <c r="B5" s="1090" t="s">
        <v>65</v>
      </c>
      <c r="C5" s="1312" t="s">
        <v>513</v>
      </c>
      <c r="D5" s="1094"/>
      <c r="E5" s="1095"/>
      <c r="F5" s="4"/>
      <c r="G5" s="4"/>
      <c r="H5" s="4"/>
    </row>
    <row r="6" spans="1:8">
      <c r="A6" s="1088"/>
      <c r="B6" s="1091"/>
      <c r="C6" s="1096"/>
      <c r="D6" s="1097"/>
      <c r="E6" s="1098"/>
      <c r="F6" s="4"/>
      <c r="G6" s="4"/>
      <c r="H6" s="4"/>
    </row>
    <row r="7" spans="1:8" ht="12.8" customHeight="1">
      <c r="A7" s="1089"/>
      <c r="B7" s="1092"/>
      <c r="C7" s="1099"/>
      <c r="D7" s="1100"/>
      <c r="E7" s="1101"/>
    </row>
    <row r="8" spans="1:8" ht="5.25" customHeight="1">
      <c r="A8" s="663"/>
      <c r="B8" s="664"/>
      <c r="C8" s="84"/>
      <c r="D8" s="134"/>
      <c r="E8" s="87"/>
    </row>
    <row r="9" spans="1:8" s="9" customFormat="1" ht="18.850000000000001" customHeight="1">
      <c r="A9" s="371" t="s">
        <v>67</v>
      </c>
      <c r="B9" s="136"/>
      <c r="C9" s="137"/>
      <c r="D9" s="138"/>
      <c r="E9" s="139"/>
    </row>
    <row r="10" spans="1:8" s="30" customFormat="1" ht="24.75" customHeight="1">
      <c r="A10" s="140" t="s">
        <v>555</v>
      </c>
      <c r="B10" s="187">
        <v>0</v>
      </c>
      <c r="C10" s="141"/>
      <c r="D10" s="142"/>
      <c r="E10" s="139"/>
    </row>
    <row r="11" spans="1:8" s="30" customFormat="1" ht="29.95" customHeight="1">
      <c r="A11" s="68" t="s">
        <v>493</v>
      </c>
      <c r="B11" s="66">
        <f>-D11+D12</f>
        <v>32542</v>
      </c>
      <c r="C11" s="812" t="s">
        <v>622</v>
      </c>
      <c r="D11" s="811">
        <v>208</v>
      </c>
      <c r="E11" s="813" t="s">
        <v>68</v>
      </c>
    </row>
    <row r="12" spans="1:8" s="30" customFormat="1" ht="20.3" customHeight="1">
      <c r="A12" s="68"/>
      <c r="B12" s="67"/>
      <c r="C12" s="812" t="s">
        <v>482</v>
      </c>
      <c r="D12" s="811">
        <v>32750</v>
      </c>
      <c r="E12" s="813" t="s">
        <v>68</v>
      </c>
    </row>
    <row r="13" spans="1:8" s="30" customFormat="1" ht="23.25" customHeight="1">
      <c r="A13" s="68" t="s">
        <v>556</v>
      </c>
      <c r="B13" s="66">
        <f>+B10+B11</f>
        <v>32542</v>
      </c>
      <c r="C13" s="141"/>
      <c r="D13" s="142"/>
      <c r="E13" s="139"/>
    </row>
    <row r="14" spans="1:8" s="30" customFormat="1" ht="27" customHeight="1">
      <c r="A14" s="140" t="s">
        <v>771</v>
      </c>
      <c r="B14" s="143">
        <f>D14+D15+D16+D17+D18+D19</f>
        <v>101956</v>
      </c>
      <c r="C14" s="812" t="s">
        <v>483</v>
      </c>
      <c r="D14" s="811">
        <v>8835</v>
      </c>
      <c r="E14" s="813" t="s">
        <v>68</v>
      </c>
      <c r="F14" s="35"/>
    </row>
    <row r="15" spans="1:8" s="30" customFormat="1" ht="20.95" hidden="1" customHeight="1">
      <c r="A15" s="68"/>
      <c r="B15" s="143"/>
      <c r="C15" s="812" t="s">
        <v>484</v>
      </c>
      <c r="D15" s="811">
        <v>0</v>
      </c>
      <c r="E15" s="813" t="s">
        <v>68</v>
      </c>
      <c r="F15" s="35"/>
    </row>
    <row r="16" spans="1:8" s="9" customFormat="1" ht="21.8" hidden="1" customHeight="1">
      <c r="A16" s="68"/>
      <c r="B16" s="143"/>
      <c r="C16" s="812" t="s">
        <v>485</v>
      </c>
      <c r="D16" s="811">
        <v>0</v>
      </c>
      <c r="E16" s="813" t="s">
        <v>68</v>
      </c>
    </row>
    <row r="17" spans="1:8" s="9" customFormat="1" ht="20.3" hidden="1" customHeight="1">
      <c r="A17" s="68"/>
      <c r="B17" s="143"/>
      <c r="C17" s="812" t="s">
        <v>486</v>
      </c>
      <c r="D17" s="811">
        <v>0</v>
      </c>
      <c r="E17" s="813" t="s">
        <v>68</v>
      </c>
    </row>
    <row r="18" spans="1:8" s="30" customFormat="1" ht="24.75" customHeight="1">
      <c r="A18" s="68" t="s">
        <v>69</v>
      </c>
      <c r="B18" s="31"/>
      <c r="C18" s="812" t="s">
        <v>1214</v>
      </c>
      <c r="D18" s="811">
        <v>93121</v>
      </c>
      <c r="E18" s="813" t="s">
        <v>68</v>
      </c>
      <c r="F18" s="36"/>
      <c r="H18" s="10"/>
    </row>
    <row r="19" spans="1:8" s="9" customFormat="1" ht="27" hidden="1" customHeight="1">
      <c r="A19" s="68" t="s">
        <v>69</v>
      </c>
      <c r="B19" s="31"/>
      <c r="C19" s="812" t="s">
        <v>519</v>
      </c>
      <c r="D19" s="811">
        <v>0</v>
      </c>
      <c r="E19" s="813" t="s">
        <v>68</v>
      </c>
    </row>
    <row r="20" spans="1:8" s="30" customFormat="1" ht="29.95" customHeight="1">
      <c r="A20" s="68" t="s">
        <v>557</v>
      </c>
      <c r="B20" s="31">
        <f>+B13+B14</f>
        <v>134498</v>
      </c>
      <c r="C20" s="141"/>
      <c r="D20" s="142"/>
      <c r="E20" s="139"/>
    </row>
    <row r="21" spans="1:8" s="30" customFormat="1" ht="29.95" customHeight="1">
      <c r="A21" s="140" t="s">
        <v>492</v>
      </c>
      <c r="B21" s="31">
        <v>4</v>
      </c>
      <c r="C21" s="1305" t="s">
        <v>1436</v>
      </c>
      <c r="D21" s="1103"/>
      <c r="E21" s="1104"/>
    </row>
    <row r="22" spans="1:8" s="9" customFormat="1" ht="23.25" customHeight="1">
      <c r="A22" s="135" t="s">
        <v>545</v>
      </c>
      <c r="B22" s="27">
        <f>+B20+B21</f>
        <v>134502</v>
      </c>
      <c r="C22" s="372"/>
      <c r="D22" s="373"/>
      <c r="E22" s="813"/>
    </row>
    <row r="23" spans="1:8" s="9" customFormat="1" ht="26.2" customHeight="1">
      <c r="A23" s="371" t="s">
        <v>70</v>
      </c>
      <c r="B23" s="27"/>
      <c r="C23" s="374"/>
      <c r="D23" s="375"/>
      <c r="E23" s="376"/>
    </row>
    <row r="24" spans="1:8" s="9" customFormat="1" ht="29.95" hidden="1" customHeight="1">
      <c r="A24" s="68" t="s">
        <v>71</v>
      </c>
      <c r="B24" s="31">
        <v>0</v>
      </c>
      <c r="C24" s="1084"/>
      <c r="D24" s="1085"/>
      <c r="E24" s="1086"/>
    </row>
    <row r="25" spans="1:8" s="9" customFormat="1" ht="27.85" customHeight="1">
      <c r="A25" s="140" t="s">
        <v>492</v>
      </c>
      <c r="B25" s="31">
        <v>204</v>
      </c>
      <c r="C25" s="1305" t="s">
        <v>1435</v>
      </c>
      <c r="D25" s="1103"/>
      <c r="E25" s="1104"/>
    </row>
    <row r="26" spans="1:8" s="9" customFormat="1" ht="42.05" hidden="1" customHeight="1">
      <c r="A26" s="68" t="s">
        <v>72</v>
      </c>
      <c r="B26" s="31">
        <v>0</v>
      </c>
      <c r="C26" s="1084" t="s">
        <v>521</v>
      </c>
      <c r="D26" s="1085"/>
      <c r="E26" s="1086"/>
    </row>
    <row r="27" spans="1:8" s="9" customFormat="1" ht="45" hidden="1" customHeight="1">
      <c r="A27" s="68" t="s">
        <v>73</v>
      </c>
      <c r="B27" s="31">
        <v>0</v>
      </c>
      <c r="C27" s="1102" t="s">
        <v>520</v>
      </c>
      <c r="D27" s="1103"/>
      <c r="E27" s="1104"/>
    </row>
    <row r="28" spans="1:8" s="9" customFormat="1" ht="29.95" hidden="1" customHeight="1">
      <c r="A28" s="68" t="s">
        <v>74</v>
      </c>
      <c r="B28" s="31">
        <v>0</v>
      </c>
      <c r="C28" s="1084" t="s">
        <v>75</v>
      </c>
      <c r="D28" s="1085"/>
      <c r="E28" s="1086"/>
    </row>
    <row r="29" spans="1:8" s="9" customFormat="1" ht="21.8" customHeight="1">
      <c r="A29" s="135" t="s">
        <v>546</v>
      </c>
      <c r="B29" s="27">
        <f>SUM(B24:B28)</f>
        <v>204</v>
      </c>
      <c r="C29" s="372"/>
      <c r="D29" s="373"/>
      <c r="E29" s="376"/>
    </row>
    <row r="30" spans="1:8" s="9" customFormat="1" ht="27.85" customHeight="1">
      <c r="A30" s="135" t="s">
        <v>488</v>
      </c>
      <c r="B30" s="144"/>
      <c r="C30" s="377"/>
      <c r="D30" s="378"/>
      <c r="E30" s="376"/>
    </row>
    <row r="31" spans="1:8" s="390" customFormat="1" ht="30.6" hidden="1" customHeight="1">
      <c r="A31" s="68" t="s">
        <v>489</v>
      </c>
      <c r="B31" s="31"/>
      <c r="C31" s="1305" t="s">
        <v>1215</v>
      </c>
      <c r="D31" s="1103"/>
      <c r="E31" s="1104"/>
    </row>
    <row r="32" spans="1:8" s="390" customFormat="1" ht="39.799999999999997" customHeight="1">
      <c r="A32" s="68" t="s">
        <v>490</v>
      </c>
      <c r="B32" s="31">
        <v>-97000</v>
      </c>
      <c r="C32" s="1313" t="s">
        <v>1434</v>
      </c>
      <c r="D32" s="1103"/>
      <c r="E32" s="1104"/>
    </row>
    <row r="33" spans="1:5" s="390" customFormat="1" ht="24.75" customHeight="1">
      <c r="A33" s="140" t="s">
        <v>790</v>
      </c>
      <c r="B33" s="31">
        <v>-32750</v>
      </c>
      <c r="C33" s="1102" t="s">
        <v>1413</v>
      </c>
      <c r="D33" s="1103"/>
      <c r="E33" s="1104"/>
    </row>
    <row r="34" spans="1:5" s="9" customFormat="1" ht="36" customHeight="1">
      <c r="A34" s="135" t="s">
        <v>791</v>
      </c>
      <c r="B34" s="77">
        <f>SUM(B31:B33)</f>
        <v>-129750</v>
      </c>
      <c r="C34" s="379"/>
      <c r="D34" s="380"/>
      <c r="E34" s="381"/>
    </row>
    <row r="35" spans="1:5" s="9" customFormat="1" ht="38.950000000000003" customHeight="1">
      <c r="A35" s="135" t="s">
        <v>553</v>
      </c>
      <c r="B35" s="77">
        <f>B22+B29+B34</f>
        <v>4956</v>
      </c>
      <c r="C35" s="382"/>
      <c r="D35" s="383"/>
      <c r="E35" s="384"/>
    </row>
    <row r="36" spans="1:5" s="9" customFormat="1" ht="34.549999999999997" customHeight="1">
      <c r="A36" s="371" t="s">
        <v>76</v>
      </c>
      <c r="B36" s="77">
        <v>411517</v>
      </c>
      <c r="C36" s="382"/>
      <c r="D36" s="383"/>
      <c r="E36" s="384"/>
    </row>
    <row r="37" spans="1:5" s="9" customFormat="1" ht="99" customHeight="1" thickBot="1">
      <c r="A37" s="385" t="s">
        <v>77</v>
      </c>
      <c r="B37" s="145">
        <v>416473</v>
      </c>
      <c r="C37" s="386"/>
      <c r="D37" s="387"/>
      <c r="E37" s="388"/>
    </row>
  </sheetData>
  <mergeCells count="16">
    <mergeCell ref="C21:E21"/>
    <mergeCell ref="C32:E32"/>
    <mergeCell ref="C33:E33"/>
    <mergeCell ref="C24:E24"/>
    <mergeCell ref="C25:E25"/>
    <mergeCell ref="C26:E26"/>
    <mergeCell ref="C27:E27"/>
    <mergeCell ref="C28:E28"/>
    <mergeCell ref="C31:E31"/>
    <mergeCell ref="A1:E1"/>
    <mergeCell ref="A2:E2"/>
    <mergeCell ref="A3:E3"/>
    <mergeCell ref="A4:E4"/>
    <mergeCell ref="A5:A7"/>
    <mergeCell ref="B5:B7"/>
    <mergeCell ref="C5:E7"/>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E53"/>
  <sheetViews>
    <sheetView view="pageBreakPreview" zoomScaleNormal="100" zoomScaleSheetLayoutView="100" workbookViewId="0">
      <selection activeCell="C10" sqref="C10"/>
    </sheetView>
  </sheetViews>
  <sheetFormatPr defaultColWidth="9" defaultRowHeight="16.399999999999999"/>
  <cols>
    <col min="1" max="1" width="15.5" style="6" customWidth="1"/>
    <col min="2" max="2" width="30" style="475" customWidth="1"/>
    <col min="3" max="3" width="15.875" style="6" customWidth="1"/>
    <col min="4" max="4" width="15.75" style="19" customWidth="1"/>
    <col min="5" max="5" width="13.125" style="6" customWidth="1"/>
    <col min="6" max="16384" width="9" style="6"/>
  </cols>
  <sheetData>
    <row r="1" spans="1:5" ht="22.25">
      <c r="A1" s="1051" t="s">
        <v>414</v>
      </c>
      <c r="B1" s="1051"/>
      <c r="C1" s="1051"/>
      <c r="D1" s="1051"/>
      <c r="E1" s="1051"/>
    </row>
    <row r="2" spans="1:5" ht="22.25">
      <c r="A2" s="1051" t="s">
        <v>415</v>
      </c>
      <c r="B2" s="1051"/>
      <c r="C2" s="1051"/>
      <c r="D2" s="1051"/>
      <c r="E2" s="1051"/>
    </row>
    <row r="3" spans="1:5" ht="24.75" customHeight="1">
      <c r="A3" s="1053" t="s">
        <v>1050</v>
      </c>
      <c r="B3" s="1053"/>
      <c r="C3" s="1053"/>
      <c r="D3" s="1053"/>
      <c r="E3" s="1053"/>
    </row>
    <row r="4" spans="1:5" ht="24.75" customHeight="1" thickBot="1">
      <c r="A4" s="1055" t="s">
        <v>1126</v>
      </c>
      <c r="B4" s="1055"/>
      <c r="C4" s="1055"/>
      <c r="D4" s="1055"/>
      <c r="E4" s="1055"/>
    </row>
    <row r="5" spans="1:5" ht="15.75" customHeight="1">
      <c r="A5" s="1235" t="s">
        <v>1129</v>
      </c>
      <c r="B5" s="1308" t="s">
        <v>417</v>
      </c>
      <c r="C5" s="1244" t="s">
        <v>1127</v>
      </c>
      <c r="D5" s="1244" t="s">
        <v>1128</v>
      </c>
      <c r="E5" s="1241" t="s">
        <v>936</v>
      </c>
    </row>
    <row r="6" spans="1:5" ht="15.75" customHeight="1">
      <c r="A6" s="1236"/>
      <c r="B6" s="1309"/>
      <c r="C6" s="1245"/>
      <c r="D6" s="1245"/>
      <c r="E6" s="1242"/>
    </row>
    <row r="7" spans="1:5" ht="15.75" customHeight="1">
      <c r="A7" s="1237"/>
      <c r="B7" s="1310"/>
      <c r="C7" s="1246"/>
      <c r="D7" s="1246"/>
      <c r="E7" s="1243"/>
    </row>
    <row r="8" spans="1:5" ht="9" customHeight="1">
      <c r="A8" s="24"/>
      <c r="B8" s="612"/>
      <c r="C8" s="665"/>
      <c r="D8" s="666"/>
      <c r="E8" s="113"/>
    </row>
    <row r="9" spans="1:5" s="30" customFormat="1" ht="24.75" customHeight="1">
      <c r="A9" s="114">
        <v>4489042</v>
      </c>
      <c r="B9" s="115" t="s">
        <v>418</v>
      </c>
      <c r="C9" s="116">
        <f>C10+C13</f>
        <v>4149493</v>
      </c>
      <c r="D9" s="116">
        <f>D10+D13</f>
        <v>4246493</v>
      </c>
      <c r="E9" s="117">
        <f>E10+E13</f>
        <v>-97000</v>
      </c>
    </row>
    <row r="10" spans="1:5" s="30" customFormat="1" ht="29.95" customHeight="1">
      <c r="A10" s="114">
        <v>4488697</v>
      </c>
      <c r="B10" s="118" t="s">
        <v>419</v>
      </c>
      <c r="C10" s="116">
        <f>SUM(C11:C12)</f>
        <v>4149076</v>
      </c>
      <c r="D10" s="116">
        <f>SUM(D11:D12)</f>
        <v>4246029</v>
      </c>
      <c r="E10" s="117">
        <f>SUM(E11:E12)</f>
        <v>-96953</v>
      </c>
    </row>
    <row r="11" spans="1:5" s="9" customFormat="1" ht="29.95" customHeight="1">
      <c r="A11" s="119">
        <v>275393</v>
      </c>
      <c r="B11" s="120" t="s">
        <v>420</v>
      </c>
      <c r="C11" s="121">
        <v>416473</v>
      </c>
      <c r="D11" s="121">
        <v>411517</v>
      </c>
      <c r="E11" s="122">
        <f>C11-D11</f>
        <v>4956</v>
      </c>
    </row>
    <row r="12" spans="1:5" s="9" customFormat="1" ht="29.95" customHeight="1">
      <c r="A12" s="119">
        <v>4213304</v>
      </c>
      <c r="B12" s="120" t="s">
        <v>422</v>
      </c>
      <c r="C12" s="121">
        <v>3732603</v>
      </c>
      <c r="D12" s="121">
        <v>3834512</v>
      </c>
      <c r="E12" s="122">
        <f>C12-D12</f>
        <v>-101909</v>
      </c>
    </row>
    <row r="13" spans="1:5" s="30" customFormat="1" ht="29.95" customHeight="1">
      <c r="A13" s="114">
        <v>345</v>
      </c>
      <c r="B13" s="118" t="s">
        <v>428</v>
      </c>
      <c r="C13" s="116">
        <f>SUM(C14:C14)</f>
        <v>417</v>
      </c>
      <c r="D13" s="116">
        <f>SUM(D14:D14)</f>
        <v>464</v>
      </c>
      <c r="E13" s="117">
        <f>SUM(E14:E14)</f>
        <v>-47</v>
      </c>
    </row>
    <row r="14" spans="1:5" s="9" customFormat="1" ht="29.95" customHeight="1">
      <c r="A14" s="119">
        <v>345</v>
      </c>
      <c r="B14" s="120" t="s">
        <v>429</v>
      </c>
      <c r="C14" s="121">
        <v>417</v>
      </c>
      <c r="D14" s="121">
        <v>464</v>
      </c>
      <c r="E14" s="122">
        <f>C14-D14</f>
        <v>-47</v>
      </c>
    </row>
    <row r="15" spans="1:5" s="9" customFormat="1" ht="29.95" hidden="1" customHeight="1">
      <c r="A15" s="119"/>
      <c r="B15" s="120"/>
      <c r="C15" s="121"/>
      <c r="D15" s="121"/>
      <c r="E15" s="122"/>
    </row>
    <row r="16" spans="1:5" s="9" customFormat="1" ht="29.95" hidden="1" customHeight="1">
      <c r="A16" s="119"/>
      <c r="B16" s="120"/>
      <c r="C16" s="121"/>
      <c r="D16" s="121"/>
      <c r="E16" s="122"/>
    </row>
    <row r="17" spans="1:5" s="9" customFormat="1" ht="29.95" hidden="1" customHeight="1">
      <c r="A17" s="119"/>
      <c r="B17" s="120"/>
      <c r="C17" s="121"/>
      <c r="D17" s="121"/>
      <c r="E17" s="122"/>
    </row>
    <row r="18" spans="1:5" s="9" customFormat="1" ht="29.95" hidden="1" customHeight="1">
      <c r="A18" s="119"/>
      <c r="B18" s="120"/>
      <c r="C18" s="121"/>
      <c r="D18" s="121"/>
      <c r="E18" s="122"/>
    </row>
    <row r="19" spans="1:5" s="9" customFormat="1" ht="29.95" hidden="1" customHeight="1">
      <c r="A19" s="119"/>
      <c r="B19" s="120"/>
      <c r="C19" s="121"/>
      <c r="D19" s="121"/>
      <c r="E19" s="122"/>
    </row>
    <row r="20" spans="1:5" s="9" customFormat="1" ht="29.95" hidden="1" customHeight="1">
      <c r="A20" s="119"/>
      <c r="B20" s="120"/>
      <c r="C20" s="121"/>
      <c r="D20" s="121"/>
      <c r="E20" s="122"/>
    </row>
    <row r="21" spans="1:5" s="9" customFormat="1" ht="29.95" hidden="1" customHeight="1">
      <c r="A21" s="119"/>
      <c r="B21" s="120"/>
      <c r="C21" s="121"/>
      <c r="D21" s="121"/>
      <c r="E21" s="122"/>
    </row>
    <row r="22" spans="1:5" s="9" customFormat="1" ht="29.95" hidden="1" customHeight="1">
      <c r="A22" s="119"/>
      <c r="B22" s="120"/>
      <c r="C22" s="121"/>
      <c r="D22" s="121"/>
      <c r="E22" s="122"/>
    </row>
    <row r="23" spans="1:5" s="9" customFormat="1" ht="29.95" hidden="1" customHeight="1">
      <c r="A23" s="119"/>
      <c r="B23" s="120"/>
      <c r="C23" s="121"/>
      <c r="D23" s="121"/>
      <c r="E23" s="122"/>
    </row>
    <row r="24" spans="1:5" s="9" customFormat="1" ht="29.95" hidden="1" customHeight="1">
      <c r="A24" s="119"/>
      <c r="B24" s="120"/>
      <c r="C24" s="121"/>
      <c r="D24" s="121"/>
      <c r="E24" s="122"/>
    </row>
    <row r="25" spans="1:5" s="9" customFormat="1" ht="29.95" hidden="1" customHeight="1">
      <c r="A25" s="119"/>
      <c r="B25" s="120"/>
      <c r="C25" s="121"/>
      <c r="D25" s="121"/>
      <c r="E25" s="122"/>
    </row>
    <row r="26" spans="1:5" s="9" customFormat="1" ht="29.95" hidden="1" customHeight="1">
      <c r="A26" s="119"/>
      <c r="B26" s="120"/>
      <c r="C26" s="121"/>
      <c r="D26" s="121"/>
      <c r="E26" s="122"/>
    </row>
    <row r="27" spans="1:5" s="9" customFormat="1" ht="23.4" hidden="1" customHeight="1">
      <c r="A27" s="119"/>
      <c r="B27" s="120"/>
      <c r="C27" s="121"/>
      <c r="D27" s="121"/>
      <c r="E27" s="122"/>
    </row>
    <row r="28" spans="1:5" s="9" customFormat="1" ht="29.3" hidden="1" customHeight="1">
      <c r="A28" s="119"/>
      <c r="B28" s="120"/>
      <c r="C28" s="121"/>
      <c r="D28" s="121"/>
      <c r="E28" s="122"/>
    </row>
    <row r="29" spans="1:5" s="9" customFormat="1" ht="15.75" customHeight="1">
      <c r="A29" s="119"/>
      <c r="B29" s="120"/>
      <c r="C29" s="121"/>
      <c r="D29" s="121"/>
      <c r="E29" s="122"/>
    </row>
    <row r="30" spans="1:5" s="30" customFormat="1" ht="27.85" customHeight="1">
      <c r="A30" s="114">
        <v>4489042</v>
      </c>
      <c r="B30" s="115" t="s">
        <v>430</v>
      </c>
      <c r="C30" s="116">
        <f>C9</f>
        <v>4149493</v>
      </c>
      <c r="D30" s="116">
        <f>D9</f>
        <v>4246493</v>
      </c>
      <c r="E30" s="117">
        <f>E9</f>
        <v>-97000</v>
      </c>
    </row>
    <row r="31" spans="1:5" s="30" customFormat="1" ht="15.05" customHeight="1">
      <c r="A31" s="114"/>
      <c r="B31" s="115"/>
      <c r="C31" s="116"/>
      <c r="D31" s="116"/>
      <c r="E31" s="117"/>
    </row>
    <row r="32" spans="1:5" s="30" customFormat="1" ht="29.3" customHeight="1">
      <c r="A32" s="114">
        <v>4489042</v>
      </c>
      <c r="B32" s="115" t="s">
        <v>431</v>
      </c>
      <c r="C32" s="116">
        <f>C33+C37</f>
        <v>4149493</v>
      </c>
      <c r="D32" s="116">
        <f>D33+D37</f>
        <v>4246493</v>
      </c>
      <c r="E32" s="117">
        <f>E33+E37</f>
        <v>-97000</v>
      </c>
    </row>
    <row r="33" spans="1:5" s="30" customFormat="1" ht="28.5" customHeight="1">
      <c r="A33" s="114">
        <v>4489042</v>
      </c>
      <c r="B33" s="118" t="s">
        <v>432</v>
      </c>
      <c r="C33" s="116">
        <f>SUM(C34:C36)</f>
        <v>4149493</v>
      </c>
      <c r="D33" s="116">
        <f>SUM(D34:D36)</f>
        <v>4246493</v>
      </c>
      <c r="E33" s="117">
        <f>SUM(E34:E36)</f>
        <v>-97000</v>
      </c>
    </row>
    <row r="34" spans="1:5" s="9" customFormat="1" ht="29.95" customHeight="1">
      <c r="A34" s="119">
        <v>4150000</v>
      </c>
      <c r="B34" s="120" t="s">
        <v>433</v>
      </c>
      <c r="C34" s="121">
        <v>3775000</v>
      </c>
      <c r="D34" s="121">
        <v>3872000</v>
      </c>
      <c r="E34" s="122">
        <f>C34-D34</f>
        <v>-97000</v>
      </c>
    </row>
    <row r="35" spans="1:5" s="9" customFormat="1" ht="29.95" customHeight="1">
      <c r="A35" s="119">
        <v>106884</v>
      </c>
      <c r="B35" s="120" t="s">
        <v>434</v>
      </c>
      <c r="C35" s="121">
        <v>99993</v>
      </c>
      <c r="D35" s="121">
        <v>99993</v>
      </c>
      <c r="E35" s="132">
        <f>C35-D35</f>
        <v>0</v>
      </c>
    </row>
    <row r="36" spans="1:5" s="9" customFormat="1" ht="29.95" customHeight="1">
      <c r="A36" s="119">
        <v>232158</v>
      </c>
      <c r="B36" s="120" t="s">
        <v>435</v>
      </c>
      <c r="C36" s="121">
        <v>274500</v>
      </c>
      <c r="D36" s="121">
        <v>274500</v>
      </c>
      <c r="E36" s="132">
        <f>C36-D36</f>
        <v>0</v>
      </c>
    </row>
    <row r="37" spans="1:5" s="30" customFormat="1" ht="29.95" hidden="1" customHeight="1">
      <c r="A37" s="130">
        <v>0</v>
      </c>
      <c r="B37" s="123" t="s">
        <v>436</v>
      </c>
      <c r="C37" s="131">
        <f>SUM(C38:C38)</f>
        <v>0</v>
      </c>
      <c r="D37" s="131">
        <f>SUM(D38:D38)</f>
        <v>0</v>
      </c>
      <c r="E37" s="124">
        <f>SUM(E38:E38)</f>
        <v>0</v>
      </c>
    </row>
    <row r="38" spans="1:5" s="9" customFormat="1" ht="29.95" hidden="1" customHeight="1">
      <c r="A38" s="130">
        <v>0</v>
      </c>
      <c r="B38" s="120" t="s">
        <v>437</v>
      </c>
      <c r="C38" s="131">
        <v>0</v>
      </c>
      <c r="D38" s="131">
        <v>0</v>
      </c>
      <c r="E38" s="132">
        <f>C38-D38</f>
        <v>0</v>
      </c>
    </row>
    <row r="39" spans="1:5" s="30" customFormat="1" ht="22.6" customHeight="1">
      <c r="A39" s="130">
        <f>A40</f>
        <v>0</v>
      </c>
      <c r="B39" s="115" t="s">
        <v>438</v>
      </c>
      <c r="C39" s="131">
        <f t="shared" ref="C39:E40" si="0">C40</f>
        <v>0</v>
      </c>
      <c r="D39" s="131">
        <f t="shared" si="0"/>
        <v>0</v>
      </c>
      <c r="E39" s="132">
        <f t="shared" si="0"/>
        <v>0</v>
      </c>
    </row>
    <row r="40" spans="1:5" s="30" customFormat="1" ht="29.95" customHeight="1">
      <c r="A40" s="130">
        <f>A41</f>
        <v>0</v>
      </c>
      <c r="B40" s="118" t="s">
        <v>554</v>
      </c>
      <c r="C40" s="131">
        <f t="shared" si="0"/>
        <v>0</v>
      </c>
      <c r="D40" s="131">
        <f t="shared" si="0"/>
        <v>0</v>
      </c>
      <c r="E40" s="132">
        <f t="shared" si="0"/>
        <v>0</v>
      </c>
    </row>
    <row r="41" spans="1:5" s="9" customFormat="1" ht="85.25" customHeight="1">
      <c r="A41" s="133">
        <v>0</v>
      </c>
      <c r="B41" s="120" t="s">
        <v>439</v>
      </c>
      <c r="C41" s="129">
        <v>0</v>
      </c>
      <c r="D41" s="129">
        <v>0</v>
      </c>
      <c r="E41" s="124">
        <v>0</v>
      </c>
    </row>
    <row r="42" spans="1:5" s="9" customFormat="1" ht="29.95" hidden="1" customHeight="1">
      <c r="A42" s="133"/>
      <c r="B42" s="120"/>
      <c r="C42" s="129"/>
      <c r="D42" s="129"/>
      <c r="E42" s="124"/>
    </row>
    <row r="43" spans="1:5" s="9" customFormat="1" ht="29.95" hidden="1" customHeight="1">
      <c r="A43" s="133"/>
      <c r="B43" s="120"/>
      <c r="C43" s="129"/>
      <c r="D43" s="129"/>
      <c r="E43" s="124"/>
    </row>
    <row r="44" spans="1:5" s="9" customFormat="1" ht="29.95" hidden="1" customHeight="1">
      <c r="A44" s="133"/>
      <c r="B44" s="120"/>
      <c r="C44" s="129"/>
      <c r="D44" s="129"/>
      <c r="E44" s="124"/>
    </row>
    <row r="45" spans="1:5" s="9" customFormat="1" ht="29.95" hidden="1" customHeight="1">
      <c r="A45" s="133"/>
      <c r="B45" s="120"/>
      <c r="C45" s="129"/>
      <c r="D45" s="129"/>
      <c r="E45" s="124"/>
    </row>
    <row r="46" spans="1:5" s="9" customFormat="1" ht="29.95" hidden="1" customHeight="1">
      <c r="A46" s="133"/>
      <c r="B46" s="120"/>
      <c r="C46" s="129"/>
      <c r="D46" s="129"/>
      <c r="E46" s="124"/>
    </row>
    <row r="47" spans="1:5" s="9" customFormat="1" ht="29.95" hidden="1" customHeight="1">
      <c r="A47" s="133"/>
      <c r="B47" s="120"/>
      <c r="C47" s="129"/>
      <c r="D47" s="129"/>
      <c r="E47" s="124"/>
    </row>
    <row r="48" spans="1:5" s="9" customFormat="1" ht="29.95" hidden="1" customHeight="1">
      <c r="A48" s="133"/>
      <c r="B48" s="120"/>
      <c r="C48" s="129"/>
      <c r="D48" s="129"/>
      <c r="E48" s="124"/>
    </row>
    <row r="49" spans="1:5" s="9" customFormat="1" ht="2.95" hidden="1" customHeight="1">
      <c r="A49" s="133"/>
      <c r="B49" s="120"/>
      <c r="C49" s="129"/>
      <c r="D49" s="129"/>
      <c r="E49" s="124"/>
    </row>
    <row r="50" spans="1:5" s="9" customFormat="1" ht="71.2" customHeight="1">
      <c r="A50" s="133"/>
      <c r="B50" s="120"/>
      <c r="C50" s="129"/>
      <c r="D50" s="129"/>
      <c r="E50" s="124"/>
    </row>
    <row r="51" spans="1:5" s="9" customFormat="1" ht="8.35" customHeight="1">
      <c r="A51" s="133"/>
      <c r="B51" s="120"/>
      <c r="C51" s="129"/>
      <c r="D51" s="129"/>
      <c r="E51" s="124"/>
    </row>
    <row r="52" spans="1:5" s="9" customFormat="1" ht="22.95" customHeight="1" thickBot="1">
      <c r="A52" s="125">
        <v>4489042</v>
      </c>
      <c r="B52" s="126" t="s">
        <v>38</v>
      </c>
      <c r="C52" s="127">
        <f>C32+C39</f>
        <v>4149493</v>
      </c>
      <c r="D52" s="127">
        <f>D32+D39</f>
        <v>4246493</v>
      </c>
      <c r="E52" s="128">
        <f>E32+E39</f>
        <v>-97000</v>
      </c>
    </row>
    <row r="53" spans="1:5">
      <c r="A53" s="6" t="s">
        <v>1092</v>
      </c>
    </row>
  </sheetData>
  <mergeCells count="9">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O73"/>
  <sheetViews>
    <sheetView view="pageBreakPreview" zoomScale="125" zoomScaleNormal="100" zoomScaleSheetLayoutView="125" workbookViewId="0">
      <pane xSplit="3" ySplit="7" topLeftCell="D58" activePane="bottomRight" state="frozen"/>
      <selection activeCell="A18" sqref="A18"/>
      <selection pane="topRight" activeCell="A18" sqref="A18"/>
      <selection pane="bottomLeft" activeCell="A18" sqref="A18"/>
      <selection pane="bottomRight" activeCell="P57" sqref="P57"/>
    </sheetView>
  </sheetViews>
  <sheetFormatPr defaultColWidth="9" defaultRowHeight="16.399999999999999"/>
  <cols>
    <col min="1" max="1" width="10.5" style="2" customWidth="1"/>
    <col min="2" max="2" width="6.625" style="2" customWidth="1"/>
    <col min="3" max="3" width="20.75" style="611" customWidth="1"/>
    <col min="4" max="4" width="10.5" style="157" customWidth="1"/>
    <col min="5" max="5" width="7.375" style="288" customWidth="1"/>
    <col min="6" max="6" width="9.75" style="2" customWidth="1"/>
    <col min="7" max="7" width="7.625" style="2" customWidth="1"/>
    <col min="8" max="8" width="10.5" style="2" customWidth="1"/>
    <col min="9" max="9" width="6.625" style="2" customWidth="1"/>
    <col min="10" max="10" width="9" style="632"/>
    <col min="11" max="13" width="9.625" style="2" hidden="1" customWidth="1"/>
    <col min="14" max="16384" width="9" style="2"/>
  </cols>
  <sheetData>
    <row r="1" spans="1:15" ht="20.95" customHeight="1">
      <c r="A1" s="1051" t="s">
        <v>461</v>
      </c>
      <c r="B1" s="1051"/>
      <c r="C1" s="1051"/>
      <c r="D1" s="1051"/>
      <c r="E1" s="1051"/>
      <c r="F1" s="1051"/>
      <c r="G1" s="1051"/>
      <c r="H1" s="1051"/>
      <c r="I1" s="1051"/>
    </row>
    <row r="2" spans="1:15" ht="20.95" customHeight="1">
      <c r="A2" s="1051" t="s">
        <v>460</v>
      </c>
      <c r="B2" s="1051"/>
      <c r="C2" s="1051"/>
      <c r="D2" s="1051"/>
      <c r="E2" s="1051"/>
      <c r="F2" s="1051"/>
      <c r="G2" s="1051"/>
      <c r="H2" s="1051"/>
      <c r="I2" s="1051"/>
    </row>
    <row r="3" spans="1:15" ht="24.75" customHeight="1">
      <c r="A3" s="1053" t="s">
        <v>459</v>
      </c>
      <c r="B3" s="1053"/>
      <c r="C3" s="1053"/>
      <c r="D3" s="1053"/>
      <c r="E3" s="1053"/>
      <c r="F3" s="1053"/>
      <c r="G3" s="1053"/>
      <c r="H3" s="1053"/>
      <c r="I3" s="1053"/>
    </row>
    <row r="4" spans="1:15" ht="24.9" customHeight="1" thickBot="1">
      <c r="A4" s="1055" t="s">
        <v>1132</v>
      </c>
      <c r="B4" s="1055"/>
      <c r="C4" s="1055"/>
      <c r="D4" s="1055"/>
      <c r="E4" s="1055"/>
      <c r="F4" s="1055"/>
      <c r="G4" s="1055"/>
      <c r="H4" s="1055"/>
      <c r="I4" s="1055"/>
      <c r="J4" s="632" t="s">
        <v>458</v>
      </c>
    </row>
    <row r="5" spans="1:15" ht="20.95" customHeight="1">
      <c r="A5" s="1302" t="s">
        <v>345</v>
      </c>
      <c r="B5" s="1057"/>
      <c r="C5" s="1058" t="s">
        <v>16</v>
      </c>
      <c r="D5" s="1057" t="s">
        <v>346</v>
      </c>
      <c r="E5" s="1057"/>
      <c r="F5" s="1057" t="s">
        <v>347</v>
      </c>
      <c r="G5" s="1057"/>
      <c r="H5" s="1058" t="s">
        <v>938</v>
      </c>
      <c r="I5" s="1060"/>
    </row>
    <row r="6" spans="1:15" ht="19.5" customHeight="1">
      <c r="A6" s="554" t="s">
        <v>457</v>
      </c>
      <c r="B6" s="940" t="s">
        <v>349</v>
      </c>
      <c r="C6" s="1303"/>
      <c r="D6" s="555" t="s">
        <v>457</v>
      </c>
      <c r="E6" s="556" t="s">
        <v>349</v>
      </c>
      <c r="F6" s="940" t="s">
        <v>457</v>
      </c>
      <c r="G6" s="940" t="s">
        <v>349</v>
      </c>
      <c r="H6" s="940" t="s">
        <v>457</v>
      </c>
      <c r="I6" s="557" t="s">
        <v>349</v>
      </c>
    </row>
    <row r="7" spans="1:15" ht="8.1999999999999993" customHeight="1">
      <c r="A7" s="558"/>
      <c r="B7" s="167"/>
      <c r="C7" s="166"/>
      <c r="D7" s="559"/>
      <c r="E7" s="560"/>
      <c r="F7" s="167"/>
      <c r="G7" s="167"/>
      <c r="H7" s="167"/>
      <c r="I7" s="561"/>
    </row>
    <row r="8" spans="1:15" s="30" customFormat="1" ht="28.8" customHeight="1">
      <c r="A8" s="311">
        <v>580867</v>
      </c>
      <c r="B8" s="562">
        <v>100</v>
      </c>
      <c r="C8" s="563" t="s">
        <v>17</v>
      </c>
      <c r="D8" s="564">
        <f>D13+D9+D17</f>
        <v>675637</v>
      </c>
      <c r="E8" s="562">
        <v>100</v>
      </c>
      <c r="F8" s="564">
        <f>F13+F9+F17</f>
        <v>607302</v>
      </c>
      <c r="G8" s="562">
        <v>100</v>
      </c>
      <c r="H8" s="565">
        <f t="shared" ref="H8:H59" si="0">D8-F8</f>
        <v>68335</v>
      </c>
      <c r="I8" s="326">
        <f t="shared" ref="I8:I16" si="1">ROUND(H8/F8*100,2)</f>
        <v>11.25</v>
      </c>
      <c r="J8" s="637"/>
      <c r="K8" s="629">
        <f t="shared" ref="K8:K59" si="2">ROUND(A8/$A$8*100,4)</f>
        <v>100</v>
      </c>
      <c r="L8" s="629">
        <f t="shared" ref="L8:L59" si="3">ROUND(D8/$D$8*100,4)</f>
        <v>100</v>
      </c>
      <c r="M8" s="629">
        <f t="shared" ref="M8:M59" si="4">ROUND(F8/$F$8*100,4)</f>
        <v>100</v>
      </c>
    </row>
    <row r="9" spans="1:15" s="30" customFormat="1" ht="26.05" customHeight="1">
      <c r="A9" s="311">
        <v>102162</v>
      </c>
      <c r="B9" s="562">
        <f t="shared" ref="B9:B17" si="5">ROUND(A9/$A$8*100,2)</f>
        <v>17.59</v>
      </c>
      <c r="C9" s="563" t="s">
        <v>456</v>
      </c>
      <c r="D9" s="564">
        <f>D10</f>
        <v>72525</v>
      </c>
      <c r="E9" s="567">
        <f t="shared" ref="E9:E59" si="6">ROUND(D9/$D$8*100,2)</f>
        <v>10.73</v>
      </c>
      <c r="F9" s="564">
        <f>F10</f>
        <v>69689</v>
      </c>
      <c r="G9" s="567">
        <f t="shared" ref="G9:G59" si="7">ROUND(F9/$F$8*100,2)</f>
        <v>11.48</v>
      </c>
      <c r="H9" s="565">
        <f t="shared" si="0"/>
        <v>2836</v>
      </c>
      <c r="I9" s="326">
        <f t="shared" si="1"/>
        <v>4.07</v>
      </c>
      <c r="J9" s="637"/>
      <c r="K9" s="629">
        <f t="shared" si="2"/>
        <v>17.587800000000001</v>
      </c>
      <c r="L9" s="629">
        <f t="shared" si="3"/>
        <v>10.734299999999999</v>
      </c>
      <c r="M9" s="629">
        <f t="shared" si="4"/>
        <v>11.475199999999999</v>
      </c>
    </row>
    <row r="10" spans="1:15" s="9" customFormat="1" ht="27" customHeight="1">
      <c r="A10" s="568">
        <v>102162</v>
      </c>
      <c r="B10" s="569">
        <f t="shared" si="5"/>
        <v>17.59</v>
      </c>
      <c r="C10" s="570" t="s">
        <v>455</v>
      </c>
      <c r="D10" s="574">
        <f>SUM(D11:D12)</f>
        <v>72525</v>
      </c>
      <c r="E10" s="367">
        <f t="shared" si="6"/>
        <v>10.73</v>
      </c>
      <c r="F10" s="574">
        <f>SUM(F11:F12)</f>
        <v>69689</v>
      </c>
      <c r="G10" s="367">
        <f t="shared" si="7"/>
        <v>11.48</v>
      </c>
      <c r="H10" s="575">
        <f t="shared" si="0"/>
        <v>2836</v>
      </c>
      <c r="I10" s="322">
        <f t="shared" si="1"/>
        <v>4.07</v>
      </c>
      <c r="J10" s="634"/>
      <c r="K10" s="604">
        <f t="shared" si="2"/>
        <v>17.587800000000001</v>
      </c>
      <c r="L10" s="604">
        <f t="shared" si="3"/>
        <v>10.734299999999999</v>
      </c>
      <c r="M10" s="604">
        <f t="shared" si="4"/>
        <v>11.475199999999999</v>
      </c>
    </row>
    <row r="11" spans="1:15" s="9" customFormat="1" ht="29.95" customHeight="1">
      <c r="A11" s="568">
        <v>101196</v>
      </c>
      <c r="B11" s="569">
        <f t="shared" si="5"/>
        <v>17.420000000000002</v>
      </c>
      <c r="C11" s="570" t="s">
        <v>447</v>
      </c>
      <c r="D11" s="574">
        <v>72194</v>
      </c>
      <c r="E11" s="367">
        <f t="shared" si="6"/>
        <v>10.69</v>
      </c>
      <c r="F11" s="574">
        <v>68992</v>
      </c>
      <c r="G11" s="367">
        <f t="shared" si="7"/>
        <v>11.36</v>
      </c>
      <c r="H11" s="575">
        <f t="shared" si="0"/>
        <v>3202</v>
      </c>
      <c r="I11" s="322">
        <f t="shared" si="1"/>
        <v>4.6399999999999997</v>
      </c>
      <c r="J11" s="634"/>
      <c r="K11" s="604">
        <f t="shared" si="2"/>
        <v>17.421500000000002</v>
      </c>
      <c r="L11" s="604">
        <f t="shared" si="3"/>
        <v>10.6853</v>
      </c>
      <c r="M11" s="604">
        <f t="shared" si="4"/>
        <v>11.3604</v>
      </c>
      <c r="O11" s="641"/>
    </row>
    <row r="12" spans="1:15" s="9" customFormat="1" ht="29.95" customHeight="1">
      <c r="A12" s="568">
        <v>967</v>
      </c>
      <c r="B12" s="569">
        <f t="shared" si="5"/>
        <v>0.17</v>
      </c>
      <c r="C12" s="570" t="s">
        <v>444</v>
      </c>
      <c r="D12" s="574">
        <v>331</v>
      </c>
      <c r="E12" s="367">
        <f t="shared" si="6"/>
        <v>0.05</v>
      </c>
      <c r="F12" s="574">
        <v>697</v>
      </c>
      <c r="G12" s="367">
        <f t="shared" si="7"/>
        <v>0.11</v>
      </c>
      <c r="H12" s="575">
        <f t="shared" si="0"/>
        <v>-366</v>
      </c>
      <c r="I12" s="322">
        <f t="shared" si="1"/>
        <v>-52.51</v>
      </c>
      <c r="J12" s="634"/>
      <c r="K12" s="604">
        <f t="shared" si="2"/>
        <v>0.16650000000000001</v>
      </c>
      <c r="L12" s="604">
        <f t="shared" si="3"/>
        <v>4.9000000000000002E-2</v>
      </c>
      <c r="M12" s="604">
        <f t="shared" si="4"/>
        <v>0.1148</v>
      </c>
      <c r="O12" s="640"/>
    </row>
    <row r="13" spans="1:15" s="30" customFormat="1" ht="29.95" customHeight="1">
      <c r="A13" s="311">
        <v>458704</v>
      </c>
      <c r="B13" s="562">
        <f t="shared" si="5"/>
        <v>78.97</v>
      </c>
      <c r="C13" s="563" t="s">
        <v>454</v>
      </c>
      <c r="D13" s="564">
        <f>D14</f>
        <v>563112</v>
      </c>
      <c r="E13" s="567">
        <f t="shared" si="6"/>
        <v>83.35</v>
      </c>
      <c r="F13" s="564">
        <f>F14</f>
        <v>517613</v>
      </c>
      <c r="G13" s="567">
        <f t="shared" si="7"/>
        <v>85.23</v>
      </c>
      <c r="H13" s="565">
        <f t="shared" si="0"/>
        <v>45499</v>
      </c>
      <c r="I13" s="326">
        <f t="shared" si="1"/>
        <v>8.7899999999999991</v>
      </c>
      <c r="J13" s="637"/>
      <c r="K13" s="629">
        <f t="shared" si="2"/>
        <v>78.968900000000005</v>
      </c>
      <c r="L13" s="629">
        <f t="shared" si="3"/>
        <v>83.345299999999995</v>
      </c>
      <c r="M13" s="629">
        <f t="shared" si="4"/>
        <v>85.2316</v>
      </c>
    </row>
    <row r="14" spans="1:15" s="9" customFormat="1" ht="29.95" customHeight="1">
      <c r="A14" s="568">
        <v>458704</v>
      </c>
      <c r="B14" s="569">
        <f t="shared" si="5"/>
        <v>78.97</v>
      </c>
      <c r="C14" s="585" t="s">
        <v>453</v>
      </c>
      <c r="D14" s="574">
        <f>SUM(D15:D16)</f>
        <v>563112</v>
      </c>
      <c r="E14" s="367">
        <f t="shared" si="6"/>
        <v>83.35</v>
      </c>
      <c r="F14" s="574">
        <f>SUM(F15:F16)</f>
        <v>517613</v>
      </c>
      <c r="G14" s="367">
        <f t="shared" si="7"/>
        <v>85.23</v>
      </c>
      <c r="H14" s="575">
        <f t="shared" si="0"/>
        <v>45499</v>
      </c>
      <c r="I14" s="322">
        <f t="shared" si="1"/>
        <v>8.7899999999999991</v>
      </c>
      <c r="J14" s="634"/>
      <c r="K14" s="604">
        <f t="shared" si="2"/>
        <v>78.968900000000005</v>
      </c>
      <c r="L14" s="604">
        <f t="shared" si="3"/>
        <v>83.345299999999995</v>
      </c>
      <c r="M14" s="604">
        <f t="shared" si="4"/>
        <v>85.2316</v>
      </c>
    </row>
    <row r="15" spans="1:15" s="9" customFormat="1" ht="29.95" customHeight="1">
      <c r="A15" s="568">
        <v>430394</v>
      </c>
      <c r="B15" s="569">
        <f t="shared" si="5"/>
        <v>74.099999999999994</v>
      </c>
      <c r="C15" s="570" t="s">
        <v>447</v>
      </c>
      <c r="D15" s="574">
        <v>555233</v>
      </c>
      <c r="E15" s="367">
        <f t="shared" si="6"/>
        <v>82.18</v>
      </c>
      <c r="F15" s="574">
        <v>493270</v>
      </c>
      <c r="G15" s="367">
        <f t="shared" si="7"/>
        <v>81.22</v>
      </c>
      <c r="H15" s="575">
        <f t="shared" si="0"/>
        <v>61963</v>
      </c>
      <c r="I15" s="322">
        <f t="shared" si="1"/>
        <v>12.56</v>
      </c>
      <c r="J15" s="634"/>
      <c r="K15" s="604">
        <f t="shared" si="2"/>
        <v>74.095100000000002</v>
      </c>
      <c r="L15" s="604">
        <f t="shared" si="3"/>
        <v>82.179199999999994</v>
      </c>
      <c r="M15" s="604">
        <f t="shared" si="4"/>
        <v>81.223200000000006</v>
      </c>
    </row>
    <row r="16" spans="1:15" s="9" customFormat="1" ht="29.95" customHeight="1">
      <c r="A16" s="586">
        <v>28310</v>
      </c>
      <c r="B16" s="569">
        <f t="shared" si="5"/>
        <v>4.87</v>
      </c>
      <c r="C16" s="570" t="s">
        <v>444</v>
      </c>
      <c r="D16" s="571">
        <v>7879</v>
      </c>
      <c r="E16" s="367">
        <f t="shared" si="6"/>
        <v>1.17</v>
      </c>
      <c r="F16" s="571">
        <v>24343</v>
      </c>
      <c r="G16" s="367">
        <f t="shared" si="7"/>
        <v>4.01</v>
      </c>
      <c r="H16" s="321">
        <f t="shared" si="0"/>
        <v>-16464</v>
      </c>
      <c r="I16" s="322">
        <f t="shared" si="1"/>
        <v>-67.63</v>
      </c>
      <c r="J16" s="634"/>
      <c r="K16" s="604">
        <f t="shared" si="2"/>
        <v>4.8737000000000004</v>
      </c>
      <c r="L16" s="604">
        <f t="shared" si="3"/>
        <v>1.1661999999999999</v>
      </c>
      <c r="M16" s="604">
        <f t="shared" si="4"/>
        <v>4.0084</v>
      </c>
    </row>
    <row r="17" spans="1:13" s="30" customFormat="1" ht="29" customHeight="1">
      <c r="A17" s="311">
        <v>20000</v>
      </c>
      <c r="B17" s="562">
        <f t="shared" si="5"/>
        <v>3.44</v>
      </c>
      <c r="C17" s="563" t="s">
        <v>452</v>
      </c>
      <c r="D17" s="564">
        <f>+D20+D18</f>
        <v>40000</v>
      </c>
      <c r="E17" s="567">
        <f t="shared" si="6"/>
        <v>5.92</v>
      </c>
      <c r="F17" s="564">
        <f>+F20+F18</f>
        <v>20000</v>
      </c>
      <c r="G17" s="567">
        <f t="shared" si="7"/>
        <v>3.29</v>
      </c>
      <c r="H17" s="630">
        <f t="shared" si="0"/>
        <v>20000</v>
      </c>
      <c r="I17" s="326">
        <f>ROUND(H17/F17*100,2)</f>
        <v>100</v>
      </c>
      <c r="J17" s="637"/>
      <c r="K17" s="629">
        <f t="shared" si="2"/>
        <v>3.4430999999999998</v>
      </c>
      <c r="L17" s="629">
        <f t="shared" si="3"/>
        <v>5.9203000000000001</v>
      </c>
      <c r="M17" s="629">
        <f t="shared" si="4"/>
        <v>3.2932999999999999</v>
      </c>
    </row>
    <row r="18" spans="1:13" s="9" customFormat="1" ht="29" customHeight="1">
      <c r="A18" s="586">
        <v>20000</v>
      </c>
      <c r="B18" s="569">
        <f t="shared" ref="B18:B59" si="8">ROUND(A18/$A$8*100,2)</f>
        <v>3.44</v>
      </c>
      <c r="C18" s="588" t="s">
        <v>451</v>
      </c>
      <c r="D18" s="574">
        <f>D19</f>
        <v>40000</v>
      </c>
      <c r="E18" s="367">
        <f t="shared" si="6"/>
        <v>5.92</v>
      </c>
      <c r="F18" s="574">
        <f>F19</f>
        <v>20000</v>
      </c>
      <c r="G18" s="367">
        <f t="shared" si="7"/>
        <v>3.29</v>
      </c>
      <c r="H18" s="571">
        <f t="shared" si="0"/>
        <v>20000</v>
      </c>
      <c r="I18" s="320">
        <f>ROUND(H18/F18*100,2)</f>
        <v>100</v>
      </c>
      <c r="J18" s="634"/>
      <c r="K18" s="604">
        <f t="shared" si="2"/>
        <v>3.4430999999999998</v>
      </c>
      <c r="L18" s="604">
        <f t="shared" si="3"/>
        <v>5.9203000000000001</v>
      </c>
      <c r="M18" s="604">
        <f t="shared" si="4"/>
        <v>3.2932999999999999</v>
      </c>
    </row>
    <row r="19" spans="1:13" s="9" customFormat="1" ht="29" customHeight="1">
      <c r="A19" s="568">
        <v>20000</v>
      </c>
      <c r="B19" s="569">
        <f t="shared" si="8"/>
        <v>3.44</v>
      </c>
      <c r="C19" s="570" t="s">
        <v>444</v>
      </c>
      <c r="D19" s="574">
        <v>40000</v>
      </c>
      <c r="E19" s="367">
        <f t="shared" si="6"/>
        <v>5.92</v>
      </c>
      <c r="F19" s="574">
        <v>20000</v>
      </c>
      <c r="G19" s="367">
        <f t="shared" si="7"/>
        <v>3.29</v>
      </c>
      <c r="H19" s="571">
        <f t="shared" si="0"/>
        <v>20000</v>
      </c>
      <c r="I19" s="320">
        <f>ROUND(H19/F19*100,2)</f>
        <v>100</v>
      </c>
      <c r="J19" s="634"/>
      <c r="K19" s="604">
        <f t="shared" si="2"/>
        <v>3.4430999999999998</v>
      </c>
      <c r="L19" s="604">
        <f t="shared" si="3"/>
        <v>5.9203000000000001</v>
      </c>
      <c r="M19" s="604">
        <f t="shared" si="4"/>
        <v>3.2932999999999999</v>
      </c>
    </row>
    <row r="20" spans="1:13" s="9" customFormat="1" ht="26.05" hidden="1" customHeight="1">
      <c r="A20" s="586">
        <v>0</v>
      </c>
      <c r="B20" s="569">
        <f t="shared" si="8"/>
        <v>0</v>
      </c>
      <c r="C20" s="588" t="s">
        <v>450</v>
      </c>
      <c r="D20" s="571">
        <f>D22</f>
        <v>0</v>
      </c>
      <c r="E20" s="367">
        <f t="shared" si="6"/>
        <v>0</v>
      </c>
      <c r="F20" s="574">
        <f>F22</f>
        <v>0</v>
      </c>
      <c r="G20" s="367">
        <f t="shared" si="7"/>
        <v>0</v>
      </c>
      <c r="H20" s="575">
        <f t="shared" si="0"/>
        <v>0</v>
      </c>
      <c r="I20" s="322" t="e">
        <f>ROUND(H20/F20*100,2)</f>
        <v>#DIV/0!</v>
      </c>
      <c r="J20" s="634"/>
      <c r="K20" s="604">
        <f t="shared" si="2"/>
        <v>0</v>
      </c>
      <c r="L20" s="604">
        <f t="shared" si="3"/>
        <v>0</v>
      </c>
      <c r="M20" s="604">
        <f t="shared" si="4"/>
        <v>0</v>
      </c>
    </row>
    <row r="21" spans="1:13" s="9" customFormat="1" ht="28.15" hidden="1" customHeight="1">
      <c r="A21" s="944">
        <v>0</v>
      </c>
      <c r="B21" s="367">
        <f t="shared" ref="B21" si="9">ROUND(A21/$A$8*100,2)</f>
        <v>0</v>
      </c>
      <c r="C21" s="570" t="s">
        <v>599</v>
      </c>
      <c r="D21" s="367">
        <v>0</v>
      </c>
      <c r="E21" s="367">
        <f t="shared" ref="E21" si="10">ROUND(D21/$D$8*100,2)</f>
        <v>0</v>
      </c>
      <c r="F21" s="367">
        <v>0</v>
      </c>
      <c r="G21" s="367">
        <f t="shared" ref="G21" si="11">ROUND(F21/$F$8*100,2)</f>
        <v>0</v>
      </c>
      <c r="H21" s="367">
        <f t="shared" ref="H21" si="12">D21-F21</f>
        <v>0</v>
      </c>
      <c r="I21" s="320">
        <v>0</v>
      </c>
      <c r="J21" s="634"/>
      <c r="K21" s="604">
        <f t="shared" ref="K21" si="13">ROUND(A21/$A$8*100,4)</f>
        <v>0</v>
      </c>
      <c r="L21" s="604">
        <f t="shared" ref="L21" si="14">ROUND(D21/$D$8*100,4)</f>
        <v>0</v>
      </c>
      <c r="M21" s="604">
        <f t="shared" ref="M21" si="15">ROUND(F21/$F$8*100,4)</f>
        <v>0</v>
      </c>
    </row>
    <row r="22" spans="1:13" s="9" customFormat="1" ht="27" hidden="1" customHeight="1">
      <c r="A22" s="568">
        <v>0</v>
      </c>
      <c r="B22" s="569">
        <f t="shared" si="8"/>
        <v>0</v>
      </c>
      <c r="C22" s="570" t="s">
        <v>444</v>
      </c>
      <c r="D22" s="367">
        <v>0</v>
      </c>
      <c r="E22" s="367">
        <f t="shared" si="6"/>
        <v>0</v>
      </c>
      <c r="F22" s="574">
        <v>0</v>
      </c>
      <c r="G22" s="367">
        <f t="shared" si="7"/>
        <v>0</v>
      </c>
      <c r="H22" s="575">
        <f t="shared" si="0"/>
        <v>0</v>
      </c>
      <c r="I22" s="322" t="e">
        <f>ROUND(H22/F22*100,2)</f>
        <v>#DIV/0!</v>
      </c>
      <c r="J22" s="634"/>
      <c r="K22" s="604">
        <f t="shared" si="2"/>
        <v>0</v>
      </c>
      <c r="L22" s="604">
        <f t="shared" si="3"/>
        <v>0</v>
      </c>
      <c r="M22" s="604">
        <f t="shared" si="4"/>
        <v>0</v>
      </c>
    </row>
    <row r="23" spans="1:13" s="30" customFormat="1" ht="26.35" customHeight="1">
      <c r="A23" s="311">
        <v>586104</v>
      </c>
      <c r="B23" s="562">
        <f t="shared" si="8"/>
        <v>100.9</v>
      </c>
      <c r="C23" s="563" t="s">
        <v>449</v>
      </c>
      <c r="D23" s="564">
        <f>D28+D36+D24</f>
        <v>679387</v>
      </c>
      <c r="E23" s="567">
        <f t="shared" si="6"/>
        <v>100.56</v>
      </c>
      <c r="F23" s="564">
        <f>F28+F36+F24</f>
        <v>610942</v>
      </c>
      <c r="G23" s="567">
        <f t="shared" si="7"/>
        <v>100.6</v>
      </c>
      <c r="H23" s="565">
        <f t="shared" si="0"/>
        <v>68445</v>
      </c>
      <c r="I23" s="326">
        <f>ROUND(H23/F23*100,2)</f>
        <v>11.2</v>
      </c>
      <c r="J23" s="637"/>
      <c r="K23" s="629">
        <f t="shared" si="2"/>
        <v>100.9016</v>
      </c>
      <c r="L23" s="629">
        <f t="shared" si="3"/>
        <v>100.55500000000001</v>
      </c>
      <c r="M23" s="629">
        <f t="shared" si="4"/>
        <v>100.5994</v>
      </c>
    </row>
    <row r="24" spans="1:13" s="30" customFormat="1" ht="26.35" customHeight="1">
      <c r="A24" s="311">
        <v>30</v>
      </c>
      <c r="B24" s="562">
        <f t="shared" ref="B24:B26" si="16">ROUND(A24/$A$8*100,2)</f>
        <v>0.01</v>
      </c>
      <c r="C24" s="563" t="s">
        <v>180</v>
      </c>
      <c r="D24" s="564">
        <f>+D25</f>
        <v>30</v>
      </c>
      <c r="E24" s="567">
        <f t="shared" ref="E24:E26" si="17">ROUND(D24/$D$8*100,2)</f>
        <v>0</v>
      </c>
      <c r="F24" s="564">
        <f>+F25</f>
        <v>30</v>
      </c>
      <c r="G24" s="567">
        <f t="shared" ref="G24:G26" si="18">ROUND(F24/$F$8*100,2)</f>
        <v>0</v>
      </c>
      <c r="H24" s="567">
        <f t="shared" ref="H24:H28" si="19">D24-F24</f>
        <v>0</v>
      </c>
      <c r="I24" s="320">
        <v>0</v>
      </c>
      <c r="J24" s="637"/>
      <c r="K24" s="629">
        <f t="shared" ref="K24:K26" si="20">ROUND(A24/$A$8*100,4)</f>
        <v>5.1999999999999998E-3</v>
      </c>
      <c r="L24" s="629">
        <f t="shared" ref="L24:L26" si="21">ROUND(D24/$D$8*100,4)</f>
        <v>4.4000000000000003E-3</v>
      </c>
      <c r="M24" s="629">
        <f t="shared" ref="M24:M26" si="22">ROUND(F24/$F$8*100,4)</f>
        <v>4.8999999999999998E-3</v>
      </c>
    </row>
    <row r="25" spans="1:13" s="778" customFormat="1" ht="23.4" customHeight="1">
      <c r="A25" s="568">
        <v>30</v>
      </c>
      <c r="B25" s="569">
        <f t="shared" si="16"/>
        <v>0.01</v>
      </c>
      <c r="C25" s="570" t="s">
        <v>480</v>
      </c>
      <c r="D25" s="574">
        <f>+D26+D27</f>
        <v>30</v>
      </c>
      <c r="E25" s="367">
        <f t="shared" si="17"/>
        <v>0</v>
      </c>
      <c r="F25" s="574">
        <f>SUM(F26:F27)</f>
        <v>30</v>
      </c>
      <c r="G25" s="367">
        <f t="shared" si="18"/>
        <v>0</v>
      </c>
      <c r="H25" s="367">
        <f t="shared" si="19"/>
        <v>0</v>
      </c>
      <c r="I25" s="320">
        <f>I26</f>
        <v>0</v>
      </c>
      <c r="J25" s="634"/>
      <c r="K25" s="604">
        <f t="shared" si="20"/>
        <v>5.1999999999999998E-3</v>
      </c>
      <c r="L25" s="604">
        <f t="shared" si="21"/>
        <v>4.4000000000000003E-3</v>
      </c>
      <c r="M25" s="604">
        <f t="shared" si="22"/>
        <v>4.8999999999999998E-3</v>
      </c>
    </row>
    <row r="26" spans="1:13" s="778" customFormat="1" ht="24.05" customHeight="1">
      <c r="A26" s="568">
        <v>30</v>
      </c>
      <c r="B26" s="569">
        <f t="shared" si="16"/>
        <v>0.01</v>
      </c>
      <c r="C26" s="570" t="s">
        <v>447</v>
      </c>
      <c r="D26" s="574">
        <v>30</v>
      </c>
      <c r="E26" s="367">
        <f t="shared" si="17"/>
        <v>0</v>
      </c>
      <c r="F26" s="574">
        <v>30</v>
      </c>
      <c r="G26" s="367">
        <f t="shared" si="18"/>
        <v>0</v>
      </c>
      <c r="H26" s="367">
        <f t="shared" si="19"/>
        <v>0</v>
      </c>
      <c r="I26" s="320">
        <v>0</v>
      </c>
      <c r="J26" s="634"/>
      <c r="K26" s="604">
        <f t="shared" si="20"/>
        <v>5.1999999999999998E-3</v>
      </c>
      <c r="L26" s="604">
        <f t="shared" si="21"/>
        <v>4.4000000000000003E-3</v>
      </c>
      <c r="M26" s="604">
        <f t="shared" si="22"/>
        <v>4.8999999999999998E-3</v>
      </c>
    </row>
    <row r="27" spans="1:13" s="861" customFormat="1" ht="22.25" hidden="1" customHeight="1">
      <c r="A27" s="586">
        <v>0</v>
      </c>
      <c r="B27" s="318">
        <f t="shared" ref="B27:B28" si="23">ROUND(A27/$A$8*100,2)</f>
        <v>0</v>
      </c>
      <c r="C27" s="570" t="s">
        <v>945</v>
      </c>
      <c r="D27" s="367">
        <v>0</v>
      </c>
      <c r="E27" s="367">
        <f t="shared" ref="E27:E28" si="24">ROUND(D27/$D$8*100,2)</f>
        <v>0</v>
      </c>
      <c r="F27" s="367">
        <v>0</v>
      </c>
      <c r="G27" s="367">
        <f t="shared" ref="G27:G28" si="25">ROUND(F27/$F$8*100,2)</f>
        <v>0</v>
      </c>
      <c r="H27" s="571">
        <f t="shared" si="19"/>
        <v>0</v>
      </c>
      <c r="I27" s="320">
        <v>0</v>
      </c>
      <c r="J27" s="634"/>
      <c r="K27" s="604">
        <f t="shared" ref="K27:K28" si="26">ROUND(A27/$A$8*100,4)</f>
        <v>0</v>
      </c>
      <c r="L27" s="604">
        <f t="shared" ref="L27:L28" si="27">ROUND(D27/$D$8*100,4)</f>
        <v>0</v>
      </c>
      <c r="M27" s="604">
        <f t="shared" ref="M27:M28" si="28">ROUND(F27/$F$8*100,4)</f>
        <v>0</v>
      </c>
    </row>
    <row r="28" spans="1:13" s="863" customFormat="1" ht="26.05" customHeight="1">
      <c r="A28" s="311">
        <v>534534</v>
      </c>
      <c r="B28" s="562">
        <f t="shared" si="23"/>
        <v>92.02</v>
      </c>
      <c r="C28" s="563" t="s">
        <v>948</v>
      </c>
      <c r="D28" s="564">
        <f>+D29+D33</f>
        <v>627397</v>
      </c>
      <c r="E28" s="567">
        <f t="shared" si="24"/>
        <v>92.86</v>
      </c>
      <c r="F28" s="564">
        <f>+F29+F33</f>
        <v>562232</v>
      </c>
      <c r="G28" s="567">
        <f t="shared" si="25"/>
        <v>92.58</v>
      </c>
      <c r="H28" s="325">
        <f t="shared" si="19"/>
        <v>65165</v>
      </c>
      <c r="I28" s="326">
        <f t="shared" ref="I28:I30" si="29">ROUND(H28/F28*100,2)</f>
        <v>11.59</v>
      </c>
      <c r="J28" s="634"/>
      <c r="K28" s="604">
        <f t="shared" si="26"/>
        <v>92.023499999999999</v>
      </c>
      <c r="L28" s="604">
        <f t="shared" si="27"/>
        <v>92.860100000000003</v>
      </c>
      <c r="M28" s="604">
        <f t="shared" si="28"/>
        <v>92.578699999999998</v>
      </c>
    </row>
    <row r="29" spans="1:13" s="9" customFormat="1" ht="24.05" customHeight="1">
      <c r="A29" s="568">
        <v>533746</v>
      </c>
      <c r="B29" s="569">
        <f t="shared" si="8"/>
        <v>91.89</v>
      </c>
      <c r="C29" s="570" t="s">
        <v>949</v>
      </c>
      <c r="D29" s="574">
        <f>+D30</f>
        <v>627397</v>
      </c>
      <c r="E29" s="367">
        <f t="shared" si="6"/>
        <v>92.86</v>
      </c>
      <c r="F29" s="574">
        <f>SUM(F30:F30)</f>
        <v>562232</v>
      </c>
      <c r="G29" s="367">
        <f t="shared" si="7"/>
        <v>92.58</v>
      </c>
      <c r="H29" s="321">
        <f t="shared" si="0"/>
        <v>65165</v>
      </c>
      <c r="I29" s="322">
        <f>ROUND(H29/F29*100,2)</f>
        <v>11.59</v>
      </c>
      <c r="J29" s="634"/>
      <c r="K29" s="604">
        <f t="shared" si="2"/>
        <v>91.887799999999999</v>
      </c>
      <c r="L29" s="604">
        <f t="shared" si="3"/>
        <v>92.860100000000003</v>
      </c>
      <c r="M29" s="604">
        <f t="shared" si="4"/>
        <v>92.578699999999998</v>
      </c>
    </row>
    <row r="30" spans="1:13" s="9" customFormat="1" ht="24.55" customHeight="1">
      <c r="A30" s="568">
        <v>533746</v>
      </c>
      <c r="B30" s="569">
        <f t="shared" si="8"/>
        <v>91.89</v>
      </c>
      <c r="C30" s="570" t="s">
        <v>950</v>
      </c>
      <c r="D30" s="574">
        <v>627397</v>
      </c>
      <c r="E30" s="367">
        <f t="shared" si="6"/>
        <v>92.86</v>
      </c>
      <c r="F30" s="574">
        <v>562232</v>
      </c>
      <c r="G30" s="367">
        <f t="shared" si="7"/>
        <v>92.58</v>
      </c>
      <c r="H30" s="575">
        <f t="shared" si="0"/>
        <v>65165</v>
      </c>
      <c r="I30" s="322">
        <f t="shared" si="29"/>
        <v>11.59</v>
      </c>
      <c r="J30" s="634"/>
      <c r="K30" s="604">
        <f t="shared" si="2"/>
        <v>91.887799999999999</v>
      </c>
      <c r="L30" s="604">
        <f t="shared" si="3"/>
        <v>92.860100000000003</v>
      </c>
      <c r="M30" s="604">
        <f t="shared" si="4"/>
        <v>92.578699999999998</v>
      </c>
    </row>
    <row r="31" spans="1:13" s="9" customFormat="1" ht="28.5" hidden="1" customHeight="1" thickBot="1">
      <c r="A31" s="639">
        <v>0</v>
      </c>
      <c r="B31" s="569">
        <f t="shared" si="8"/>
        <v>0</v>
      </c>
      <c r="C31" s="570" t="s">
        <v>448</v>
      </c>
      <c r="D31" s="571">
        <f>SUM(D32:D32)</f>
        <v>0</v>
      </c>
      <c r="E31" s="367">
        <f t="shared" si="6"/>
        <v>0</v>
      </c>
      <c r="F31" s="571">
        <f>SUM(F32:F32)</f>
        <v>0</v>
      </c>
      <c r="G31" s="367">
        <f t="shared" si="7"/>
        <v>0</v>
      </c>
      <c r="H31" s="571">
        <f t="shared" si="0"/>
        <v>0</v>
      </c>
      <c r="I31" s="572">
        <v>0</v>
      </c>
      <c r="J31" s="634"/>
      <c r="K31" s="604">
        <f t="shared" si="2"/>
        <v>0</v>
      </c>
      <c r="L31" s="604">
        <f t="shared" si="3"/>
        <v>0</v>
      </c>
      <c r="M31" s="604">
        <f t="shared" si="4"/>
        <v>0</v>
      </c>
    </row>
    <row r="32" spans="1:13" s="9" customFormat="1" ht="21.6" hidden="1" customHeight="1">
      <c r="A32" s="586">
        <v>0</v>
      </c>
      <c r="B32" s="569">
        <f t="shared" si="8"/>
        <v>0</v>
      </c>
      <c r="C32" s="570" t="s">
        <v>444</v>
      </c>
      <c r="D32" s="571">
        <v>0</v>
      </c>
      <c r="E32" s="367">
        <f t="shared" si="6"/>
        <v>0</v>
      </c>
      <c r="F32" s="571">
        <v>0</v>
      </c>
      <c r="G32" s="367">
        <f t="shared" si="7"/>
        <v>0</v>
      </c>
      <c r="H32" s="571">
        <f t="shared" si="0"/>
        <v>0</v>
      </c>
      <c r="I32" s="572">
        <v>0</v>
      </c>
      <c r="J32" s="634"/>
      <c r="K32" s="604">
        <f t="shared" si="2"/>
        <v>0</v>
      </c>
      <c r="L32" s="604">
        <f t="shared" si="3"/>
        <v>0</v>
      </c>
      <c r="M32" s="604">
        <f t="shared" si="4"/>
        <v>0</v>
      </c>
    </row>
    <row r="33" spans="1:13" s="9" customFormat="1" ht="24.55" customHeight="1">
      <c r="A33" s="586">
        <v>788</v>
      </c>
      <c r="B33" s="569">
        <f t="shared" si="8"/>
        <v>0.14000000000000001</v>
      </c>
      <c r="C33" s="570" t="s">
        <v>951</v>
      </c>
      <c r="D33" s="571">
        <f>SUM(D34:D35)</f>
        <v>0</v>
      </c>
      <c r="E33" s="367">
        <f t="shared" si="6"/>
        <v>0</v>
      </c>
      <c r="F33" s="571">
        <f>SUM(F34:F35)</f>
        <v>0</v>
      </c>
      <c r="G33" s="367">
        <f t="shared" si="7"/>
        <v>0</v>
      </c>
      <c r="H33" s="367">
        <f t="shared" si="0"/>
        <v>0</v>
      </c>
      <c r="I33" s="320">
        <v>0</v>
      </c>
      <c r="J33" s="946"/>
      <c r="K33" s="604">
        <f t="shared" si="2"/>
        <v>0.13569999999999999</v>
      </c>
      <c r="L33" s="604">
        <f t="shared" si="3"/>
        <v>0</v>
      </c>
      <c r="M33" s="604">
        <f t="shared" si="4"/>
        <v>0</v>
      </c>
    </row>
    <row r="34" spans="1:13" s="9" customFormat="1" ht="29.95" hidden="1" customHeight="1" thickBot="1">
      <c r="A34" s="586">
        <v>0</v>
      </c>
      <c r="B34" s="569">
        <f t="shared" si="8"/>
        <v>0</v>
      </c>
      <c r="C34" s="570" t="s">
        <v>447</v>
      </c>
      <c r="D34" s="571">
        <v>0</v>
      </c>
      <c r="E34" s="367">
        <f t="shared" si="6"/>
        <v>0</v>
      </c>
      <c r="F34" s="571">
        <v>0</v>
      </c>
      <c r="G34" s="367">
        <f t="shared" si="7"/>
        <v>0</v>
      </c>
      <c r="H34" s="367">
        <f t="shared" si="0"/>
        <v>0</v>
      </c>
      <c r="I34" s="320">
        <v>0</v>
      </c>
      <c r="J34" s="946"/>
      <c r="K34" s="604">
        <f t="shared" si="2"/>
        <v>0</v>
      </c>
      <c r="L34" s="604">
        <f t="shared" si="3"/>
        <v>0</v>
      </c>
      <c r="M34" s="604">
        <f t="shared" si="4"/>
        <v>0</v>
      </c>
    </row>
    <row r="35" spans="1:13" s="9" customFormat="1" ht="24.05" customHeight="1">
      <c r="A35" s="586">
        <v>788</v>
      </c>
      <c r="B35" s="569">
        <f t="shared" si="8"/>
        <v>0.14000000000000001</v>
      </c>
      <c r="C35" s="570" t="s">
        <v>952</v>
      </c>
      <c r="D35" s="571">
        <v>0</v>
      </c>
      <c r="E35" s="367">
        <f t="shared" si="6"/>
        <v>0</v>
      </c>
      <c r="F35" s="571">
        <v>0</v>
      </c>
      <c r="G35" s="367">
        <f t="shared" si="7"/>
        <v>0</v>
      </c>
      <c r="H35" s="367">
        <f t="shared" si="0"/>
        <v>0</v>
      </c>
      <c r="I35" s="320">
        <v>0</v>
      </c>
      <c r="J35" s="946"/>
      <c r="K35" s="604">
        <f t="shared" si="2"/>
        <v>0.13569999999999999</v>
      </c>
      <c r="L35" s="604">
        <f t="shared" si="3"/>
        <v>0</v>
      </c>
      <c r="M35" s="604">
        <f t="shared" si="4"/>
        <v>0</v>
      </c>
    </row>
    <row r="36" spans="1:13" s="30" customFormat="1" ht="28.8" customHeight="1">
      <c r="A36" s="311">
        <v>51540</v>
      </c>
      <c r="B36" s="562">
        <f t="shared" si="8"/>
        <v>8.8699999999999992</v>
      </c>
      <c r="C36" s="563" t="s">
        <v>446</v>
      </c>
      <c r="D36" s="564">
        <f>SUM(D37:D37)</f>
        <v>51960</v>
      </c>
      <c r="E36" s="567">
        <f t="shared" si="6"/>
        <v>7.69</v>
      </c>
      <c r="F36" s="564">
        <f>SUM(F37:F37)</f>
        <v>48680</v>
      </c>
      <c r="G36" s="567">
        <f t="shared" si="7"/>
        <v>8.02</v>
      </c>
      <c r="H36" s="576">
        <f t="shared" si="0"/>
        <v>3280</v>
      </c>
      <c r="I36" s="326">
        <f>ROUND(H36/F36*100,2)</f>
        <v>6.74</v>
      </c>
      <c r="J36" s="947"/>
      <c r="K36" s="629">
        <f t="shared" si="2"/>
        <v>8.8728999999999996</v>
      </c>
      <c r="L36" s="629">
        <f t="shared" si="3"/>
        <v>7.6905000000000001</v>
      </c>
      <c r="M36" s="629">
        <f t="shared" si="4"/>
        <v>8.0158000000000005</v>
      </c>
    </row>
    <row r="37" spans="1:13" s="9" customFormat="1" ht="29.45" customHeight="1" thickBot="1">
      <c r="A37" s="579">
        <v>51540</v>
      </c>
      <c r="B37" s="580">
        <f t="shared" si="8"/>
        <v>8.8699999999999992</v>
      </c>
      <c r="C37" s="581" t="s">
        <v>445</v>
      </c>
      <c r="D37" s="582">
        <f>SUM(D38:D38)</f>
        <v>51960</v>
      </c>
      <c r="E37" s="389">
        <f t="shared" si="6"/>
        <v>7.69</v>
      </c>
      <c r="F37" s="582">
        <f>SUM(F38:F38)</f>
        <v>48680</v>
      </c>
      <c r="G37" s="389">
        <f t="shared" si="7"/>
        <v>8.02</v>
      </c>
      <c r="H37" s="623">
        <f t="shared" si="0"/>
        <v>3280</v>
      </c>
      <c r="I37" s="338">
        <f>ROUND(H37/F37*100,2)</f>
        <v>6.74</v>
      </c>
      <c r="J37" s="946"/>
      <c r="K37" s="604">
        <f t="shared" si="2"/>
        <v>8.8728999999999996</v>
      </c>
      <c r="L37" s="604">
        <f t="shared" si="3"/>
        <v>7.6905000000000001</v>
      </c>
      <c r="M37" s="604">
        <f t="shared" si="4"/>
        <v>8.0158000000000005</v>
      </c>
    </row>
    <row r="38" spans="1:13" s="9" customFormat="1" ht="29.95" customHeight="1">
      <c r="A38" s="568">
        <v>51540</v>
      </c>
      <c r="B38" s="569">
        <f t="shared" si="8"/>
        <v>8.8699999999999992</v>
      </c>
      <c r="C38" s="570" t="s">
        <v>444</v>
      </c>
      <c r="D38" s="574">
        <v>51960</v>
      </c>
      <c r="E38" s="367">
        <f t="shared" si="6"/>
        <v>7.69</v>
      </c>
      <c r="F38" s="574">
        <v>48680</v>
      </c>
      <c r="G38" s="367">
        <f t="shared" si="7"/>
        <v>8.02</v>
      </c>
      <c r="H38" s="571">
        <f t="shared" si="0"/>
        <v>3280</v>
      </c>
      <c r="I38" s="322">
        <f>ROUND(H38/F38*100,2)</f>
        <v>6.74</v>
      </c>
      <c r="J38" s="946"/>
      <c r="K38" s="604">
        <f t="shared" si="2"/>
        <v>8.8728999999999996</v>
      </c>
      <c r="L38" s="604">
        <f t="shared" si="3"/>
        <v>7.6905000000000001</v>
      </c>
      <c r="M38" s="604">
        <f t="shared" si="4"/>
        <v>8.0158000000000005</v>
      </c>
    </row>
    <row r="39" spans="1:13" s="30" customFormat="1" ht="25.2" customHeight="1">
      <c r="A39" s="311">
        <v>-5237</v>
      </c>
      <c r="B39" s="562">
        <f t="shared" si="8"/>
        <v>-0.9</v>
      </c>
      <c r="C39" s="789" t="s">
        <v>550</v>
      </c>
      <c r="D39" s="325">
        <f>SUM(D40:D41)</f>
        <v>-3750</v>
      </c>
      <c r="E39" s="562">
        <f t="shared" si="6"/>
        <v>-0.56000000000000005</v>
      </c>
      <c r="F39" s="618">
        <f>SUM(F40:F41)</f>
        <v>-3640</v>
      </c>
      <c r="G39" s="562">
        <f t="shared" si="7"/>
        <v>-0.6</v>
      </c>
      <c r="H39" s="325">
        <f t="shared" si="0"/>
        <v>-110</v>
      </c>
      <c r="I39" s="326">
        <f t="shared" ref="I39:I58" si="30">ROUND(H39/F39*100,2)</f>
        <v>3.02</v>
      </c>
      <c r="J39" s="947"/>
      <c r="K39" s="629">
        <f t="shared" si="2"/>
        <v>-0.90159999999999996</v>
      </c>
      <c r="L39" s="629">
        <f t="shared" si="3"/>
        <v>-0.55500000000000005</v>
      </c>
      <c r="M39" s="629">
        <f t="shared" si="4"/>
        <v>-0.59940000000000004</v>
      </c>
    </row>
    <row r="40" spans="1:13" s="9" customFormat="1" ht="24.55" customHeight="1">
      <c r="A40" s="638">
        <v>-2186</v>
      </c>
      <c r="B40" s="569">
        <f t="shared" si="8"/>
        <v>-0.38</v>
      </c>
      <c r="C40" s="790" t="s">
        <v>441</v>
      </c>
      <c r="D40" s="571">
        <f>D11+D15+D21-D30-D34-D26</f>
        <v>0</v>
      </c>
      <c r="E40" s="367">
        <f t="shared" si="6"/>
        <v>0</v>
      </c>
      <c r="F40" s="571">
        <f>F11+F15+F21-F30-F34-F26</f>
        <v>0</v>
      </c>
      <c r="G40" s="788">
        <f t="shared" si="7"/>
        <v>0</v>
      </c>
      <c r="H40" s="571">
        <f t="shared" si="0"/>
        <v>0</v>
      </c>
      <c r="I40" s="572">
        <v>0</v>
      </c>
      <c r="J40" s="946"/>
      <c r="K40" s="604">
        <f t="shared" si="2"/>
        <v>-0.37630000000000002</v>
      </c>
      <c r="L40" s="604">
        <f t="shared" si="3"/>
        <v>0</v>
      </c>
      <c r="M40" s="604">
        <f t="shared" si="4"/>
        <v>0</v>
      </c>
    </row>
    <row r="41" spans="1:13" s="9" customFormat="1" ht="27" customHeight="1">
      <c r="A41" s="568">
        <v>-3052</v>
      </c>
      <c r="B41" s="569">
        <f t="shared" si="8"/>
        <v>-0.53</v>
      </c>
      <c r="C41" s="790" t="s">
        <v>440</v>
      </c>
      <c r="D41" s="321">
        <f>D12+D19+D22-D32-D35-D38+D16</f>
        <v>-3750</v>
      </c>
      <c r="E41" s="569">
        <f t="shared" si="6"/>
        <v>-0.56000000000000005</v>
      </c>
      <c r="F41" s="321">
        <f>F12+F19+F22-F32-F35-F38+F16</f>
        <v>-3640</v>
      </c>
      <c r="G41" s="569">
        <f t="shared" si="7"/>
        <v>-0.6</v>
      </c>
      <c r="H41" s="321">
        <f t="shared" si="0"/>
        <v>-110</v>
      </c>
      <c r="I41" s="322">
        <f t="shared" si="30"/>
        <v>3.02</v>
      </c>
      <c r="J41" s="948"/>
      <c r="K41" s="604">
        <f t="shared" si="2"/>
        <v>-0.52539999999999998</v>
      </c>
      <c r="L41" s="604">
        <f t="shared" si="3"/>
        <v>-0.55500000000000005</v>
      </c>
      <c r="M41" s="604">
        <f t="shared" si="4"/>
        <v>-0.59940000000000004</v>
      </c>
    </row>
    <row r="42" spans="1:13" s="30" customFormat="1" ht="23.4" customHeight="1">
      <c r="A42" s="304">
        <v>5370</v>
      </c>
      <c r="B42" s="562">
        <f t="shared" si="8"/>
        <v>0.92</v>
      </c>
      <c r="C42" s="563" t="s">
        <v>188</v>
      </c>
      <c r="D42" s="598">
        <f>+D43</f>
        <v>3750</v>
      </c>
      <c r="E42" s="567">
        <f t="shared" si="6"/>
        <v>0.56000000000000005</v>
      </c>
      <c r="F42" s="598">
        <f>+F43</f>
        <v>3640</v>
      </c>
      <c r="G42" s="567">
        <f t="shared" si="7"/>
        <v>0.6</v>
      </c>
      <c r="H42" s="598">
        <f t="shared" si="0"/>
        <v>110</v>
      </c>
      <c r="I42" s="326">
        <f t="shared" si="30"/>
        <v>3.02</v>
      </c>
      <c r="J42" s="947"/>
      <c r="K42" s="629">
        <f t="shared" si="2"/>
        <v>0.92449999999999999</v>
      </c>
      <c r="L42" s="629">
        <f t="shared" si="3"/>
        <v>0.55500000000000005</v>
      </c>
      <c r="M42" s="629">
        <f t="shared" si="4"/>
        <v>0.59940000000000004</v>
      </c>
    </row>
    <row r="43" spans="1:13" s="30" customFormat="1" ht="26.05" customHeight="1">
      <c r="A43" s="304">
        <v>5370</v>
      </c>
      <c r="B43" s="562">
        <f t="shared" si="8"/>
        <v>0.92</v>
      </c>
      <c r="C43" s="563" t="s">
        <v>443</v>
      </c>
      <c r="D43" s="598">
        <f>+D44+D47+D49</f>
        <v>3750</v>
      </c>
      <c r="E43" s="567">
        <f t="shared" si="6"/>
        <v>0.56000000000000005</v>
      </c>
      <c r="F43" s="598">
        <f>+F44+F47+F49</f>
        <v>3640</v>
      </c>
      <c r="G43" s="567">
        <f t="shared" si="7"/>
        <v>0.6</v>
      </c>
      <c r="H43" s="598">
        <f t="shared" si="0"/>
        <v>110</v>
      </c>
      <c r="I43" s="326">
        <f t="shared" si="30"/>
        <v>3.02</v>
      </c>
      <c r="J43" s="947"/>
      <c r="K43" s="629">
        <f t="shared" si="2"/>
        <v>0.92449999999999999</v>
      </c>
      <c r="L43" s="629">
        <f t="shared" si="3"/>
        <v>0.55500000000000005</v>
      </c>
      <c r="M43" s="629">
        <f t="shared" si="4"/>
        <v>0.59940000000000004</v>
      </c>
    </row>
    <row r="44" spans="1:13" s="30" customFormat="1" ht="24.55" customHeight="1">
      <c r="A44" s="306">
        <v>3183</v>
      </c>
      <c r="B44" s="569">
        <f t="shared" ref="B44:B45" si="31">ROUND(A44/$A$8*100,2)</f>
        <v>0.55000000000000004</v>
      </c>
      <c r="C44" s="570" t="s">
        <v>600</v>
      </c>
      <c r="D44" s="589">
        <f>+D45+D46</f>
        <v>3750</v>
      </c>
      <c r="E44" s="367">
        <f t="shared" ref="E44:E45" si="32">ROUND(D44/$D$8*100,2)</f>
        <v>0.56000000000000005</v>
      </c>
      <c r="F44" s="589">
        <f>+F45+F46</f>
        <v>3640</v>
      </c>
      <c r="G44" s="367">
        <f t="shared" ref="G44:G45" si="33">ROUND(F44/$F$8*100,2)</f>
        <v>0.6</v>
      </c>
      <c r="H44" s="589">
        <f t="shared" ref="H44:H45" si="34">D44-F44</f>
        <v>110</v>
      </c>
      <c r="I44" s="322">
        <f t="shared" si="30"/>
        <v>3.02</v>
      </c>
      <c r="J44" s="947"/>
      <c r="K44" s="629">
        <f t="shared" ref="K44:K45" si="35">ROUND(A44/$A$8*100,4)</f>
        <v>0.54800000000000004</v>
      </c>
      <c r="L44" s="629">
        <f t="shared" ref="L44:L45" si="36">ROUND(D44/$D$8*100,4)</f>
        <v>0.55500000000000005</v>
      </c>
      <c r="M44" s="629">
        <f t="shared" ref="M44:M45" si="37">ROUND(F44/$F$8*100,4)</f>
        <v>0.59940000000000004</v>
      </c>
    </row>
    <row r="45" spans="1:13" s="9" customFormat="1" ht="26.05" customHeight="1">
      <c r="A45" s="635">
        <v>1</v>
      </c>
      <c r="B45" s="569">
        <f t="shared" si="31"/>
        <v>0</v>
      </c>
      <c r="C45" s="570" t="s">
        <v>441</v>
      </c>
      <c r="D45" s="571">
        <v>0</v>
      </c>
      <c r="E45" s="367">
        <f t="shared" si="32"/>
        <v>0</v>
      </c>
      <c r="F45" s="571">
        <v>0</v>
      </c>
      <c r="G45" s="367">
        <f t="shared" si="33"/>
        <v>0</v>
      </c>
      <c r="H45" s="571">
        <f t="shared" si="34"/>
        <v>0</v>
      </c>
      <c r="I45" s="572">
        <v>0</v>
      </c>
      <c r="J45" s="946"/>
      <c r="K45" s="604">
        <f t="shared" si="35"/>
        <v>2.0000000000000001E-4</v>
      </c>
      <c r="L45" s="604">
        <f t="shared" si="36"/>
        <v>0</v>
      </c>
      <c r="M45" s="604">
        <f t="shared" si="37"/>
        <v>0</v>
      </c>
    </row>
    <row r="46" spans="1:13" s="779" customFormat="1" ht="26.05" customHeight="1">
      <c r="A46" s="635">
        <v>3183</v>
      </c>
      <c r="B46" s="569">
        <f t="shared" ref="B46" si="38">ROUND(A46/$A$8*100,2)</f>
        <v>0.55000000000000004</v>
      </c>
      <c r="C46" s="570" t="s">
        <v>796</v>
      </c>
      <c r="D46" s="571">
        <v>3750</v>
      </c>
      <c r="E46" s="367">
        <f t="shared" ref="E46" si="39">ROUND(D46/$D$8*100,2)</f>
        <v>0.56000000000000005</v>
      </c>
      <c r="F46" s="571">
        <v>3640</v>
      </c>
      <c r="G46" s="367">
        <f t="shared" ref="G46" si="40">ROUND(F46/$F$8*100,2)</f>
        <v>0.6</v>
      </c>
      <c r="H46" s="571">
        <f t="shared" ref="H46" si="41">D46-F46</f>
        <v>110</v>
      </c>
      <c r="I46" s="322">
        <f t="shared" si="30"/>
        <v>3.02</v>
      </c>
      <c r="J46" s="946"/>
      <c r="K46" s="604">
        <f t="shared" ref="K46" si="42">ROUND(A46/$A$8*100,4)</f>
        <v>0.54800000000000004</v>
      </c>
      <c r="L46" s="604">
        <f t="shared" ref="L46" si="43">ROUND(D46/$D$8*100,4)</f>
        <v>0.55500000000000005</v>
      </c>
      <c r="M46" s="604">
        <f t="shared" ref="M46" si="44">ROUND(F46/$F$8*100,4)</f>
        <v>0.59940000000000004</v>
      </c>
    </row>
    <row r="47" spans="1:13" s="30" customFormat="1" ht="29.95" hidden="1" customHeight="1">
      <c r="A47" s="306">
        <v>0</v>
      </c>
      <c r="B47" s="315">
        <f t="shared" ref="B47:B48" si="45">ROUND(A47/$A$8*100,2)</f>
        <v>0</v>
      </c>
      <c r="C47" s="570" t="s">
        <v>793</v>
      </c>
      <c r="D47" s="598">
        <f>+D48</f>
        <v>0</v>
      </c>
      <c r="E47" s="567">
        <f t="shared" ref="E47:E48" si="46">ROUND(D47/$D$8*100,2)</f>
        <v>0</v>
      </c>
      <c r="F47" s="598">
        <f>+F48</f>
        <v>0</v>
      </c>
      <c r="G47" s="567">
        <f t="shared" ref="G47:G48" si="47">ROUND(F47/$F$8*100,2)</f>
        <v>0</v>
      </c>
      <c r="H47" s="598">
        <f t="shared" ref="H47:H48" si="48">D47-F47</f>
        <v>0</v>
      </c>
      <c r="I47" s="949">
        <v>0</v>
      </c>
      <c r="J47" s="947"/>
      <c r="K47" s="629">
        <f t="shared" ref="K47:K48" si="49">ROUND(A47/$A$8*100,4)</f>
        <v>0</v>
      </c>
      <c r="L47" s="629">
        <f t="shared" ref="L47:L48" si="50">ROUND(D47/$D$8*100,4)</f>
        <v>0</v>
      </c>
      <c r="M47" s="629">
        <f t="shared" ref="M47:M48" si="51">ROUND(F47/$F$8*100,4)</f>
        <v>0</v>
      </c>
    </row>
    <row r="48" spans="1:13" s="778" customFormat="1" ht="27" hidden="1" customHeight="1">
      <c r="A48" s="635">
        <v>0</v>
      </c>
      <c r="B48" s="318">
        <f t="shared" si="45"/>
        <v>0</v>
      </c>
      <c r="C48" s="570" t="s">
        <v>794</v>
      </c>
      <c r="D48" s="571">
        <v>0</v>
      </c>
      <c r="E48" s="367">
        <f t="shared" si="46"/>
        <v>0</v>
      </c>
      <c r="F48" s="571">
        <v>0</v>
      </c>
      <c r="G48" s="367">
        <f t="shared" si="47"/>
        <v>0</v>
      </c>
      <c r="H48" s="571">
        <f t="shared" si="48"/>
        <v>0</v>
      </c>
      <c r="I48" s="949">
        <v>0</v>
      </c>
      <c r="J48" s="946"/>
      <c r="K48" s="604">
        <f t="shared" si="49"/>
        <v>0</v>
      </c>
      <c r="L48" s="604">
        <f t="shared" si="50"/>
        <v>0</v>
      </c>
      <c r="M48" s="604">
        <f t="shared" si="51"/>
        <v>0</v>
      </c>
    </row>
    <row r="49" spans="1:13" s="30" customFormat="1" ht="26.2" customHeight="1">
      <c r="A49" s="306">
        <v>2186</v>
      </c>
      <c r="B49" s="569">
        <f t="shared" si="8"/>
        <v>0.38</v>
      </c>
      <c r="C49" s="570" t="s">
        <v>442</v>
      </c>
      <c r="D49" s="598">
        <f>+D50+D51</f>
        <v>0</v>
      </c>
      <c r="E49" s="567">
        <f t="shared" si="6"/>
        <v>0</v>
      </c>
      <c r="F49" s="598">
        <f>+F50+F51</f>
        <v>0</v>
      </c>
      <c r="G49" s="567">
        <f t="shared" si="7"/>
        <v>0</v>
      </c>
      <c r="H49" s="598">
        <f t="shared" si="0"/>
        <v>0</v>
      </c>
      <c r="I49" s="949">
        <v>0</v>
      </c>
      <c r="J49" s="947"/>
      <c r="K49" s="629">
        <f t="shared" si="2"/>
        <v>0.37630000000000002</v>
      </c>
      <c r="L49" s="629">
        <f t="shared" si="3"/>
        <v>0</v>
      </c>
      <c r="M49" s="629">
        <f t="shared" si="4"/>
        <v>0</v>
      </c>
    </row>
    <row r="50" spans="1:13" s="9" customFormat="1" ht="26.05" customHeight="1">
      <c r="A50" s="635">
        <v>2185</v>
      </c>
      <c r="B50" s="569">
        <f t="shared" si="8"/>
        <v>0.38</v>
      </c>
      <c r="C50" s="570" t="s">
        <v>441</v>
      </c>
      <c r="D50" s="571">
        <v>0</v>
      </c>
      <c r="E50" s="367">
        <f t="shared" si="6"/>
        <v>0</v>
      </c>
      <c r="F50" s="571">
        <v>0</v>
      </c>
      <c r="G50" s="367">
        <f t="shared" si="7"/>
        <v>0</v>
      </c>
      <c r="H50" s="571">
        <f t="shared" si="0"/>
        <v>0</v>
      </c>
      <c r="I50" s="572">
        <v>0</v>
      </c>
      <c r="J50" s="946"/>
      <c r="K50" s="604">
        <f t="shared" si="2"/>
        <v>0.37619999999999998</v>
      </c>
      <c r="L50" s="604">
        <f t="shared" si="3"/>
        <v>0</v>
      </c>
      <c r="M50" s="604">
        <f t="shared" si="4"/>
        <v>0</v>
      </c>
    </row>
    <row r="51" spans="1:13" s="9" customFormat="1" ht="23.4" customHeight="1">
      <c r="A51" s="586">
        <v>1</v>
      </c>
      <c r="B51" s="318">
        <f t="shared" si="8"/>
        <v>0</v>
      </c>
      <c r="C51" s="570" t="s">
        <v>440</v>
      </c>
      <c r="D51" s="571">
        <v>0</v>
      </c>
      <c r="E51" s="367">
        <f t="shared" si="6"/>
        <v>0</v>
      </c>
      <c r="F51" s="571">
        <v>0</v>
      </c>
      <c r="G51" s="367">
        <f t="shared" si="7"/>
        <v>0</v>
      </c>
      <c r="H51" s="571">
        <f t="shared" si="0"/>
        <v>0</v>
      </c>
      <c r="I51" s="572">
        <v>0</v>
      </c>
      <c r="J51" s="948"/>
      <c r="K51" s="604">
        <f t="shared" si="2"/>
        <v>2.0000000000000001E-4</v>
      </c>
      <c r="L51" s="604">
        <f t="shared" si="3"/>
        <v>0</v>
      </c>
      <c r="M51" s="604">
        <f t="shared" si="4"/>
        <v>0</v>
      </c>
    </row>
    <row r="52" spans="1:13" s="30" customFormat="1" ht="23.4" customHeight="1">
      <c r="A52" s="304">
        <v>132</v>
      </c>
      <c r="B52" s="562">
        <f t="shared" ref="B52:B55" si="52">ROUND(A52/$A$8*100,2)</f>
        <v>0.02</v>
      </c>
      <c r="C52" s="789" t="s">
        <v>1053</v>
      </c>
      <c r="D52" s="589">
        <f>+D53</f>
        <v>0</v>
      </c>
      <c r="E52" s="367">
        <f t="shared" ref="E52:E55" si="53">ROUND(D52/$D$8*100,2)</f>
        <v>0</v>
      </c>
      <c r="F52" s="589">
        <f>+F53</f>
        <v>0</v>
      </c>
      <c r="G52" s="367">
        <f t="shared" ref="G52:G55" si="54">ROUND(F52/$F$8*100,2)</f>
        <v>0</v>
      </c>
      <c r="H52" s="589">
        <f t="shared" ref="H52:H55" si="55">D52-F52</f>
        <v>0</v>
      </c>
      <c r="I52" s="572">
        <f>+I53</f>
        <v>0</v>
      </c>
      <c r="J52" s="947"/>
      <c r="K52" s="629">
        <f t="shared" ref="K52:K55" si="56">ROUND(A52/$A$8*100,4)</f>
        <v>2.2700000000000001E-2</v>
      </c>
      <c r="L52" s="629">
        <f t="shared" ref="L52:L55" si="57">ROUND(D52/$D$8*100,4)</f>
        <v>0</v>
      </c>
      <c r="M52" s="629">
        <f t="shared" ref="M52:M55" si="58">ROUND(F52/$F$8*100,4)</f>
        <v>0</v>
      </c>
    </row>
    <row r="53" spans="1:13" s="30" customFormat="1" ht="26.05" customHeight="1">
      <c r="A53" s="304">
        <v>132</v>
      </c>
      <c r="B53" s="562">
        <f t="shared" si="52"/>
        <v>0.02</v>
      </c>
      <c r="C53" s="789" t="s">
        <v>1054</v>
      </c>
      <c r="D53" s="589">
        <f>+D54</f>
        <v>0</v>
      </c>
      <c r="E53" s="367">
        <f t="shared" si="53"/>
        <v>0</v>
      </c>
      <c r="F53" s="589">
        <f>+F54</f>
        <v>0</v>
      </c>
      <c r="G53" s="367">
        <f t="shared" si="54"/>
        <v>0</v>
      </c>
      <c r="H53" s="589">
        <f t="shared" si="55"/>
        <v>0</v>
      </c>
      <c r="I53" s="572">
        <f>+I54</f>
        <v>0</v>
      </c>
      <c r="J53" s="947"/>
      <c r="K53" s="629">
        <f t="shared" si="56"/>
        <v>2.2700000000000001E-2</v>
      </c>
      <c r="L53" s="629">
        <f t="shared" si="57"/>
        <v>0</v>
      </c>
      <c r="M53" s="629">
        <f t="shared" si="58"/>
        <v>0</v>
      </c>
    </row>
    <row r="54" spans="1:13" s="30" customFormat="1" ht="24.55" customHeight="1">
      <c r="A54" s="306">
        <v>132</v>
      </c>
      <c r="B54" s="569">
        <f t="shared" si="52"/>
        <v>0.02</v>
      </c>
      <c r="C54" s="790" t="s">
        <v>1055</v>
      </c>
      <c r="D54" s="589">
        <f>+D55</f>
        <v>0</v>
      </c>
      <c r="E54" s="367">
        <f t="shared" si="53"/>
        <v>0</v>
      </c>
      <c r="F54" s="589">
        <f>+F55</f>
        <v>0</v>
      </c>
      <c r="G54" s="367">
        <f t="shared" si="54"/>
        <v>0</v>
      </c>
      <c r="H54" s="589">
        <f t="shared" si="55"/>
        <v>0</v>
      </c>
      <c r="I54" s="572">
        <f>+I55</f>
        <v>0</v>
      </c>
      <c r="J54" s="947"/>
      <c r="K54" s="629">
        <f t="shared" si="56"/>
        <v>2.2700000000000001E-2</v>
      </c>
      <c r="L54" s="629">
        <f t="shared" si="57"/>
        <v>0</v>
      </c>
      <c r="M54" s="629">
        <f t="shared" si="58"/>
        <v>0</v>
      </c>
    </row>
    <row r="55" spans="1:13" s="953" customFormat="1" ht="28.15" customHeight="1">
      <c r="A55" s="635">
        <v>132</v>
      </c>
      <c r="B55" s="569">
        <f t="shared" si="52"/>
        <v>0.02</v>
      </c>
      <c r="C55" s="790" t="s">
        <v>1056</v>
      </c>
      <c r="D55" s="571">
        <v>0</v>
      </c>
      <c r="E55" s="367">
        <f t="shared" si="53"/>
        <v>0</v>
      </c>
      <c r="F55" s="571">
        <v>0</v>
      </c>
      <c r="G55" s="367">
        <f t="shared" si="54"/>
        <v>0</v>
      </c>
      <c r="H55" s="571">
        <f t="shared" si="55"/>
        <v>0</v>
      </c>
      <c r="I55" s="572">
        <v>0</v>
      </c>
      <c r="J55" s="946"/>
      <c r="K55" s="604">
        <f t="shared" si="56"/>
        <v>2.2700000000000001E-2</v>
      </c>
      <c r="L55" s="604">
        <f t="shared" si="57"/>
        <v>0</v>
      </c>
      <c r="M55" s="604">
        <f t="shared" si="58"/>
        <v>0</v>
      </c>
    </row>
    <row r="56" spans="1:13" s="30" customFormat="1" ht="29.95" customHeight="1">
      <c r="A56" s="584">
        <v>5237</v>
      </c>
      <c r="B56" s="873">
        <f t="shared" si="8"/>
        <v>0.9</v>
      </c>
      <c r="C56" s="563" t="s">
        <v>551</v>
      </c>
      <c r="D56" s="598">
        <f>+D57+D58</f>
        <v>3750</v>
      </c>
      <c r="E56" s="567">
        <f t="shared" si="6"/>
        <v>0.56000000000000005</v>
      </c>
      <c r="F56" s="598">
        <f>+F57+F58</f>
        <v>3640</v>
      </c>
      <c r="G56" s="567">
        <f t="shared" si="7"/>
        <v>0.6</v>
      </c>
      <c r="H56" s="598">
        <f t="shared" si="0"/>
        <v>110</v>
      </c>
      <c r="I56" s="326">
        <f t="shared" si="30"/>
        <v>3.02</v>
      </c>
      <c r="J56" s="32"/>
      <c r="K56" s="629">
        <f t="shared" si="2"/>
        <v>0.90159999999999996</v>
      </c>
      <c r="L56" s="629">
        <f t="shared" si="3"/>
        <v>0.55500000000000005</v>
      </c>
      <c r="M56" s="629">
        <f t="shared" si="4"/>
        <v>0.59940000000000004</v>
      </c>
    </row>
    <row r="57" spans="1:13" s="9" customFormat="1" ht="29.95" customHeight="1">
      <c r="A57" s="635">
        <v>2186</v>
      </c>
      <c r="B57" s="569">
        <f t="shared" si="8"/>
        <v>0.38</v>
      </c>
      <c r="C57" s="570" t="s">
        <v>441</v>
      </c>
      <c r="D57" s="571">
        <f>+D45+D50</f>
        <v>0</v>
      </c>
      <c r="E57" s="367">
        <f t="shared" si="6"/>
        <v>0</v>
      </c>
      <c r="F57" s="571">
        <f>+F45+F50</f>
        <v>0</v>
      </c>
      <c r="G57" s="367">
        <f t="shared" si="7"/>
        <v>0</v>
      </c>
      <c r="H57" s="571">
        <f t="shared" si="0"/>
        <v>0</v>
      </c>
      <c r="I57" s="572">
        <v>0</v>
      </c>
      <c r="J57" s="946"/>
      <c r="K57" s="604">
        <f t="shared" si="2"/>
        <v>0.37630000000000002</v>
      </c>
      <c r="L57" s="604">
        <f t="shared" si="3"/>
        <v>0</v>
      </c>
      <c r="M57" s="604">
        <f t="shared" si="4"/>
        <v>0</v>
      </c>
    </row>
    <row r="58" spans="1:13" s="9" customFormat="1" ht="22.6" customHeight="1">
      <c r="A58" s="586">
        <v>3052</v>
      </c>
      <c r="B58" s="569">
        <f t="shared" si="8"/>
        <v>0.53</v>
      </c>
      <c r="C58" s="570" t="s">
        <v>440</v>
      </c>
      <c r="D58" s="571">
        <f>+D46+D48+D51-D55</f>
        <v>3750</v>
      </c>
      <c r="E58" s="367">
        <f t="shared" si="6"/>
        <v>0.56000000000000005</v>
      </c>
      <c r="F58" s="571">
        <f>+F46+F48+F51-F55</f>
        <v>3640</v>
      </c>
      <c r="G58" s="367">
        <f t="shared" si="7"/>
        <v>0.6</v>
      </c>
      <c r="H58" s="571">
        <f t="shared" si="0"/>
        <v>110</v>
      </c>
      <c r="I58" s="322">
        <f t="shared" si="30"/>
        <v>3.02</v>
      </c>
      <c r="J58" s="948"/>
      <c r="K58" s="604">
        <f t="shared" si="2"/>
        <v>0.52539999999999998</v>
      </c>
      <c r="L58" s="604">
        <f t="shared" si="3"/>
        <v>0.55500000000000005</v>
      </c>
      <c r="M58" s="604">
        <f t="shared" si="4"/>
        <v>0.59940000000000004</v>
      </c>
    </row>
    <row r="59" spans="1:13" s="30" customFormat="1" ht="120.6" customHeight="1" thickBot="1">
      <c r="A59" s="950">
        <v>0</v>
      </c>
      <c r="B59" s="595">
        <f t="shared" si="8"/>
        <v>0</v>
      </c>
      <c r="C59" s="600" t="s">
        <v>552</v>
      </c>
      <c r="D59" s="942">
        <f>+D56+D39</f>
        <v>0</v>
      </c>
      <c r="E59" s="888">
        <f t="shared" si="6"/>
        <v>0</v>
      </c>
      <c r="F59" s="942">
        <f>+F56+F39</f>
        <v>0</v>
      </c>
      <c r="G59" s="888">
        <f t="shared" si="7"/>
        <v>0</v>
      </c>
      <c r="H59" s="951">
        <f t="shared" si="0"/>
        <v>0</v>
      </c>
      <c r="I59" s="952">
        <v>0</v>
      </c>
      <c r="J59" s="32"/>
      <c r="K59" s="629">
        <f t="shared" si="2"/>
        <v>0</v>
      </c>
      <c r="L59" s="629">
        <f t="shared" si="3"/>
        <v>0</v>
      </c>
      <c r="M59" s="629">
        <f t="shared" si="4"/>
        <v>0</v>
      </c>
    </row>
    <row r="60" spans="1:13" s="30" customFormat="1" ht="11.45" hidden="1" customHeight="1">
      <c r="A60" s="584"/>
      <c r="B60" s="576"/>
      <c r="C60" s="563"/>
      <c r="D60" s="598"/>
      <c r="E60" s="576"/>
      <c r="F60" s="598"/>
      <c r="G60" s="576"/>
      <c r="H60" s="598"/>
      <c r="I60" s="587"/>
      <c r="J60" s="32"/>
      <c r="K60" s="629"/>
      <c r="L60" s="629"/>
      <c r="M60" s="629"/>
    </row>
    <row r="61" spans="1:13" s="30" customFormat="1" ht="13.25" hidden="1" customHeight="1">
      <c r="A61" s="584"/>
      <c r="B61" s="576"/>
      <c r="C61" s="563"/>
      <c r="D61" s="598"/>
      <c r="E61" s="576"/>
      <c r="F61" s="598"/>
      <c r="G61" s="576"/>
      <c r="H61" s="598"/>
      <c r="I61" s="587"/>
      <c r="J61" s="32"/>
      <c r="K61" s="629"/>
      <c r="L61" s="629"/>
      <c r="M61" s="629"/>
    </row>
    <row r="62" spans="1:13" s="30" customFormat="1" ht="14.25" hidden="1" customHeight="1">
      <c r="A62" s="584"/>
      <c r="B62" s="576"/>
      <c r="C62" s="563"/>
      <c r="D62" s="598"/>
      <c r="E62" s="576"/>
      <c r="F62" s="598"/>
      <c r="G62" s="576"/>
      <c r="H62" s="598"/>
      <c r="I62" s="587"/>
      <c r="J62" s="32"/>
      <c r="K62" s="629"/>
      <c r="L62" s="629"/>
      <c r="M62" s="629"/>
    </row>
    <row r="63" spans="1:13" s="30" customFormat="1" ht="6.75" hidden="1" customHeight="1">
      <c r="A63" s="584"/>
      <c r="B63" s="576"/>
      <c r="C63" s="563"/>
      <c r="D63" s="598"/>
      <c r="E63" s="576"/>
      <c r="F63" s="598"/>
      <c r="G63" s="576"/>
      <c r="H63" s="598"/>
      <c r="I63" s="587"/>
      <c r="J63" s="32"/>
      <c r="K63" s="629"/>
      <c r="L63" s="629"/>
      <c r="M63" s="629"/>
    </row>
    <row r="64" spans="1:13" ht="18" customHeight="1">
      <c r="A64" s="1044" t="s">
        <v>1027</v>
      </c>
      <c r="B64" s="1045"/>
      <c r="C64" s="1045"/>
      <c r="D64" s="1045"/>
      <c r="E64" s="1045"/>
      <c r="F64" s="1045"/>
      <c r="G64" s="1045"/>
      <c r="H64" s="1045"/>
      <c r="I64" s="1045"/>
      <c r="J64" s="2"/>
    </row>
    <row r="65" spans="1:9" ht="15.05">
      <c r="A65" s="624" t="s">
        <v>1052</v>
      </c>
      <c r="B65" s="625"/>
      <c r="C65" s="626"/>
      <c r="D65" s="633"/>
      <c r="E65" s="627"/>
      <c r="F65" s="625"/>
      <c r="G65" s="625"/>
      <c r="H65" s="625"/>
      <c r="I65" s="625"/>
    </row>
    <row r="66" spans="1:9" ht="15.05">
      <c r="C66" s="628"/>
    </row>
    <row r="67" spans="1:9" ht="15.05">
      <c r="C67" s="628"/>
    </row>
    <row r="68" spans="1:9" ht="15.05">
      <c r="C68" s="628"/>
    </row>
    <row r="69" spans="1:9" ht="15.05">
      <c r="C69" s="628"/>
    </row>
    <row r="70" spans="1:9" ht="15.05">
      <c r="C70" s="628"/>
    </row>
    <row r="71" spans="1:9" ht="15.05">
      <c r="C71" s="628"/>
    </row>
    <row r="72" spans="1:9" ht="15.05">
      <c r="C72" s="628"/>
    </row>
    <row r="73" spans="1:9" ht="15.05">
      <c r="C73" s="628"/>
    </row>
  </sheetData>
  <mergeCells count="10">
    <mergeCell ref="A64:I64"/>
    <mergeCell ref="A4:I4"/>
    <mergeCell ref="A1:I1"/>
    <mergeCell ref="A2:I2"/>
    <mergeCell ref="A3:I3"/>
    <mergeCell ref="H5:I5"/>
    <mergeCell ref="A5:B5"/>
    <mergeCell ref="C5:C6"/>
    <mergeCell ref="D5:E5"/>
    <mergeCell ref="F5:G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H38"/>
  <sheetViews>
    <sheetView view="pageBreakPreview" topLeftCell="A20" zoomScaleNormal="100" zoomScaleSheetLayoutView="100" workbookViewId="0">
      <selection activeCell="D20" sqref="D20"/>
    </sheetView>
  </sheetViews>
  <sheetFormatPr defaultColWidth="9" defaultRowHeight="15.0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2.25">
      <c r="A1" s="1051" t="s">
        <v>62</v>
      </c>
      <c r="B1" s="1051"/>
      <c r="C1" s="1051"/>
      <c r="D1" s="1051"/>
      <c r="E1" s="1051"/>
      <c r="F1" s="1"/>
      <c r="G1" s="1"/>
      <c r="H1" s="1"/>
    </row>
    <row r="2" spans="1:8" s="2" customFormat="1" ht="22.25">
      <c r="A2" s="1051" t="s">
        <v>63</v>
      </c>
      <c r="B2" s="1051"/>
      <c r="C2" s="1051"/>
      <c r="D2" s="1051"/>
      <c r="E2" s="1051"/>
      <c r="F2" s="1"/>
      <c r="G2" s="1"/>
      <c r="H2" s="1"/>
    </row>
    <row r="3" spans="1:8" s="2" customFormat="1" ht="24.75" customHeight="1">
      <c r="A3" s="1052" t="s">
        <v>515</v>
      </c>
      <c r="B3" s="1053"/>
      <c r="C3" s="1053"/>
      <c r="D3" s="1053"/>
      <c r="E3" s="1053"/>
      <c r="F3" s="3"/>
      <c r="G3" s="3"/>
      <c r="H3" s="3"/>
    </row>
    <row r="4" spans="1:8" s="2" customFormat="1" ht="24.9" customHeight="1" thickBot="1">
      <c r="A4" s="1055" t="s">
        <v>1125</v>
      </c>
      <c r="B4" s="1055"/>
      <c r="C4" s="1055"/>
      <c r="D4" s="1055"/>
      <c r="E4" s="1055"/>
      <c r="F4" s="4"/>
      <c r="G4" s="4"/>
      <c r="H4" s="4"/>
    </row>
    <row r="5" spans="1:8">
      <c r="A5" s="1087" t="s">
        <v>64</v>
      </c>
      <c r="B5" s="1090" t="s">
        <v>65</v>
      </c>
      <c r="C5" s="1093" t="s">
        <v>123</v>
      </c>
      <c r="D5" s="1094"/>
      <c r="E5" s="1095"/>
      <c r="F5" s="4"/>
      <c r="G5" s="4"/>
      <c r="H5" s="4"/>
    </row>
    <row r="6" spans="1:8">
      <c r="A6" s="1088"/>
      <c r="B6" s="1091"/>
      <c r="C6" s="1096"/>
      <c r="D6" s="1097"/>
      <c r="E6" s="1098"/>
      <c r="F6" s="4"/>
      <c r="G6" s="4"/>
      <c r="H6" s="4"/>
    </row>
    <row r="7" spans="1:8" ht="12.8" customHeight="1">
      <c r="A7" s="1089"/>
      <c r="B7" s="1092"/>
      <c r="C7" s="1099"/>
      <c r="D7" s="1100"/>
      <c r="E7" s="1101"/>
    </row>
    <row r="8" spans="1:8" ht="5.25" customHeight="1">
      <c r="A8" s="999"/>
      <c r="B8" s="1000"/>
      <c r="C8" s="84"/>
      <c r="D8" s="134"/>
      <c r="E8" s="87"/>
    </row>
    <row r="9" spans="1:8" s="9" customFormat="1" ht="18.850000000000001" customHeight="1">
      <c r="A9" s="371" t="s">
        <v>67</v>
      </c>
      <c r="B9" s="136"/>
      <c r="C9" s="137"/>
      <c r="D9" s="138"/>
      <c r="E9" s="139"/>
    </row>
    <row r="10" spans="1:8" s="30" customFormat="1" ht="26.05" customHeight="1">
      <c r="A10" s="68" t="s">
        <v>1229</v>
      </c>
      <c r="B10" s="187">
        <v>0</v>
      </c>
      <c r="C10" s="141"/>
      <c r="D10" s="142"/>
      <c r="E10" s="139"/>
    </row>
    <row r="11" spans="1:8" s="30" customFormat="1" ht="33.049999999999997" customHeight="1">
      <c r="A11" s="68" t="s">
        <v>493</v>
      </c>
      <c r="B11" s="31">
        <f>-D11+D12</f>
        <v>-72525</v>
      </c>
      <c r="C11" s="1001" t="s">
        <v>538</v>
      </c>
      <c r="D11" s="998">
        <v>72525</v>
      </c>
      <c r="E11" s="1002" t="s">
        <v>68</v>
      </c>
    </row>
    <row r="12" spans="1:8" s="30" customFormat="1" ht="20.3" hidden="1" customHeight="1">
      <c r="A12" s="68"/>
      <c r="B12" s="67"/>
      <c r="C12" s="1001" t="s">
        <v>482</v>
      </c>
      <c r="D12" s="998">
        <v>0</v>
      </c>
      <c r="E12" s="1002" t="s">
        <v>68</v>
      </c>
    </row>
    <row r="13" spans="1:8" s="30" customFormat="1" ht="29.45" customHeight="1">
      <c r="A13" s="68" t="s">
        <v>543</v>
      </c>
      <c r="B13" s="31">
        <f>+B10+B11</f>
        <v>-72525</v>
      </c>
      <c r="C13" s="141"/>
      <c r="D13" s="142"/>
      <c r="E13" s="139"/>
    </row>
    <row r="14" spans="1:8" s="30" customFormat="1" ht="38.950000000000003" customHeight="1">
      <c r="A14" s="68" t="s">
        <v>1218</v>
      </c>
      <c r="B14" s="143">
        <f>D14+D15+D16+D17+D18+D19</f>
        <v>-563112</v>
      </c>
      <c r="C14" s="1001" t="s">
        <v>1051</v>
      </c>
      <c r="D14" s="998">
        <v>-563112</v>
      </c>
      <c r="E14" s="1002" t="s">
        <v>68</v>
      </c>
      <c r="F14" s="35"/>
    </row>
    <row r="15" spans="1:8" s="30" customFormat="1" ht="20.95" hidden="1" customHeight="1">
      <c r="A15" s="68"/>
      <c r="B15" s="143"/>
      <c r="C15" s="1001" t="s">
        <v>484</v>
      </c>
      <c r="D15" s="998">
        <v>0</v>
      </c>
      <c r="E15" s="1002" t="s">
        <v>68</v>
      </c>
      <c r="F15" s="35"/>
    </row>
    <row r="16" spans="1:8" s="9" customFormat="1" ht="21.8" hidden="1" customHeight="1">
      <c r="A16" s="68"/>
      <c r="B16" s="143"/>
      <c r="C16" s="1001" t="s">
        <v>571</v>
      </c>
      <c r="D16" s="998">
        <v>0</v>
      </c>
      <c r="E16" s="1002" t="s">
        <v>68</v>
      </c>
    </row>
    <row r="17" spans="1:8" s="9" customFormat="1" ht="36.65" hidden="1" customHeight="1">
      <c r="A17" s="68"/>
      <c r="B17" s="143"/>
      <c r="C17" s="1001" t="s">
        <v>540</v>
      </c>
      <c r="D17" s="998">
        <v>0</v>
      </c>
      <c r="E17" s="1002" t="s">
        <v>68</v>
      </c>
    </row>
    <row r="18" spans="1:8" s="30" customFormat="1" ht="33.549999999999997" hidden="1" customHeight="1">
      <c r="A18" s="68" t="s">
        <v>1219</v>
      </c>
      <c r="B18" s="31"/>
      <c r="C18" s="1001" t="s">
        <v>806</v>
      </c>
      <c r="D18" s="998">
        <v>0</v>
      </c>
      <c r="E18" s="1002" t="s">
        <v>68</v>
      </c>
      <c r="F18" s="36"/>
      <c r="H18" s="10"/>
    </row>
    <row r="19" spans="1:8" s="9" customFormat="1" ht="31.95" hidden="1" customHeight="1">
      <c r="A19" s="68" t="s">
        <v>1219</v>
      </c>
      <c r="B19" s="31"/>
      <c r="C19" s="1001" t="s">
        <v>577</v>
      </c>
      <c r="D19" s="998">
        <v>0</v>
      </c>
      <c r="E19" s="1002" t="s">
        <v>68</v>
      </c>
    </row>
    <row r="20" spans="1:8" s="30" customFormat="1" ht="26.05" customHeight="1">
      <c r="A20" s="68" t="s">
        <v>544</v>
      </c>
      <c r="B20" s="31">
        <f>+B13+B14</f>
        <v>-635637</v>
      </c>
      <c r="C20" s="141"/>
      <c r="D20" s="142"/>
      <c r="E20" s="139"/>
    </row>
    <row r="21" spans="1:8" s="9" customFormat="1" ht="25.2" customHeight="1">
      <c r="A21" s="371" t="s">
        <v>487</v>
      </c>
      <c r="B21" s="27">
        <f>+B20</f>
        <v>-635637</v>
      </c>
      <c r="C21" s="372"/>
      <c r="D21" s="373"/>
      <c r="E21" s="1002"/>
    </row>
    <row r="22" spans="1:8" s="9" customFormat="1" ht="24.55" customHeight="1">
      <c r="A22" s="371" t="s">
        <v>1220</v>
      </c>
      <c r="B22" s="27"/>
      <c r="C22" s="374"/>
      <c r="D22" s="375"/>
      <c r="E22" s="376"/>
    </row>
    <row r="23" spans="1:8" s="933" customFormat="1" ht="33.049999999999997" hidden="1" customHeight="1">
      <c r="A23" s="68" t="s">
        <v>1221</v>
      </c>
      <c r="B23" s="31">
        <v>0</v>
      </c>
      <c r="C23" s="1084" t="s">
        <v>1222</v>
      </c>
      <c r="D23" s="1085"/>
      <c r="E23" s="1086"/>
    </row>
    <row r="24" spans="1:8" s="9" customFormat="1" ht="45" hidden="1" customHeight="1">
      <c r="A24" s="68" t="s">
        <v>583</v>
      </c>
      <c r="B24" s="31">
        <v>0</v>
      </c>
      <c r="C24" s="1084" t="s">
        <v>1230</v>
      </c>
      <c r="D24" s="1085"/>
      <c r="E24" s="1086"/>
    </row>
    <row r="25" spans="1:8" s="9" customFormat="1" ht="35.049999999999997" hidden="1" customHeight="1">
      <c r="A25" s="68" t="s">
        <v>583</v>
      </c>
      <c r="B25" s="31"/>
      <c r="C25" s="1102" t="s">
        <v>807</v>
      </c>
      <c r="D25" s="1103"/>
      <c r="E25" s="1104"/>
    </row>
    <row r="26" spans="1:8" s="9" customFormat="1" ht="25.2" customHeight="1">
      <c r="A26" s="68" t="s">
        <v>542</v>
      </c>
      <c r="B26" s="31">
        <v>72624</v>
      </c>
      <c r="C26" s="1102" t="s">
        <v>1216</v>
      </c>
      <c r="D26" s="1103"/>
      <c r="E26" s="1104"/>
    </row>
    <row r="27" spans="1:8" s="9" customFormat="1" ht="33.049999999999997" customHeight="1">
      <c r="A27" s="68" t="s">
        <v>1228</v>
      </c>
      <c r="B27" s="31">
        <v>-13500</v>
      </c>
      <c r="C27" s="1084" t="s">
        <v>1231</v>
      </c>
      <c r="D27" s="1085"/>
      <c r="E27" s="1086"/>
    </row>
    <row r="28" spans="1:8" s="9" customFormat="1" ht="32.4" customHeight="1">
      <c r="A28" s="68" t="s">
        <v>1223</v>
      </c>
      <c r="B28" s="31">
        <v>-19450</v>
      </c>
      <c r="C28" s="1102" t="s">
        <v>1232</v>
      </c>
      <c r="D28" s="1103"/>
      <c r="E28" s="1104"/>
    </row>
    <row r="29" spans="1:8" s="9" customFormat="1" ht="25.2" hidden="1" customHeight="1">
      <c r="A29" s="68" t="s">
        <v>1224</v>
      </c>
      <c r="B29" s="31">
        <v>0</v>
      </c>
      <c r="C29" s="1084" t="s">
        <v>1225</v>
      </c>
      <c r="D29" s="1085"/>
      <c r="E29" s="1086"/>
    </row>
    <row r="30" spans="1:8" s="9" customFormat="1" ht="30.6" customHeight="1">
      <c r="A30" s="371" t="s">
        <v>568</v>
      </c>
      <c r="B30" s="27">
        <f>SUM(B23:B29)</f>
        <v>39674</v>
      </c>
      <c r="C30" s="372"/>
      <c r="D30" s="373"/>
      <c r="E30" s="376"/>
    </row>
    <row r="31" spans="1:8" s="9" customFormat="1" ht="27.65" customHeight="1">
      <c r="A31" s="371" t="s">
        <v>516</v>
      </c>
      <c r="B31" s="144"/>
      <c r="C31" s="377"/>
      <c r="D31" s="378"/>
      <c r="E31" s="376"/>
    </row>
    <row r="32" spans="1:8" s="390" customFormat="1" ht="38.450000000000003" customHeight="1">
      <c r="A32" s="68" t="s">
        <v>489</v>
      </c>
      <c r="B32" s="31">
        <v>602903</v>
      </c>
      <c r="C32" s="1102" t="s">
        <v>1217</v>
      </c>
      <c r="D32" s="1103"/>
      <c r="E32" s="1104"/>
    </row>
    <row r="33" spans="1:5" s="390" customFormat="1" ht="39.799999999999997" hidden="1" customHeight="1">
      <c r="A33" s="68" t="s">
        <v>490</v>
      </c>
      <c r="B33" s="31">
        <v>0</v>
      </c>
      <c r="C33" s="1102" t="s">
        <v>584</v>
      </c>
      <c r="D33" s="1103"/>
      <c r="E33" s="1104"/>
    </row>
    <row r="34" spans="1:5" s="390" customFormat="1" ht="24.75" hidden="1" customHeight="1">
      <c r="A34" s="68" t="s">
        <v>1226</v>
      </c>
      <c r="B34" s="31">
        <v>0</v>
      </c>
      <c r="C34" s="1102" t="s">
        <v>1227</v>
      </c>
      <c r="D34" s="1103"/>
      <c r="E34" s="1104"/>
    </row>
    <row r="35" spans="1:5" s="9" customFormat="1" ht="28.15" customHeight="1">
      <c r="A35" s="371" t="s">
        <v>569</v>
      </c>
      <c r="B35" s="77">
        <f>SUM(B32:B34)</f>
        <v>602903</v>
      </c>
      <c r="C35" s="379"/>
      <c r="D35" s="380"/>
      <c r="E35" s="381"/>
    </row>
    <row r="36" spans="1:5" s="9" customFormat="1" ht="28.15" customHeight="1">
      <c r="A36" s="371" t="s">
        <v>570</v>
      </c>
      <c r="B36" s="77">
        <f>B21+B30+B35</f>
        <v>6940</v>
      </c>
      <c r="C36" s="382"/>
      <c r="D36" s="383"/>
      <c r="E36" s="384"/>
    </row>
    <row r="37" spans="1:5" s="9" customFormat="1" ht="31.25" customHeight="1">
      <c r="A37" s="371" t="s">
        <v>76</v>
      </c>
      <c r="B37" s="77">
        <v>1094029</v>
      </c>
      <c r="C37" s="382"/>
      <c r="D37" s="383"/>
      <c r="E37" s="384"/>
    </row>
    <row r="38" spans="1:5" s="939" customFormat="1" ht="130.25" customHeight="1" thickBot="1">
      <c r="A38" s="385" t="s">
        <v>77</v>
      </c>
      <c r="B38" s="145">
        <f>+B36+B37</f>
        <v>1100969</v>
      </c>
      <c r="C38" s="386"/>
      <c r="D38" s="387"/>
      <c r="E38" s="388"/>
    </row>
  </sheetData>
  <mergeCells count="17">
    <mergeCell ref="C33:E33"/>
    <mergeCell ref="C34:E34"/>
    <mergeCell ref="C24:E24"/>
    <mergeCell ref="C26:E26"/>
    <mergeCell ref="C27:E27"/>
    <mergeCell ref="C28:E28"/>
    <mergeCell ref="C29:E29"/>
    <mergeCell ref="C32:E32"/>
    <mergeCell ref="C25:E25"/>
    <mergeCell ref="C23:E23"/>
    <mergeCell ref="A1:E1"/>
    <mergeCell ref="A2:E2"/>
    <mergeCell ref="A3:E3"/>
    <mergeCell ref="A4:E4"/>
    <mergeCell ref="A5:A7"/>
    <mergeCell ref="B5:B7"/>
    <mergeCell ref="C5:E7"/>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E30"/>
  <sheetViews>
    <sheetView view="pageBreakPreview" zoomScaleNormal="100" zoomScaleSheetLayoutView="100" workbookViewId="0">
      <selection activeCell="C26" sqref="C26"/>
    </sheetView>
  </sheetViews>
  <sheetFormatPr defaultColWidth="9" defaultRowHeight="16.399999999999999"/>
  <cols>
    <col min="1" max="1" width="14.625" style="6" customWidth="1"/>
    <col min="2" max="2" width="32.875" style="475" customWidth="1"/>
    <col min="3" max="3" width="14.75" style="6" customWidth="1"/>
    <col min="4" max="4" width="14.75" style="19" customWidth="1"/>
    <col min="5" max="5" width="13.125" style="6" customWidth="1"/>
    <col min="6" max="16384" width="9" style="6"/>
  </cols>
  <sheetData>
    <row r="1" spans="1:5" ht="22.25">
      <c r="A1" s="1051" t="s">
        <v>461</v>
      </c>
      <c r="B1" s="1051"/>
      <c r="C1" s="1051"/>
      <c r="D1" s="1051"/>
      <c r="E1" s="1051"/>
    </row>
    <row r="2" spans="1:5" ht="22.25">
      <c r="A2" s="1051" t="s">
        <v>460</v>
      </c>
      <c r="B2" s="1051"/>
      <c r="C2" s="1051"/>
      <c r="D2" s="1051"/>
      <c r="E2" s="1051"/>
    </row>
    <row r="3" spans="1:5" ht="24.75" customHeight="1">
      <c r="A3" s="1053" t="s">
        <v>479</v>
      </c>
      <c r="B3" s="1053"/>
      <c r="C3" s="1053"/>
      <c r="D3" s="1053"/>
      <c r="E3" s="1053"/>
    </row>
    <row r="4" spans="1:5" ht="24.75" customHeight="1" thickBot="1">
      <c r="A4" s="1067" t="s">
        <v>1126</v>
      </c>
      <c r="B4" s="1067"/>
      <c r="C4" s="1067"/>
      <c r="D4" s="1067"/>
      <c r="E4" s="1067"/>
    </row>
    <row r="5" spans="1:5" ht="15.75" customHeight="1">
      <c r="A5" s="1235" t="s">
        <v>1129</v>
      </c>
      <c r="B5" s="1308" t="s">
        <v>478</v>
      </c>
      <c r="C5" s="1244" t="s">
        <v>1127</v>
      </c>
      <c r="D5" s="1244" t="s">
        <v>1128</v>
      </c>
      <c r="E5" s="1241" t="s">
        <v>936</v>
      </c>
    </row>
    <row r="6" spans="1:5" ht="15.75" customHeight="1">
      <c r="A6" s="1236"/>
      <c r="B6" s="1309"/>
      <c r="C6" s="1245"/>
      <c r="D6" s="1245"/>
      <c r="E6" s="1242"/>
    </row>
    <row r="7" spans="1:5" ht="15.75" customHeight="1">
      <c r="A7" s="1237"/>
      <c r="B7" s="1310"/>
      <c r="C7" s="1246"/>
      <c r="D7" s="1246"/>
      <c r="E7" s="1243"/>
    </row>
    <row r="8" spans="1:5" ht="9" customHeight="1">
      <c r="A8" s="24"/>
      <c r="B8" s="612"/>
      <c r="C8" s="665"/>
      <c r="D8" s="666"/>
      <c r="E8" s="113"/>
    </row>
    <row r="9" spans="1:5" s="30" customFormat="1" ht="26.2" customHeight="1">
      <c r="A9" s="114">
        <v>11259459</v>
      </c>
      <c r="B9" s="115" t="s">
        <v>477</v>
      </c>
      <c r="C9" s="116">
        <f>C10+C15+C17</f>
        <v>11233584</v>
      </c>
      <c r="D9" s="116">
        <f t="shared" ref="D9:E9" si="0">D10+D15+D17</f>
        <v>11193793</v>
      </c>
      <c r="E9" s="117">
        <f t="shared" si="0"/>
        <v>39791</v>
      </c>
    </row>
    <row r="10" spans="1:5" s="30" customFormat="1" ht="28.15" customHeight="1">
      <c r="A10" s="114">
        <v>7732947</v>
      </c>
      <c r="B10" s="118" t="s">
        <v>476</v>
      </c>
      <c r="C10" s="116">
        <f>SUM(C11:C14)</f>
        <v>7704211</v>
      </c>
      <c r="D10" s="116">
        <f>SUM(D11:D14)</f>
        <v>7683870</v>
      </c>
      <c r="E10" s="117">
        <f>SUM(E11:E14)</f>
        <v>20341</v>
      </c>
    </row>
    <row r="11" spans="1:5" s="9" customFormat="1" ht="26.2" customHeight="1">
      <c r="A11" s="119">
        <v>1023768</v>
      </c>
      <c r="B11" s="120" t="s">
        <v>475</v>
      </c>
      <c r="C11" s="121">
        <v>1100969</v>
      </c>
      <c r="D11" s="121">
        <v>1094029</v>
      </c>
      <c r="E11" s="122">
        <f>C11-D11</f>
        <v>6940</v>
      </c>
    </row>
    <row r="12" spans="1:5" s="9" customFormat="1" ht="26.2" customHeight="1">
      <c r="A12" s="119">
        <v>6622330</v>
      </c>
      <c r="B12" s="120" t="s">
        <v>526</v>
      </c>
      <c r="C12" s="121">
        <v>6587350</v>
      </c>
      <c r="D12" s="121">
        <v>6573850</v>
      </c>
      <c r="E12" s="122">
        <f>C12-D12</f>
        <v>13500</v>
      </c>
    </row>
    <row r="13" spans="1:5" s="9" customFormat="1" ht="26.2" customHeight="1">
      <c r="A13" s="119">
        <v>83176</v>
      </c>
      <c r="B13" s="120" t="s">
        <v>474</v>
      </c>
      <c r="C13" s="121">
        <v>7892</v>
      </c>
      <c r="D13" s="121">
        <v>7991</v>
      </c>
      <c r="E13" s="122">
        <f>C13-D13</f>
        <v>-99</v>
      </c>
    </row>
    <row r="14" spans="1:5" s="9" customFormat="1" ht="30.6" customHeight="1">
      <c r="A14" s="119">
        <v>3673</v>
      </c>
      <c r="B14" s="120" t="s">
        <v>473</v>
      </c>
      <c r="C14" s="121">
        <v>8000</v>
      </c>
      <c r="D14" s="121">
        <v>8000</v>
      </c>
      <c r="E14" s="132">
        <f>C14-D14</f>
        <v>0</v>
      </c>
    </row>
    <row r="15" spans="1:5" s="30" customFormat="1" ht="30.6" customHeight="1">
      <c r="A15" s="114">
        <v>3523020</v>
      </c>
      <c r="B15" s="123" t="s">
        <v>393</v>
      </c>
      <c r="C15" s="116">
        <f>SUM(C16:C16)</f>
        <v>3527210</v>
      </c>
      <c r="D15" s="116">
        <f>SUM(D16:D16)</f>
        <v>3507760</v>
      </c>
      <c r="E15" s="117">
        <f>SUM(E16:E16)</f>
        <v>19450</v>
      </c>
    </row>
    <row r="16" spans="1:5" s="9" customFormat="1" ht="25.2" customHeight="1">
      <c r="A16" s="119">
        <v>3523020</v>
      </c>
      <c r="B16" s="120" t="s">
        <v>525</v>
      </c>
      <c r="C16" s="121">
        <v>3527210</v>
      </c>
      <c r="D16" s="121">
        <v>3507760</v>
      </c>
      <c r="E16" s="122">
        <f>C16-D16</f>
        <v>19450</v>
      </c>
    </row>
    <row r="17" spans="1:5" s="30" customFormat="1" ht="29" customHeight="1">
      <c r="A17" s="114">
        <v>3492</v>
      </c>
      <c r="B17" s="118" t="s">
        <v>472</v>
      </c>
      <c r="C17" s="116">
        <f>SUM(C18:C18)</f>
        <v>2163</v>
      </c>
      <c r="D17" s="116">
        <f>SUM(D18:D18)</f>
        <v>2163</v>
      </c>
      <c r="E17" s="124">
        <f>SUM(E18:E18)</f>
        <v>0</v>
      </c>
    </row>
    <row r="18" spans="1:5" s="9" customFormat="1" ht="26.2" customHeight="1">
      <c r="A18" s="119">
        <v>3492</v>
      </c>
      <c r="B18" s="120" t="s">
        <v>471</v>
      </c>
      <c r="C18" s="121">
        <v>2163</v>
      </c>
      <c r="D18" s="121">
        <v>2163</v>
      </c>
      <c r="E18" s="132">
        <f>C18-D18</f>
        <v>0</v>
      </c>
    </row>
    <row r="19" spans="1:5" s="30" customFormat="1" ht="26.2" customHeight="1">
      <c r="A19" s="114">
        <v>11259459</v>
      </c>
      <c r="B19" s="115" t="s">
        <v>462</v>
      </c>
      <c r="C19" s="116">
        <f>C9</f>
        <v>11233584</v>
      </c>
      <c r="D19" s="116">
        <f>D9</f>
        <v>11193793</v>
      </c>
      <c r="E19" s="117">
        <f>E9</f>
        <v>39791</v>
      </c>
    </row>
    <row r="20" spans="1:5" s="30" customFormat="1" ht="26.2" customHeight="1">
      <c r="A20" s="114"/>
      <c r="B20" s="115"/>
      <c r="C20" s="116"/>
      <c r="D20" s="116"/>
      <c r="E20" s="117"/>
    </row>
    <row r="21" spans="1:5" s="30" customFormat="1" ht="26.2" customHeight="1">
      <c r="A21" s="114">
        <v>11259459</v>
      </c>
      <c r="B21" s="115" t="s">
        <v>470</v>
      </c>
      <c r="C21" s="116">
        <f>C22+C24</f>
        <v>11233584</v>
      </c>
      <c r="D21" s="116">
        <f>D22+D24</f>
        <v>11193793</v>
      </c>
      <c r="E21" s="117">
        <f>E22+E24</f>
        <v>39791</v>
      </c>
    </row>
    <row r="22" spans="1:5" s="30" customFormat="1" ht="26.2" customHeight="1">
      <c r="A22" s="114">
        <v>3523</v>
      </c>
      <c r="B22" s="118" t="s">
        <v>469</v>
      </c>
      <c r="C22" s="116">
        <f>SUM(C23:C23)</f>
        <v>9000</v>
      </c>
      <c r="D22" s="116">
        <f>SUM(D23:D23)</f>
        <v>9000</v>
      </c>
      <c r="E22" s="124">
        <f>SUM(E23:E23)</f>
        <v>0</v>
      </c>
    </row>
    <row r="23" spans="1:5" s="9" customFormat="1" ht="29" customHeight="1">
      <c r="A23" s="119">
        <v>3523</v>
      </c>
      <c r="B23" s="120" t="s">
        <v>468</v>
      </c>
      <c r="C23" s="121">
        <v>9000</v>
      </c>
      <c r="D23" s="121">
        <v>9000</v>
      </c>
      <c r="E23" s="132">
        <f>C23-D23</f>
        <v>0</v>
      </c>
    </row>
    <row r="24" spans="1:5" s="30" customFormat="1" ht="26.2" customHeight="1">
      <c r="A24" s="114">
        <v>11255935</v>
      </c>
      <c r="B24" s="123" t="s">
        <v>467</v>
      </c>
      <c r="C24" s="116">
        <f>SUM(C25:C25)</f>
        <v>11224584</v>
      </c>
      <c r="D24" s="116">
        <f>SUM(D25:D25)</f>
        <v>11184793</v>
      </c>
      <c r="E24" s="117">
        <f>SUM(E25:E25)</f>
        <v>39791</v>
      </c>
    </row>
    <row r="25" spans="1:5" s="9" customFormat="1" ht="27" customHeight="1">
      <c r="A25" s="119">
        <v>11249584</v>
      </c>
      <c r="B25" s="120" t="s">
        <v>466</v>
      </c>
      <c r="C25" s="121">
        <v>11224584</v>
      </c>
      <c r="D25" s="121">
        <v>11184793</v>
      </c>
      <c r="E25" s="122">
        <f>C25-D25</f>
        <v>39791</v>
      </c>
    </row>
    <row r="26" spans="1:5" s="9" customFormat="1" ht="26.2" customHeight="1">
      <c r="A26" s="119">
        <v>6351</v>
      </c>
      <c r="B26" s="120" t="s">
        <v>465</v>
      </c>
      <c r="C26" s="131">
        <v>0</v>
      </c>
      <c r="D26" s="131">
        <v>0</v>
      </c>
      <c r="E26" s="132">
        <f>C26-D26</f>
        <v>0</v>
      </c>
    </row>
    <row r="27" spans="1:5" s="30" customFormat="1" ht="27" customHeight="1">
      <c r="A27" s="130">
        <f>A28</f>
        <v>0</v>
      </c>
      <c r="B27" s="115" t="s">
        <v>464</v>
      </c>
      <c r="C27" s="131">
        <f t="shared" ref="C27:E28" si="1">C28</f>
        <v>0</v>
      </c>
      <c r="D27" s="131">
        <f t="shared" si="1"/>
        <v>0</v>
      </c>
      <c r="E27" s="132">
        <f t="shared" si="1"/>
        <v>0</v>
      </c>
    </row>
    <row r="28" spans="1:5" s="30" customFormat="1" ht="32.4" customHeight="1">
      <c r="A28" s="130">
        <f>A29</f>
        <v>0</v>
      </c>
      <c r="B28" s="118" t="s">
        <v>554</v>
      </c>
      <c r="C28" s="129">
        <f t="shared" si="1"/>
        <v>0</v>
      </c>
      <c r="D28" s="129">
        <f t="shared" si="1"/>
        <v>0</v>
      </c>
      <c r="E28" s="124">
        <f t="shared" si="1"/>
        <v>0</v>
      </c>
    </row>
    <row r="29" spans="1:5" s="9" customFormat="1" ht="26.35" customHeight="1">
      <c r="A29" s="133">
        <v>0</v>
      </c>
      <c r="B29" s="120" t="s">
        <v>463</v>
      </c>
      <c r="C29" s="131">
        <v>0</v>
      </c>
      <c r="D29" s="131">
        <v>0</v>
      </c>
      <c r="E29" s="132">
        <v>0</v>
      </c>
    </row>
    <row r="30" spans="1:5" s="30" customFormat="1" ht="49.25" customHeight="1" thickBot="1">
      <c r="A30" s="125">
        <v>11259459</v>
      </c>
      <c r="B30" s="126" t="s">
        <v>462</v>
      </c>
      <c r="C30" s="127">
        <f>C21+C27</f>
        <v>11233584</v>
      </c>
      <c r="D30" s="127">
        <f>D21+D27</f>
        <v>11193793</v>
      </c>
      <c r="E30" s="128">
        <f>E21+E27</f>
        <v>39791</v>
      </c>
    </row>
  </sheetData>
  <mergeCells count="9">
    <mergeCell ref="A3:E3"/>
    <mergeCell ref="A2:E2"/>
    <mergeCell ref="A1:E1"/>
    <mergeCell ref="A5:A7"/>
    <mergeCell ref="B5:B7"/>
    <mergeCell ref="E5:E7"/>
    <mergeCell ref="C5:C7"/>
    <mergeCell ref="D5:D7"/>
    <mergeCell ref="A4:E4"/>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45</vt:i4>
      </vt:variant>
      <vt:variant>
        <vt:lpstr>具名範圍</vt:lpstr>
      </vt:variant>
      <vt:variant>
        <vt:i4>52</vt:i4>
      </vt:variant>
    </vt:vector>
  </HeadingPairs>
  <TitlesOfParts>
    <vt:vector size="97" baseType="lpstr">
      <vt:lpstr>圖1</vt:lpstr>
      <vt:lpstr>圖2</vt:lpstr>
      <vt:lpstr>收支餘絀預計表-總 (2)</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基金數額增減明細表</vt:lpstr>
      <vt:lpstr>資產折舊明細表(新增)</vt:lpstr>
      <vt:lpstr>貸出款明細表 </vt:lpstr>
      <vt:lpstr>平衡表-總</vt:lpstr>
      <vt:lpstr>5年來主要營運項目分析表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雜項業務成本分析-職災保護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收支餘絀預計表-職災 </vt:lpstr>
      <vt:lpstr>現金流量預計表-職</vt:lpstr>
      <vt:lpstr>預計平衡表-職</vt:lpstr>
      <vt:lpstr>'5年來主要營運項目分析表'!Print_Area</vt:lpstr>
      <vt:lpstr>'平衡表-總'!Print_Area</vt:lpstr>
      <vt:lpstr>'收支餘絀預計表-就'!Print_Area</vt:lpstr>
      <vt:lpstr>'收支餘絀預計表-農'!Print_Area</vt:lpstr>
      <vt:lpstr>收支餘絀預計表說明!Print_Area</vt:lpstr>
      <vt:lpstr>'收支餘絀預計表-總 (2)'!Print_Area</vt:lpstr>
      <vt:lpstr>'收支餘絀預計表-職災 '!Print_Area</vt:lpstr>
      <vt:lpstr>投融資業務成本明細表!Print_Area</vt:lpstr>
      <vt:lpstr>'投融資業務收入明細表 '!Print_Area</vt:lpstr>
      <vt:lpstr>其他業務成本明細表!Print_Area</vt:lpstr>
      <vt:lpstr>其他業務收入明細表!Print_Area</vt:lpstr>
      <vt:lpstr>保險成本明細表!Print_Area</vt:lpstr>
      <vt:lpstr>保險成本說明!Print_Area</vt:lpstr>
      <vt:lpstr>保險收入明細表!Print_Area</vt:lpstr>
      <vt:lpstr>保險給付分析表!Print_Area</vt:lpstr>
      <vt:lpstr>'貸出款明細表 '!Print_Area</vt:lpstr>
      <vt:lpstr>業務外收入明細表!Print_Area</vt:lpstr>
      <vt:lpstr>業務外費用明細表!Print_Area</vt:lpstr>
      <vt:lpstr>業務外費用說明!Print_Area</vt:lpstr>
      <vt:lpstr>'資產折舊明細表(新增)'!Print_Area</vt:lpstr>
      <vt:lpstr>'預計平衡表-農'!Print_Area</vt:lpstr>
      <vt:lpstr>圖1!Print_Area</vt:lpstr>
      <vt:lpstr>圖2!Print_Area</vt:lpstr>
      <vt:lpstr>'雜項業務成本分析-職災保護'!Print_Area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 (2)'!Print_Titles</vt:lpstr>
      <vt:lpstr>'收支餘絀預計表-職災 '!Print_Titles</vt:lpstr>
      <vt:lpstr>投融資業務成本明細表!Print_Titles</vt:lpstr>
      <vt:lpstr>投融資業務成本說明!Print_Titles</vt:lpstr>
      <vt:lpstr>'投融資業務收入明細表 '!Print_Titles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'雜項業務成本分析-職災保護'!Print_Titles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李正心</cp:lastModifiedBy>
  <cp:lastPrinted>2022-01-06T03:36:25Z</cp:lastPrinted>
  <dcterms:created xsi:type="dcterms:W3CDTF">2010-11-22T09:06:47Z</dcterms:created>
  <dcterms:modified xsi:type="dcterms:W3CDTF">2022-01-06T03:36:36Z</dcterms:modified>
</cp:coreProperties>
</file>