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ml.chartshapes+xml"/>
  <Override PartName="/xl/charts/chart3.xml" ContentType="application/vnd.openxmlformats-officedocument.drawingml.chart+xml"/>
  <Override PartName="/xl/drawings/drawing3.xml" ContentType="application/vnd.openxmlformats-officedocument.drawingml.chartshapes+xml"/>
  <Override PartName="/xl/drawings/drawing4.xml" ContentType="application/vnd.openxmlformats-officedocument.drawing+xml"/>
  <Override PartName="/xl/charts/chart4.xml" ContentType="application/vnd.openxmlformats-officedocument.drawingml.chart+xml"/>
  <Override PartName="/xl/charts/chart5.xml" ContentType="application/vnd.openxmlformats-officedocument.drawingml.chart+xml"/>
  <Override PartName="/xl/drawings/drawing5.xml" ContentType="application/vnd.openxmlformats-officedocument.drawingml.chartshape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37"/>
  <workbookPr codeName="ThisWorkbook" defaultThemeVersion="124226"/>
  <mc:AlternateContent xmlns:mc="http://schemas.openxmlformats.org/markup-compatibility/2006">
    <mc:Choice Requires="x15">
      <x15ac:absPath xmlns:x15ac="http://schemas.microsoft.com/office/spreadsheetml/2010/11/ac" url="\\bli.gov.tw\departs\L1801\111年度法定預算書(公開上網)\111年度勞保預算書(法定預算)\Microsoft\"/>
    </mc:Choice>
  </mc:AlternateContent>
  <xr:revisionPtr revIDLastSave="0" documentId="13_ncr:1_{AC1D989B-6A80-45B7-8E08-7FE226B9B73E}" xr6:coauthVersionLast="36" xr6:coauthVersionMax="36" xr10:uidLastSave="{00000000-0000-0000-0000-000000000000}"/>
  <bookViews>
    <workbookView xWindow="0" yWindow="0" windowWidth="25135" windowHeight="10172" firstSheet="50" activeTab="53" xr2:uid="{00000000-000D-0000-FFFF-FFFF00000000}"/>
  </bookViews>
  <sheets>
    <sheet name="業務計畫" sheetId="115" r:id="rId1"/>
    <sheet name="圖1" sheetId="52" r:id="rId2"/>
    <sheet name="圖2" sheetId="53" r:id="rId3"/>
    <sheet name="空白頁10" sheetId="116" r:id="rId4"/>
    <sheet name="收支餘絀預計表-總" sheetId="80" r:id="rId5"/>
    <sheet name="收支餘絀預計表說明" sheetId="40" r:id="rId6"/>
    <sheet name="餘絀撥補預計表" sheetId="24" r:id="rId7"/>
    <sheet name="現金流量預計表-總" sheetId="30" r:id="rId8"/>
    <sheet name="租金及權利金收入明細表" sheetId="16" r:id="rId9"/>
    <sheet name="投融資業務收入明細表 " sheetId="68" r:id="rId10"/>
    <sheet name="保險收入明細表" sheetId="46" r:id="rId11"/>
    <sheet name="其他業務收入明細表" sheetId="1" r:id="rId12"/>
    <sheet name="業務外收入明細表" sheetId="2" r:id="rId13"/>
    <sheet name="出租資產成本明細表" sheetId="17" r:id="rId14"/>
    <sheet name="出租資產成本說明" sheetId="3" r:id="rId15"/>
    <sheet name="投融資業務成本明細表" sheetId="69" r:id="rId16"/>
    <sheet name="投融資業務成本說明" sheetId="70" r:id="rId17"/>
    <sheet name="保險成本明細表" sheetId="28" r:id="rId18"/>
    <sheet name="保險成本說明" sheetId="6" r:id="rId19"/>
    <sheet name="其他業務成本明細表" sheetId="84" r:id="rId20"/>
    <sheet name="其他業務成本說明" sheetId="7" r:id="rId21"/>
    <sheet name="業務外費用明細表" sheetId="20" r:id="rId22"/>
    <sheet name="業務外費用說明" sheetId="9" r:id="rId23"/>
    <sheet name="資產折舊明細表" sheetId="78" r:id="rId24"/>
    <sheet name="基金數額增減明細表" sheetId="31" r:id="rId25"/>
    <sheet name="貸出款明細表 " sheetId="77" r:id="rId26"/>
    <sheet name="平衡表-總" sheetId="29" r:id="rId27"/>
    <sheet name="5年來主要營運項目分析表" sheetId="41" r:id="rId28"/>
    <sheet name="員工人數彙計表" sheetId="89" r:id="rId29"/>
    <sheet name="用人費用彙計表" sheetId="90" r:id="rId30"/>
    <sheet name="媒體政策及業務宣導費彙計表" sheetId="88" r:id="rId31"/>
    <sheet name="各項費用彙計表" sheetId="81" r:id="rId32"/>
    <sheet name="各項費用彙計表 (單位)" sheetId="106" r:id="rId33"/>
    <sheet name="不動產投資收入分析表" sheetId="10" r:id="rId34"/>
    <sheet name="保費收入分析表" sheetId="83" r:id="rId35"/>
    <sheet name="保費收入分析表(附表)" sheetId="51" r:id="rId36"/>
    <sheet name="保險給付分析表" sheetId="75" r:id="rId37"/>
    <sheet name="雜項業務成本分析-職災保護" sheetId="43" r:id="rId38"/>
    <sheet name="雜項業務成本分析-勞職保及保護" sheetId="85" r:id="rId39"/>
    <sheet name="收支餘絀預計表-勞" sheetId="91" r:id="rId40"/>
    <sheet name="現金流量預計表-勞" sheetId="92" r:id="rId41"/>
    <sheet name="預計平衡表-勞" sheetId="93" r:id="rId42"/>
    <sheet name="收支餘絀預計表-就" sheetId="94" r:id="rId43"/>
    <sheet name="現金流量預計表-就" sheetId="95" r:id="rId44"/>
    <sheet name="預計平衡表-就" sheetId="96" r:id="rId45"/>
    <sheet name="收支餘絀預計表-農" sheetId="97" r:id="rId46"/>
    <sheet name="現金流量預計表-農" sheetId="98" r:id="rId47"/>
    <sheet name="預計平衡表-農" sheetId="99" r:id="rId48"/>
    <sheet name="收支餘絀預計表-職護" sheetId="100" r:id="rId49"/>
    <sheet name="現金流量預計表-職護" sheetId="101" r:id="rId50"/>
    <sheet name="預計平衡表-職護" sheetId="102" r:id="rId51"/>
    <sheet name="收支餘絀預計表-職" sheetId="103" r:id="rId52"/>
    <sheet name="現金流量預計表-職" sheetId="114" r:id="rId53"/>
    <sheet name="預計平衡表-職" sheetId="113" r:id="rId54"/>
  </sheets>
  <externalReferences>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s>
  <definedNames>
    <definedName name="\0" localSheetId="52">[1]稅捐!#REF!</definedName>
    <definedName name="\0" localSheetId="30">[2]稅捐!#REF!</definedName>
    <definedName name="\0" localSheetId="25">[2]稅捐!#REF!</definedName>
    <definedName name="\0" localSheetId="53">[1]稅捐!#REF!</definedName>
    <definedName name="\0" localSheetId="38">[2]稅捐!#REF!</definedName>
    <definedName name="\0">[2]稅捐!#REF!</definedName>
    <definedName name="\d" localSheetId="30">#REF!</definedName>
    <definedName name="\d" localSheetId="38">#REF!</definedName>
    <definedName name="\d">#REF!</definedName>
    <definedName name="_Dist_Values" localSheetId="30" hidden="1">#REF!</definedName>
    <definedName name="_Dist_Values" localSheetId="25" hidden="1">#REF!</definedName>
    <definedName name="_Dist_Values" localSheetId="38" hidden="1">#REF!</definedName>
    <definedName name="_Dist_Values" hidden="1">#REF!</definedName>
    <definedName name="_Fill" localSheetId="30" hidden="1">#REF!</definedName>
    <definedName name="_Fill" localSheetId="25" hidden="1">#REF!</definedName>
    <definedName name="_Fill" localSheetId="38" hidden="1">#REF!</definedName>
    <definedName name="_Fill" hidden="1">#REF!</definedName>
    <definedName name="_Key1" localSheetId="30" hidden="1">#REF!</definedName>
    <definedName name="_Key1" localSheetId="38" hidden="1">#REF!</definedName>
    <definedName name="_Key1" hidden="1">#REF!</definedName>
    <definedName name="_Order1" hidden="1">255</definedName>
    <definedName name="_Order2" hidden="1">0</definedName>
    <definedName name="_Parse_Out" localSheetId="30" hidden="1">#REF!</definedName>
    <definedName name="_Parse_Out" localSheetId="38" hidden="1">#REF!</definedName>
    <definedName name="_Parse_Out" hidden="1">#REF!</definedName>
    <definedName name="_R" localSheetId="15">#REF!</definedName>
    <definedName name="_R" localSheetId="16">#REF!</definedName>
    <definedName name="_R" localSheetId="9">#REF!</definedName>
    <definedName name="_R" localSheetId="3">#REF!</definedName>
    <definedName name="_R" localSheetId="35">#REF!</definedName>
    <definedName name="_R" localSheetId="36">#REF!</definedName>
    <definedName name="_R" localSheetId="40">#REF!</definedName>
    <definedName name="_R" localSheetId="43">#REF!</definedName>
    <definedName name="_R" localSheetId="46">#REF!</definedName>
    <definedName name="_R" localSheetId="52">#REF!</definedName>
    <definedName name="_R" localSheetId="49">#REF!</definedName>
    <definedName name="_R" localSheetId="30">#REF!</definedName>
    <definedName name="_R" localSheetId="38">#REF!</definedName>
    <definedName name="_R">#REF!</definedName>
    <definedName name="_Sort" localSheetId="30" hidden="1">#REF!</definedName>
    <definedName name="_Sort" localSheetId="38" hidden="1">#REF!</definedName>
    <definedName name="_Sort" hidden="1">#REF!</definedName>
    <definedName name="a" localSheetId="15">#REF!</definedName>
    <definedName name="a" localSheetId="16">#REF!</definedName>
    <definedName name="a" localSheetId="9">#REF!</definedName>
    <definedName name="a" localSheetId="35">#REF!</definedName>
    <definedName name="a" localSheetId="36">#REF!</definedName>
    <definedName name="a" localSheetId="40">#REF!</definedName>
    <definedName name="a" localSheetId="43">#REF!</definedName>
    <definedName name="a" localSheetId="46">#REF!</definedName>
    <definedName name="a" localSheetId="52">#REF!</definedName>
    <definedName name="a" localSheetId="49">#REF!</definedName>
    <definedName name="a" localSheetId="30">#REF!</definedName>
    <definedName name="a" localSheetId="25">#REF!</definedName>
    <definedName name="a" localSheetId="38">#REF!</definedName>
    <definedName name="a">#REF!</definedName>
    <definedName name="aa" localSheetId="15">#REF!</definedName>
    <definedName name="aa" localSheetId="16">#REF!</definedName>
    <definedName name="aa" localSheetId="9">#REF!</definedName>
    <definedName name="aa" localSheetId="35">#REF!</definedName>
    <definedName name="aa" localSheetId="36">#REF!</definedName>
    <definedName name="aa" localSheetId="40">#REF!</definedName>
    <definedName name="aa" localSheetId="43">#REF!</definedName>
    <definedName name="aa" localSheetId="46">#REF!</definedName>
    <definedName name="aa" localSheetId="52">#REF!</definedName>
    <definedName name="aa" localSheetId="49">#REF!</definedName>
    <definedName name="aa" localSheetId="30">#REF!</definedName>
    <definedName name="aa" localSheetId="25">#REF!</definedName>
    <definedName name="aa" localSheetId="38">#REF!</definedName>
    <definedName name="aa">#REF!</definedName>
    <definedName name="aaaa" localSheetId="15">#REF!</definedName>
    <definedName name="aaaa" localSheetId="16">#REF!</definedName>
    <definedName name="aaaa" localSheetId="9">#REF!</definedName>
    <definedName name="aaaa" localSheetId="35">#REF!</definedName>
    <definedName name="aaaa" localSheetId="36">#REF!</definedName>
    <definedName name="aaaa" localSheetId="40">#REF!</definedName>
    <definedName name="aaaa" localSheetId="43">#REF!</definedName>
    <definedName name="aaaa" localSheetId="46">#REF!</definedName>
    <definedName name="aaaa" localSheetId="52">#REF!</definedName>
    <definedName name="aaaa" localSheetId="49">#REF!</definedName>
    <definedName name="aaaa" localSheetId="30">#REF!</definedName>
    <definedName name="aaaa" localSheetId="38">#REF!</definedName>
    <definedName name="aaaa">#REF!</definedName>
    <definedName name="abcd" localSheetId="15">#REF!</definedName>
    <definedName name="abcd" localSheetId="16">#REF!</definedName>
    <definedName name="abcd" localSheetId="9">#REF!</definedName>
    <definedName name="abcd" localSheetId="35">#REF!</definedName>
    <definedName name="abcd" localSheetId="36">#REF!</definedName>
    <definedName name="abcd" localSheetId="40">#REF!</definedName>
    <definedName name="abcd" localSheetId="43">#REF!</definedName>
    <definedName name="abcd" localSheetId="46">#REF!</definedName>
    <definedName name="abcd" localSheetId="52">#REF!</definedName>
    <definedName name="abcd" localSheetId="49">#REF!</definedName>
    <definedName name="abcd" localSheetId="30">#REF!</definedName>
    <definedName name="abcd" localSheetId="38">#REF!</definedName>
    <definedName name="abcd">#REF!</definedName>
    <definedName name="Discount" localSheetId="30">#REF!</definedName>
    <definedName name="Discount" localSheetId="38">#REF!</definedName>
    <definedName name="Discount">#REF!</definedName>
    <definedName name="Discount1" localSheetId="30">#REF!</definedName>
    <definedName name="Discount1" localSheetId="38">#REF!</definedName>
    <definedName name="Discount1">#REF!</definedName>
    <definedName name="K" localSheetId="15">#REF!</definedName>
    <definedName name="K" localSheetId="16">#REF!</definedName>
    <definedName name="K" localSheetId="9">#REF!</definedName>
    <definedName name="K" localSheetId="3">#REF!</definedName>
    <definedName name="K" localSheetId="35">#REF!</definedName>
    <definedName name="K" localSheetId="36">#REF!</definedName>
    <definedName name="K" localSheetId="40">#REF!</definedName>
    <definedName name="K" localSheetId="43">#REF!</definedName>
    <definedName name="K" localSheetId="46">#REF!</definedName>
    <definedName name="K" localSheetId="52">#REF!</definedName>
    <definedName name="K" localSheetId="49">#REF!</definedName>
    <definedName name="K" localSheetId="30">#REF!</definedName>
    <definedName name="K" localSheetId="38">#REF!</definedName>
    <definedName name="K">#REF!</definedName>
    <definedName name="M" localSheetId="30">#REF!</definedName>
    <definedName name="M" localSheetId="38">#REF!</definedName>
    <definedName name="M">#REF!</definedName>
    <definedName name="_xlnm.Print_Area" localSheetId="27">'5年來主要營運項目分析表'!$A$1:$F$42</definedName>
    <definedName name="_xlnm.Print_Area" localSheetId="26">'平衡表-總'!$A$1:$E$49</definedName>
    <definedName name="_xlnm.Print_Area" localSheetId="29">用人費用彙計表!$A$1:$J$20</definedName>
    <definedName name="_xlnm.Print_Area" localSheetId="31">各項費用彙計表!$A$1:$I$48</definedName>
    <definedName name="_xlnm.Print_Area" localSheetId="42">'收支餘絀預計表-就'!$A$1:$I$54</definedName>
    <definedName name="_xlnm.Print_Area" localSheetId="45">'收支餘絀預計表-農'!$A$1:$I$55</definedName>
    <definedName name="_xlnm.Print_Area" localSheetId="5">收支餘絀預計表說明!$A$1:$C$21</definedName>
    <definedName name="_xlnm.Print_Area" localSheetId="4">'收支餘絀預計表-總'!$A$1:$I$149</definedName>
    <definedName name="_xlnm.Print_Area" localSheetId="51">'收支餘絀預計表-職'!$A$1:$I$38</definedName>
    <definedName name="_xlnm.Print_Area" localSheetId="48">'收支餘絀預計表-職護'!$A$1:$I$64</definedName>
    <definedName name="_xlnm.Print_Area" localSheetId="15">投融資業務成本明細表!$A$1:$D$58</definedName>
    <definedName name="_xlnm.Print_Area" localSheetId="9">'投融資業務收入明細表 '!$A$1:$F$58</definedName>
    <definedName name="_xlnm.Print_Area" localSheetId="19">其他業務成本明細表!$A$1:$D$54</definedName>
    <definedName name="_xlnm.Print_Area" localSheetId="20">其他業務成本說明!$A$1:$B$47</definedName>
    <definedName name="_xlnm.Print_Area" localSheetId="11">其他業務收入明細表!$A$1:$C$30</definedName>
    <definedName name="_xlnm.Print_Area" localSheetId="34">保費收入分析表!$A$1:$H$72</definedName>
    <definedName name="_xlnm.Print_Area" localSheetId="35">'保費收入分析表(附表)'!$A$1:$C$144</definedName>
    <definedName name="_xlnm.Print_Area" localSheetId="17">保險成本明細表!$A$1:$D$68</definedName>
    <definedName name="_xlnm.Print_Area" localSheetId="18">保險成本說明!$A$1:$C$65</definedName>
    <definedName name="_xlnm.Print_Area" localSheetId="10">保險收入明細表!$A$1:$C$55</definedName>
    <definedName name="_xlnm.Print_Area" localSheetId="36">保險給付分析表!$A$1:$F$250</definedName>
    <definedName name="_xlnm.Print_Area" localSheetId="28">員工人數彙計表!$A$1:$E$23</definedName>
    <definedName name="_xlnm.Print_Area" localSheetId="40">'現金流量預計表-勞'!$A$1:$E$39</definedName>
    <definedName name="_xlnm.Print_Area" localSheetId="7">'現金流量預計表-總'!$A$1:$E$43</definedName>
    <definedName name="_xlnm.Print_Area" localSheetId="49">'現金流量預計表-職護'!$A$1:$E$38</definedName>
    <definedName name="_xlnm.Print_Area" localSheetId="25">'貸出款明細表 '!$A$1:$H$21</definedName>
    <definedName name="_xlnm.Print_Area" localSheetId="12">業務外收入明細表!$A$1:$C$50</definedName>
    <definedName name="_xlnm.Print_Area" localSheetId="21">業務外費用明細表!$A$1:$D$27</definedName>
    <definedName name="_xlnm.Print_Area" localSheetId="22">業務外費用說明!$A$1:$C$30</definedName>
    <definedName name="_xlnm.Print_Area" localSheetId="23">資產折舊明細表!$A$1:$L$17</definedName>
    <definedName name="_xlnm.Print_Area" localSheetId="41">'預計平衡表-勞'!$A$1:$E$52</definedName>
    <definedName name="_xlnm.Print_Area" localSheetId="47">'預計平衡表-農'!$A$1:$E$52</definedName>
    <definedName name="_xlnm.Print_Area" localSheetId="1">圖1!$A$1:$D$28</definedName>
    <definedName name="_xlnm.Print_Area" localSheetId="2">圖2!$A$1:$F$24</definedName>
    <definedName name="_xlnm.Print_Area" localSheetId="38">'雜項業務成本分析-勞職保及保護'!$A$1:$E$52</definedName>
    <definedName name="_xlnm.Print_Area" localSheetId="37">'雜項業務成本分析-職災保護'!$A$1:$E$27</definedName>
    <definedName name="Print_Area_MI" localSheetId="30">#REF!</definedName>
    <definedName name="Print_Area_MI" localSheetId="38">#REF!</definedName>
    <definedName name="Print_Area_MI">#REF!</definedName>
    <definedName name="_xlnm.Print_Titles" localSheetId="13">出租資產成本明細表!$1:$6</definedName>
    <definedName name="_xlnm.Print_Titles" localSheetId="14">出租資產成本說明!$1:$6</definedName>
    <definedName name="_xlnm.Print_Titles" localSheetId="26">'平衡表-總'!$1:$8</definedName>
    <definedName name="_xlnm.Print_Titles" localSheetId="31">各項費用彙計表!$1:$7</definedName>
    <definedName name="_xlnm.Print_Titles" localSheetId="32">'各項費用彙計表 (單位)'!$1:$7</definedName>
    <definedName name="_xlnm.Print_Titles" localSheetId="39">'收支餘絀預計表-勞'!$1:$7</definedName>
    <definedName name="_xlnm.Print_Titles" localSheetId="42">'收支餘絀預計表-就'!$1:$7</definedName>
    <definedName name="_xlnm.Print_Titles" localSheetId="45">'收支餘絀預計表-農'!$1:$6</definedName>
    <definedName name="_xlnm.Print_Titles" localSheetId="4">'收支餘絀預計表-總'!$1:$7</definedName>
    <definedName name="_xlnm.Print_Titles" localSheetId="51">'收支餘絀預計表-職'!$1:$7</definedName>
    <definedName name="_xlnm.Print_Titles" localSheetId="48">'收支餘絀預計表-職護'!$1:$7</definedName>
    <definedName name="_xlnm.Print_Titles" localSheetId="15">投融資業務成本明細表!$1:$6</definedName>
    <definedName name="_xlnm.Print_Titles" localSheetId="16">投融資業務成本說明!$1:$6</definedName>
    <definedName name="_xlnm.Print_Titles" localSheetId="9">'投融資業務收入明細表 '!$1:$8</definedName>
    <definedName name="_xlnm.Print_Titles" localSheetId="19">其他業務成本明細表!$1:$6</definedName>
    <definedName name="_xlnm.Print_Titles" localSheetId="20">其他業務成本說明!$1:$6</definedName>
    <definedName name="_xlnm.Print_Titles" localSheetId="34">保費收入分析表!$1:$8</definedName>
    <definedName name="_xlnm.Print_Titles" localSheetId="35">'保費收入分析表(附表)'!$1:$8</definedName>
    <definedName name="_xlnm.Print_Titles" localSheetId="17">保險成本明細表!$1:$6</definedName>
    <definedName name="_xlnm.Print_Titles" localSheetId="18">保險成本說明!$1:$6</definedName>
    <definedName name="_xlnm.Print_Titles" localSheetId="10">保險收入明細表!$1:$8</definedName>
    <definedName name="_xlnm.Print_Titles" localSheetId="36">保險給付分析表!$1:$6</definedName>
    <definedName name="_xlnm.Print_Titles" localSheetId="8">租金及權利金收入明細表!$1:$8</definedName>
    <definedName name="_xlnm.Print_Titles" localSheetId="7">'現金流量預計表-總'!$1:$8</definedName>
    <definedName name="_xlnm.Print_Titles" localSheetId="25">'貸出款明細表 '!$4:$6</definedName>
    <definedName name="_xlnm.Print_Titles" localSheetId="12">業務外收入明細表!$1:$8</definedName>
    <definedName name="_xlnm.Print_Titles" localSheetId="41">'預計平衡表-勞'!$1:$8</definedName>
    <definedName name="_xlnm.Print_Titles" localSheetId="44">'預計平衡表-就'!$1:$8</definedName>
    <definedName name="_xlnm.Print_Titles" localSheetId="47">'預計平衡表-農'!$1:$8</definedName>
    <definedName name="_xlnm.Print_Titles" localSheetId="53">'預計平衡表-職'!$1:$8</definedName>
    <definedName name="_xlnm.Print_Titles" localSheetId="50">'預計平衡表-職護'!$1:$8</definedName>
    <definedName name="_xlnm.Print_Titles" localSheetId="38">'雜項業務成本分析-勞職保及保護'!$1:$6</definedName>
    <definedName name="_xlnm.Print_Titles" localSheetId="37">'雜項業務成本分析-職災保護'!$1:$6</definedName>
    <definedName name="Rate3" localSheetId="52">[3]Rate!$B$3</definedName>
    <definedName name="Rate3" localSheetId="25">[4]Rate!$B$3</definedName>
    <definedName name="Rate3" localSheetId="53">[3]Rate!$B$3</definedName>
    <definedName name="Rate3">[4]Rate!$B$3</definedName>
    <definedName name="Rate4">[5]Rate!$B$3</definedName>
    <definedName name="S" localSheetId="15">#REF!</definedName>
    <definedName name="S" localSheetId="16">#REF!</definedName>
    <definedName name="S" localSheetId="9">#REF!</definedName>
    <definedName name="S" localSheetId="3">#REF!</definedName>
    <definedName name="S" localSheetId="35">#REF!</definedName>
    <definedName name="S" localSheetId="36">#REF!</definedName>
    <definedName name="S" localSheetId="40">#REF!</definedName>
    <definedName name="S" localSheetId="43">#REF!</definedName>
    <definedName name="S" localSheetId="46">#REF!</definedName>
    <definedName name="S" localSheetId="52">#REF!</definedName>
    <definedName name="S" localSheetId="49">#REF!</definedName>
    <definedName name="S" localSheetId="30">#REF!</definedName>
    <definedName name="S" localSheetId="38">#REF!</definedName>
    <definedName name="S">#REF!</definedName>
    <definedName name="SALE_UNIT">#N/A</definedName>
    <definedName name="Sigma" localSheetId="15">#REF!</definedName>
    <definedName name="Sigma" localSheetId="16">#REF!</definedName>
    <definedName name="Sigma" localSheetId="9">#REF!</definedName>
    <definedName name="Sigma" localSheetId="3">#REF!</definedName>
    <definedName name="Sigma" localSheetId="35">#REF!</definedName>
    <definedName name="Sigma" localSheetId="36">#REF!</definedName>
    <definedName name="Sigma" localSheetId="40">#REF!</definedName>
    <definedName name="Sigma" localSheetId="43">#REF!</definedName>
    <definedName name="Sigma" localSheetId="46">#REF!</definedName>
    <definedName name="Sigma" localSheetId="52">#REF!</definedName>
    <definedName name="Sigma" localSheetId="49">#REF!</definedName>
    <definedName name="Sigma" localSheetId="30">#REF!</definedName>
    <definedName name="Sigma" localSheetId="38">#REF!</definedName>
    <definedName name="Sigma">#REF!</definedName>
    <definedName name="T" localSheetId="15">#REF!</definedName>
    <definedName name="T" localSheetId="16">#REF!</definedName>
    <definedName name="T" localSheetId="9">#REF!</definedName>
    <definedName name="T" localSheetId="3">#REF!</definedName>
    <definedName name="T" localSheetId="35">#REF!</definedName>
    <definedName name="T" localSheetId="36">#REF!</definedName>
    <definedName name="T" localSheetId="40">#REF!</definedName>
    <definedName name="T" localSheetId="43">#REF!</definedName>
    <definedName name="T" localSheetId="46">#REF!</definedName>
    <definedName name="T" localSheetId="52">#REF!</definedName>
    <definedName name="T" localSheetId="49">#REF!</definedName>
    <definedName name="T" localSheetId="30">#REF!</definedName>
    <definedName name="T" localSheetId="38">#REF!</definedName>
    <definedName name="T">#REF!</definedName>
    <definedName name="否" localSheetId="30">#REF!</definedName>
    <definedName name="否" localSheetId="38">#REF!</definedName>
    <definedName name="否">#REF!</definedName>
    <definedName name="昌" localSheetId="15">#REF!</definedName>
    <definedName name="昌" localSheetId="16">#REF!</definedName>
    <definedName name="昌" localSheetId="9">#REF!</definedName>
    <definedName name="昌" localSheetId="35">#REF!</definedName>
    <definedName name="昌" localSheetId="36">#REF!</definedName>
    <definedName name="昌" localSheetId="40">#REF!</definedName>
    <definedName name="昌" localSheetId="43">#REF!</definedName>
    <definedName name="昌" localSheetId="46">#REF!</definedName>
    <definedName name="昌" localSheetId="52">#REF!</definedName>
    <definedName name="昌" localSheetId="49">#REF!</definedName>
    <definedName name="昌" localSheetId="30">#REF!</definedName>
    <definedName name="昌" localSheetId="38">#REF!</definedName>
    <definedName name="昌">#REF!</definedName>
    <definedName name="非計劃資本支付" localSheetId="52">'[6](91)主機增租'!$C$15</definedName>
    <definedName name="非計劃資本支付" localSheetId="25">'[7](91)主機增租'!$C$15</definedName>
    <definedName name="非計劃資本支付" localSheetId="53">'[6](91)主機增租'!$C$15</definedName>
    <definedName name="非計劃資本支付">'[7](91)主機增租'!$C$15</definedName>
    <definedName name="非計劃資本支出" localSheetId="52">'[8](91)主機增租(NEC報價)'!$C$15</definedName>
    <definedName name="非計劃資本支出" localSheetId="25">'[9](91)主機增租(NEC報價)'!$C$15</definedName>
    <definedName name="非計劃資本支出" localSheetId="53">'[8](91)主機增租(NEC報價)'!$C$15</definedName>
    <definedName name="非計劃資本支出">'[9](91)主機增租(NEC報價)'!$C$15</definedName>
    <definedName name="契約">[10]Rate!$B$3</definedName>
    <definedName name="流" localSheetId="52">#REF!</definedName>
    <definedName name="流" localSheetId="49">#REF!</definedName>
    <definedName name="流" localSheetId="30">#REF!</definedName>
    <definedName name="流" localSheetId="38">#REF!</definedName>
    <definedName name="流">#REF!</definedName>
    <definedName name="原住民" localSheetId="15">#REF!</definedName>
    <definedName name="原住民" localSheetId="16">#REF!</definedName>
    <definedName name="原住民" localSheetId="9">#REF!</definedName>
    <definedName name="原住民" localSheetId="3">#REF!</definedName>
    <definedName name="原住民" localSheetId="35">#REF!</definedName>
    <definedName name="原住民" localSheetId="36">#REF!</definedName>
    <definedName name="原住民" localSheetId="40">#REF!</definedName>
    <definedName name="原住民" localSheetId="43">#REF!</definedName>
    <definedName name="原住民" localSheetId="46">#REF!</definedName>
    <definedName name="原住民" localSheetId="52">#REF!</definedName>
    <definedName name="原住民" localSheetId="49">#REF!</definedName>
    <definedName name="原住民" localSheetId="30">#REF!</definedName>
    <definedName name="原住民" localSheetId="38">#REF!</definedName>
    <definedName name="原住民">#REF!</definedName>
    <definedName name="原住民1" localSheetId="15">#REF!</definedName>
    <definedName name="原住民1" localSheetId="16">#REF!</definedName>
    <definedName name="原住民1" localSheetId="9">#REF!</definedName>
    <definedName name="原住民1" localSheetId="3">#REF!</definedName>
    <definedName name="原住民1" localSheetId="35">#REF!</definedName>
    <definedName name="原住民1" localSheetId="36">#REF!</definedName>
    <definedName name="原住民1" localSheetId="40">#REF!</definedName>
    <definedName name="原住民1" localSheetId="43">#REF!</definedName>
    <definedName name="原住民1" localSheetId="46">#REF!</definedName>
    <definedName name="原住民1" localSheetId="52">#REF!</definedName>
    <definedName name="原住民1" localSheetId="49">#REF!</definedName>
    <definedName name="原住民1" localSheetId="30">#REF!</definedName>
    <definedName name="原住民1" localSheetId="38">#REF!</definedName>
    <definedName name="原住民1">#REF!</definedName>
    <definedName name="就" localSheetId="46">#REF!</definedName>
    <definedName name="就" localSheetId="52">#REF!</definedName>
    <definedName name="就" localSheetId="49">#REF!</definedName>
    <definedName name="就" localSheetId="30">#REF!</definedName>
    <definedName name="就" localSheetId="38">#REF!</definedName>
    <definedName name="就">#REF!</definedName>
    <definedName name="農" localSheetId="52">#REF!</definedName>
    <definedName name="農" localSheetId="49">#REF!</definedName>
    <definedName name="農" localSheetId="30">#REF!</definedName>
    <definedName name="農" localSheetId="38">#REF!</definedName>
    <definedName name="農">#REF!</definedName>
    <definedName name="預算一欄表">[10]Rate!$B$3</definedName>
    <definedName name="圖" localSheetId="15">#REF!</definedName>
    <definedName name="圖" localSheetId="16">#REF!</definedName>
    <definedName name="圖" localSheetId="9">#REF!</definedName>
    <definedName name="圖" localSheetId="35">#REF!</definedName>
    <definedName name="圖" localSheetId="36">#REF!</definedName>
    <definedName name="圖" localSheetId="40">#REF!</definedName>
    <definedName name="圖" localSheetId="43">#REF!</definedName>
    <definedName name="圖" localSheetId="46">#REF!</definedName>
    <definedName name="圖" localSheetId="52">#REF!</definedName>
    <definedName name="圖" localSheetId="49">#REF!</definedName>
    <definedName name="圖" localSheetId="30">#REF!</definedName>
    <definedName name="圖" localSheetId="38">#REF!</definedName>
    <definedName name="圖">#REF!</definedName>
    <definedName name="職" localSheetId="30">#REF!</definedName>
    <definedName name="職" localSheetId="38">#REF!</definedName>
    <definedName name="職">#REF!</definedName>
    <definedName name="職災" localSheetId="30">#REF!</definedName>
    <definedName name="職災" localSheetId="38">#REF!</definedName>
    <definedName name="職災">#REF!</definedName>
  </definedNames>
  <calcPr calcId="179021"/>
  <fileRecoveryPr autoRecover="0"/>
</workbook>
</file>

<file path=xl/calcChain.xml><?xml version="1.0" encoding="utf-8"?>
<calcChain xmlns="http://schemas.openxmlformats.org/spreadsheetml/2006/main">
  <c r="C27" i="113" l="1"/>
  <c r="C11" i="113"/>
  <c r="B21" i="92"/>
  <c r="B14" i="92"/>
  <c r="K42" i="106"/>
  <c r="L42" i="106"/>
  <c r="B42" i="81"/>
  <c r="G42" i="81"/>
  <c r="C10" i="29"/>
  <c r="C11" i="29"/>
  <c r="I14" i="68"/>
  <c r="N9" i="68"/>
  <c r="M9" i="68"/>
  <c r="I9" i="68"/>
  <c r="E19" i="68"/>
  <c r="L18" i="53"/>
  <c r="L16" i="53"/>
  <c r="E20" i="53"/>
  <c r="E16" i="53"/>
  <c r="D33" i="52"/>
  <c r="D32" i="52"/>
  <c r="D31" i="52"/>
  <c r="D30" i="52"/>
  <c r="D29" i="52"/>
  <c r="C34" i="52"/>
  <c r="B32" i="52"/>
  <c r="B31" i="52"/>
  <c r="C31" i="52"/>
  <c r="B30" i="52"/>
  <c r="C30" i="52"/>
  <c r="C29" i="52"/>
  <c r="B29" i="52"/>
  <c r="E8" i="41" l="1"/>
  <c r="E7" i="41" s="1"/>
  <c r="D85" i="80"/>
  <c r="D77" i="80"/>
  <c r="H84" i="80"/>
  <c r="D76" i="80"/>
  <c r="D60" i="80" s="1"/>
  <c r="I12" i="80"/>
  <c r="H12" i="80"/>
  <c r="E9" i="80"/>
  <c r="D8" i="80"/>
  <c r="E13" i="80" s="1"/>
  <c r="D13" i="80"/>
  <c r="D42" i="80"/>
  <c r="D34" i="80" s="1"/>
  <c r="D49" i="80"/>
  <c r="D84" i="80"/>
  <c r="D43" i="80"/>
  <c r="H13" i="80"/>
  <c r="H14" i="80"/>
  <c r="D12" i="80"/>
  <c r="D14" i="80"/>
  <c r="B30" i="114" l="1"/>
  <c r="B28" i="114"/>
  <c r="B27" i="114"/>
  <c r="B30" i="101" l="1"/>
  <c r="H170" i="75" l="1"/>
  <c r="E37" i="93" l="1"/>
  <c r="E36" i="93"/>
  <c r="C35" i="93"/>
  <c r="H30" i="91"/>
  <c r="D26" i="91"/>
  <c r="C36" i="29"/>
  <c r="D51" i="80"/>
  <c r="H43" i="80"/>
  <c r="I43" i="80" s="1"/>
  <c r="I23" i="68" l="1"/>
  <c r="I20" i="68"/>
  <c r="I17" i="68"/>
  <c r="I15" i="68"/>
  <c r="B35" i="101" l="1"/>
  <c r="B14" i="101"/>
  <c r="B36" i="114" l="1"/>
  <c r="B14" i="114"/>
  <c r="B11" i="114" l="1"/>
  <c r="B13" i="114" s="1"/>
  <c r="C10" i="113"/>
  <c r="D10" i="113"/>
  <c r="E11" i="113"/>
  <c r="E12" i="113"/>
  <c r="E13" i="113"/>
  <c r="E14" i="113"/>
  <c r="C15" i="113"/>
  <c r="D15" i="113"/>
  <c r="E16" i="113"/>
  <c r="E15" i="113" s="1"/>
  <c r="C17" i="113"/>
  <c r="D17" i="113"/>
  <c r="E18" i="113"/>
  <c r="E17" i="113" s="1"/>
  <c r="C19" i="113"/>
  <c r="D19" i="113"/>
  <c r="E20" i="113"/>
  <c r="E19" i="113" s="1"/>
  <c r="C24" i="113"/>
  <c r="D24" i="113"/>
  <c r="D23" i="113" s="1"/>
  <c r="E25" i="113"/>
  <c r="E24" i="113" s="1"/>
  <c r="C26" i="113"/>
  <c r="D26" i="113"/>
  <c r="E27" i="113"/>
  <c r="E26" i="113" s="1"/>
  <c r="E28" i="113"/>
  <c r="A30" i="113"/>
  <c r="A29" i="113" s="1"/>
  <c r="C30" i="113"/>
  <c r="C29" i="113" s="1"/>
  <c r="D30" i="113"/>
  <c r="D29" i="113" s="1"/>
  <c r="E30" i="113"/>
  <c r="E29" i="113" s="1"/>
  <c r="C23" i="113" l="1"/>
  <c r="C32" i="113" s="1"/>
  <c r="E10" i="113"/>
  <c r="D9" i="113"/>
  <c r="D21" i="113" s="1"/>
  <c r="C9" i="113"/>
  <c r="C21" i="113" s="1"/>
  <c r="E9" i="113"/>
  <c r="E21" i="113" s="1"/>
  <c r="B20" i="114"/>
  <c r="E23" i="113"/>
  <c r="E32" i="113" s="1"/>
  <c r="D32" i="113"/>
  <c r="B22" i="114" l="1"/>
  <c r="B37" i="114" s="1"/>
  <c r="B39" i="114" s="1"/>
  <c r="B36" i="92"/>
  <c r="D40" i="100" l="1"/>
  <c r="D41" i="100"/>
  <c r="D39" i="100" l="1"/>
  <c r="D8" i="106" l="1"/>
  <c r="C8" i="106" s="1"/>
  <c r="E8" i="106"/>
  <c r="F8" i="106"/>
  <c r="G8" i="106"/>
  <c r="I8" i="106"/>
  <c r="L8" i="106"/>
  <c r="N8" i="106"/>
  <c r="C9" i="106"/>
  <c r="H9" i="106"/>
  <c r="K9" i="106"/>
  <c r="C10" i="106"/>
  <c r="B10" i="106" s="1"/>
  <c r="H10" i="106"/>
  <c r="K10" i="106"/>
  <c r="C11" i="106"/>
  <c r="H11" i="106"/>
  <c r="K11" i="106"/>
  <c r="C12" i="106"/>
  <c r="B12" i="106" s="1"/>
  <c r="H12" i="106"/>
  <c r="K12" i="106"/>
  <c r="C13" i="106"/>
  <c r="H13" i="106"/>
  <c r="K13" i="106"/>
  <c r="B13" i="106" s="1"/>
  <c r="C14" i="106"/>
  <c r="H14" i="106"/>
  <c r="K14" i="106"/>
  <c r="C15" i="106"/>
  <c r="J15" i="106"/>
  <c r="H15" i="106" s="1"/>
  <c r="B15" i="106" s="1"/>
  <c r="K15" i="106"/>
  <c r="C16" i="106"/>
  <c r="H16" i="106"/>
  <c r="M16" i="106"/>
  <c r="K16" i="106" s="1"/>
  <c r="C17" i="106"/>
  <c r="B17" i="106" s="1"/>
  <c r="H17" i="106"/>
  <c r="K17" i="106"/>
  <c r="C18" i="106"/>
  <c r="H18" i="106"/>
  <c r="M18" i="106"/>
  <c r="D19" i="106"/>
  <c r="E19" i="106"/>
  <c r="F19" i="106"/>
  <c r="G19" i="106"/>
  <c r="I19" i="106"/>
  <c r="J19" i="106"/>
  <c r="L19" i="106"/>
  <c r="M19" i="106"/>
  <c r="K19" i="106" s="1"/>
  <c r="N19" i="106"/>
  <c r="C20" i="106"/>
  <c r="H20" i="106"/>
  <c r="K20" i="106"/>
  <c r="C21" i="106"/>
  <c r="B21" i="106" s="1"/>
  <c r="H21" i="106"/>
  <c r="K21" i="106"/>
  <c r="D22" i="106"/>
  <c r="E22" i="106"/>
  <c r="F22" i="106"/>
  <c r="G22" i="106"/>
  <c r="I22" i="106"/>
  <c r="J22" i="106"/>
  <c r="L22" i="106"/>
  <c r="M22" i="106"/>
  <c r="N22" i="106"/>
  <c r="C23" i="106"/>
  <c r="H23" i="106"/>
  <c r="K23" i="106"/>
  <c r="C24" i="106"/>
  <c r="H24" i="106"/>
  <c r="K24" i="106"/>
  <c r="C25" i="106"/>
  <c r="H25" i="106"/>
  <c r="K25" i="106"/>
  <c r="C26" i="106"/>
  <c r="H26" i="106"/>
  <c r="K26" i="106"/>
  <c r="C27" i="106"/>
  <c r="H27" i="106"/>
  <c r="K27" i="106"/>
  <c r="C28" i="106"/>
  <c r="H28" i="106"/>
  <c r="K28" i="106"/>
  <c r="D29" i="106"/>
  <c r="E29" i="106"/>
  <c r="F29" i="106"/>
  <c r="G29" i="106"/>
  <c r="I29" i="106"/>
  <c r="J29" i="106"/>
  <c r="L29" i="106"/>
  <c r="M29" i="106"/>
  <c r="K29" i="106" s="1"/>
  <c r="N29" i="106"/>
  <c r="C30" i="106"/>
  <c r="H30" i="106"/>
  <c r="K30" i="106"/>
  <c r="C31" i="106"/>
  <c r="H31" i="106"/>
  <c r="K31" i="106"/>
  <c r="D32" i="106"/>
  <c r="E32" i="106"/>
  <c r="F32" i="106"/>
  <c r="G32" i="106"/>
  <c r="I32" i="106"/>
  <c r="J32" i="106"/>
  <c r="L32" i="106"/>
  <c r="M32" i="106"/>
  <c r="N32" i="106"/>
  <c r="C33" i="106"/>
  <c r="H33" i="106"/>
  <c r="K33" i="106"/>
  <c r="C34" i="106"/>
  <c r="H34" i="106"/>
  <c r="K34" i="106"/>
  <c r="C35" i="106"/>
  <c r="H35" i="106"/>
  <c r="K35" i="106"/>
  <c r="E36" i="106"/>
  <c r="F36" i="106"/>
  <c r="G36" i="106"/>
  <c r="I36" i="106"/>
  <c r="J36" i="106"/>
  <c r="L36" i="106"/>
  <c r="N36" i="106"/>
  <c r="C38" i="106"/>
  <c r="H38" i="106"/>
  <c r="M38" i="106"/>
  <c r="M36" i="106" s="1"/>
  <c r="C39" i="106"/>
  <c r="H39" i="106"/>
  <c r="K39" i="106"/>
  <c r="D40" i="106"/>
  <c r="D36" i="106" s="1"/>
  <c r="C36" i="106" s="1"/>
  <c r="F40" i="106"/>
  <c r="G40" i="106"/>
  <c r="I40" i="106"/>
  <c r="H40" i="106" s="1"/>
  <c r="J40" i="106"/>
  <c r="M40" i="106"/>
  <c r="N40" i="106"/>
  <c r="C41" i="106"/>
  <c r="H41" i="106"/>
  <c r="K41" i="106"/>
  <c r="H42" i="106"/>
  <c r="E43" i="106"/>
  <c r="C43" i="106" s="1"/>
  <c r="B43" i="106" s="1"/>
  <c r="H43" i="106"/>
  <c r="K43" i="106"/>
  <c r="D44" i="106"/>
  <c r="E44" i="106"/>
  <c r="C44" i="106" s="1"/>
  <c r="F44" i="106"/>
  <c r="G44" i="106"/>
  <c r="I44" i="106"/>
  <c r="J44" i="106"/>
  <c r="L44" i="106"/>
  <c r="M44" i="106"/>
  <c r="N44" i="106"/>
  <c r="C45" i="106"/>
  <c r="H45" i="106"/>
  <c r="K45" i="106"/>
  <c r="G46" i="106"/>
  <c r="B30" i="106" l="1"/>
  <c r="B31" i="106"/>
  <c r="C42" i="106"/>
  <c r="B42" i="106" s="1"/>
  <c r="B40" i="106" s="1"/>
  <c r="B14" i="106"/>
  <c r="B33" i="106"/>
  <c r="B28" i="106"/>
  <c r="C22" i="106"/>
  <c r="C19" i="106"/>
  <c r="B45" i="106"/>
  <c r="B44" i="106" s="1"/>
  <c r="H36" i="106"/>
  <c r="H32" i="106"/>
  <c r="C29" i="106"/>
  <c r="B24" i="106"/>
  <c r="B22" i="106" s="1"/>
  <c r="B35" i="106"/>
  <c r="B32" i="106" s="1"/>
  <c r="D46" i="106"/>
  <c r="B26" i="106"/>
  <c r="F46" i="106"/>
  <c r="B23" i="106"/>
  <c r="J8" i="106"/>
  <c r="J46" i="106" s="1"/>
  <c r="H44" i="106"/>
  <c r="L40" i="106"/>
  <c r="K40" i="106" s="1"/>
  <c r="B34" i="106"/>
  <c r="I46" i="106"/>
  <c r="H46" i="106" s="1"/>
  <c r="B25" i="106"/>
  <c r="N46" i="106"/>
  <c r="B39" i="106"/>
  <c r="K36" i="106"/>
  <c r="K22" i="106"/>
  <c r="B9" i="106"/>
  <c r="E40" i="106"/>
  <c r="C40" i="106" s="1"/>
  <c r="B27" i="106"/>
  <c r="H22" i="106"/>
  <c r="M8" i="106"/>
  <c r="M46" i="106" s="1"/>
  <c r="B11" i="106"/>
  <c r="B29" i="106"/>
  <c r="B16" i="106"/>
  <c r="K44" i="106"/>
  <c r="B41" i="106"/>
  <c r="B20" i="106"/>
  <c r="B19" i="106" s="1"/>
  <c r="H19" i="106"/>
  <c r="B18" i="106"/>
  <c r="K8" i="106"/>
  <c r="K32" i="106"/>
  <c r="H29" i="106"/>
  <c r="K38" i="106"/>
  <c r="B38" i="106" s="1"/>
  <c r="C32" i="106"/>
  <c r="K18" i="106"/>
  <c r="B8" i="106" l="1"/>
  <c r="E46" i="106"/>
  <c r="C46" i="106" s="1"/>
  <c r="B36" i="106"/>
  <c r="B46" i="106"/>
  <c r="H8" i="106"/>
  <c r="L46" i="106"/>
  <c r="K46" i="106" s="1"/>
  <c r="F24" i="7" l="1"/>
  <c r="E7" i="84"/>
  <c r="G7" i="7"/>
  <c r="G7" i="6" l="1"/>
  <c r="D24" i="102" l="1"/>
  <c r="K27" i="103"/>
  <c r="K26" i="103"/>
  <c r="D26" i="103"/>
  <c r="D12" i="103"/>
  <c r="K13" i="103"/>
  <c r="H13" i="103"/>
  <c r="D9" i="103"/>
  <c r="K10" i="103"/>
  <c r="H10" i="103"/>
  <c r="K33" i="103"/>
  <c r="K32" i="103"/>
  <c r="K31" i="103"/>
  <c r="K30" i="103"/>
  <c r="K29" i="103"/>
  <c r="D28" i="103"/>
  <c r="K28" i="103"/>
  <c r="K25" i="103"/>
  <c r="K24" i="103"/>
  <c r="K23" i="103"/>
  <c r="K22" i="103"/>
  <c r="K21" i="103"/>
  <c r="K20" i="103"/>
  <c r="K19" i="103"/>
  <c r="K18" i="103"/>
  <c r="H18" i="103"/>
  <c r="K17" i="103"/>
  <c r="F16" i="103"/>
  <c r="D16" i="103"/>
  <c r="K16" i="103"/>
  <c r="K15" i="103"/>
  <c r="K14" i="103"/>
  <c r="F12" i="103"/>
  <c r="K12" i="103"/>
  <c r="K11" i="103"/>
  <c r="F9" i="103"/>
  <c r="K9" i="103"/>
  <c r="K8" i="103"/>
  <c r="C10" i="102"/>
  <c r="D10" i="102"/>
  <c r="E11" i="102"/>
  <c r="E12" i="102"/>
  <c r="E13" i="102"/>
  <c r="E14" i="102"/>
  <c r="C15" i="102"/>
  <c r="D15" i="102"/>
  <c r="E16" i="102"/>
  <c r="E15" i="102" s="1"/>
  <c r="C17" i="102"/>
  <c r="D17" i="102"/>
  <c r="E18" i="102"/>
  <c r="E17" i="102" s="1"/>
  <c r="C22" i="102"/>
  <c r="D22" i="102"/>
  <c r="E23" i="102"/>
  <c r="E22" i="102" s="1"/>
  <c r="C24" i="102"/>
  <c r="E25" i="102"/>
  <c r="E24" i="102" s="1"/>
  <c r="E26" i="102"/>
  <c r="A28" i="102"/>
  <c r="A27" i="102" s="1"/>
  <c r="C28" i="102"/>
  <c r="C27" i="102" s="1"/>
  <c r="D28" i="102"/>
  <c r="D27" i="102" s="1"/>
  <c r="E28" i="102"/>
  <c r="E27" i="102" s="1"/>
  <c r="B11" i="101"/>
  <c r="B13" i="101" s="1"/>
  <c r="B20" i="101" s="1"/>
  <c r="K8" i="100"/>
  <c r="B9" i="100"/>
  <c r="K9" i="100"/>
  <c r="B10" i="100"/>
  <c r="D10" i="100"/>
  <c r="D9" i="100" s="1"/>
  <c r="F10" i="100"/>
  <c r="K10" i="100"/>
  <c r="B11" i="100"/>
  <c r="H11" i="100"/>
  <c r="I11" i="100" s="1"/>
  <c r="K11" i="100"/>
  <c r="B12" i="100"/>
  <c r="H12" i="100"/>
  <c r="I12" i="100" s="1"/>
  <c r="K12" i="100"/>
  <c r="B13" i="100"/>
  <c r="K13" i="100"/>
  <c r="B14" i="100"/>
  <c r="D14" i="100"/>
  <c r="F14" i="100"/>
  <c r="F13" i="100" s="1"/>
  <c r="K14" i="100"/>
  <c r="B15" i="100"/>
  <c r="H15" i="100"/>
  <c r="I15" i="100" s="1"/>
  <c r="K15" i="100"/>
  <c r="B16" i="100"/>
  <c r="H16" i="100"/>
  <c r="I16" i="100" s="1"/>
  <c r="K16" i="100"/>
  <c r="B17" i="100"/>
  <c r="K17" i="100"/>
  <c r="B18" i="100"/>
  <c r="D18" i="100"/>
  <c r="F18" i="100"/>
  <c r="K18" i="100"/>
  <c r="B19" i="100"/>
  <c r="H19" i="100"/>
  <c r="I19" i="100" s="1"/>
  <c r="K19" i="100"/>
  <c r="B20" i="100"/>
  <c r="D20" i="100"/>
  <c r="F20" i="100"/>
  <c r="K20" i="100"/>
  <c r="B21" i="100"/>
  <c r="H21" i="100"/>
  <c r="K21" i="100"/>
  <c r="B22" i="100"/>
  <c r="H22" i="100"/>
  <c r="I22" i="100" s="1"/>
  <c r="K22" i="100"/>
  <c r="B23" i="100"/>
  <c r="K23" i="100"/>
  <c r="B24" i="100"/>
  <c r="K24" i="100"/>
  <c r="B25" i="100"/>
  <c r="D25" i="100"/>
  <c r="D24" i="100" s="1"/>
  <c r="F25" i="100"/>
  <c r="F24" i="100" s="1"/>
  <c r="K25" i="100"/>
  <c r="B26" i="100"/>
  <c r="H26" i="100"/>
  <c r="I26" i="100" s="1"/>
  <c r="K26" i="100"/>
  <c r="B27" i="100"/>
  <c r="H27" i="100"/>
  <c r="K27" i="100"/>
  <c r="B28" i="100"/>
  <c r="K28" i="100"/>
  <c r="B29" i="100"/>
  <c r="D29" i="100"/>
  <c r="F29" i="100"/>
  <c r="K29" i="100"/>
  <c r="B30" i="100"/>
  <c r="H30" i="100"/>
  <c r="I30" i="100" s="1"/>
  <c r="K30" i="100"/>
  <c r="B31" i="100"/>
  <c r="D31" i="100"/>
  <c r="F31" i="100"/>
  <c r="K31" i="100"/>
  <c r="B32" i="100"/>
  <c r="H32" i="100"/>
  <c r="K32" i="100"/>
  <c r="B33" i="100"/>
  <c r="D33" i="100"/>
  <c r="H33" i="100" s="1"/>
  <c r="F33" i="100"/>
  <c r="K33" i="100"/>
  <c r="B34" i="100"/>
  <c r="H34" i="100"/>
  <c r="K34" i="100"/>
  <c r="B35" i="100"/>
  <c r="H35" i="100"/>
  <c r="K35" i="100"/>
  <c r="B36" i="100"/>
  <c r="K36" i="100"/>
  <c r="B37" i="100"/>
  <c r="D37" i="100"/>
  <c r="D36" i="100" s="1"/>
  <c r="F37" i="100"/>
  <c r="F36" i="100" s="1"/>
  <c r="K37" i="100"/>
  <c r="B38" i="100"/>
  <c r="H38" i="100"/>
  <c r="I38" i="100" s="1"/>
  <c r="K38" i="100"/>
  <c r="B39" i="100"/>
  <c r="K39" i="100"/>
  <c r="B40" i="100"/>
  <c r="F40" i="100"/>
  <c r="H40" i="100" s="1"/>
  <c r="K40" i="100"/>
  <c r="B41" i="100"/>
  <c r="F41" i="100"/>
  <c r="K41" i="100"/>
  <c r="B42" i="100"/>
  <c r="K42" i="100"/>
  <c r="B43" i="100"/>
  <c r="K43" i="100"/>
  <c r="B44" i="100"/>
  <c r="D44" i="100"/>
  <c r="F44" i="100"/>
  <c r="K44" i="100"/>
  <c r="B45" i="100"/>
  <c r="H45" i="100"/>
  <c r="K45" i="100"/>
  <c r="B46" i="100"/>
  <c r="H46" i="100"/>
  <c r="I46" i="100"/>
  <c r="K46" i="100"/>
  <c r="B47" i="100"/>
  <c r="D47" i="100"/>
  <c r="H47" i="100" s="1"/>
  <c r="F47" i="100"/>
  <c r="K47" i="100"/>
  <c r="B48" i="100"/>
  <c r="H48" i="100"/>
  <c r="K48" i="100"/>
  <c r="B49" i="100"/>
  <c r="D49" i="100"/>
  <c r="H49" i="100" s="1"/>
  <c r="F49" i="100"/>
  <c r="K49" i="100"/>
  <c r="B50" i="100"/>
  <c r="H50" i="100"/>
  <c r="K50" i="100"/>
  <c r="B51" i="100"/>
  <c r="H51" i="100"/>
  <c r="K51" i="100"/>
  <c r="B52" i="100"/>
  <c r="K52" i="100"/>
  <c r="B53" i="100"/>
  <c r="K53" i="100"/>
  <c r="B54" i="100"/>
  <c r="D54" i="100"/>
  <c r="D53" i="100" s="1"/>
  <c r="F54" i="100"/>
  <c r="F53" i="100" s="1"/>
  <c r="I54" i="100"/>
  <c r="I53" i="100" s="1"/>
  <c r="I52" i="100" s="1"/>
  <c r="K54" i="100"/>
  <c r="B55" i="100"/>
  <c r="H55" i="100"/>
  <c r="K55" i="100"/>
  <c r="B56" i="100"/>
  <c r="K56" i="100"/>
  <c r="B57" i="100"/>
  <c r="D57" i="100"/>
  <c r="F57" i="100"/>
  <c r="H57" i="100"/>
  <c r="K57" i="100"/>
  <c r="B58" i="100"/>
  <c r="D58" i="100"/>
  <c r="D56" i="100" s="1"/>
  <c r="F58" i="100"/>
  <c r="F56" i="100" s="1"/>
  <c r="K58" i="100"/>
  <c r="B59" i="100"/>
  <c r="K59" i="100"/>
  <c r="C10" i="99"/>
  <c r="D10" i="99"/>
  <c r="D9" i="99" s="1"/>
  <c r="D30" i="99" s="1"/>
  <c r="E11" i="99"/>
  <c r="E10" i="99" s="1"/>
  <c r="E9" i="99" s="1"/>
  <c r="E30" i="99" s="1"/>
  <c r="E12" i="99"/>
  <c r="C13" i="99"/>
  <c r="D13" i="99"/>
  <c r="E14" i="99"/>
  <c r="E13" i="99" s="1"/>
  <c r="C33" i="99"/>
  <c r="D33" i="99"/>
  <c r="E34" i="99"/>
  <c r="E35" i="99"/>
  <c r="E36" i="99"/>
  <c r="C37" i="99"/>
  <c r="D37" i="99"/>
  <c r="E38" i="99"/>
  <c r="E37" i="99" s="1"/>
  <c r="A40" i="99"/>
  <c r="A39" i="99" s="1"/>
  <c r="C40" i="99"/>
  <c r="C39" i="99" s="1"/>
  <c r="D40" i="99"/>
  <c r="D39" i="99" s="1"/>
  <c r="E40" i="99"/>
  <c r="E39" i="99" s="1"/>
  <c r="B11" i="98"/>
  <c r="B13" i="98"/>
  <c r="B14" i="98"/>
  <c r="B29" i="98"/>
  <c r="B34" i="98"/>
  <c r="K8" i="97"/>
  <c r="B9" i="97"/>
  <c r="K9" i="97"/>
  <c r="B10" i="97"/>
  <c r="D10" i="97"/>
  <c r="D9" i="97" s="1"/>
  <c r="F10" i="97"/>
  <c r="K10" i="97"/>
  <c r="B11" i="97"/>
  <c r="H11" i="97"/>
  <c r="I11" i="97" s="1"/>
  <c r="K11" i="97"/>
  <c r="B12" i="97"/>
  <c r="H12" i="97"/>
  <c r="I12" i="97" s="1"/>
  <c r="K12" i="97"/>
  <c r="B13" i="97"/>
  <c r="K13" i="97"/>
  <c r="B14" i="97"/>
  <c r="D14" i="97"/>
  <c r="F14" i="97"/>
  <c r="F13" i="97" s="1"/>
  <c r="K14" i="97"/>
  <c r="B15" i="97"/>
  <c r="H15" i="97"/>
  <c r="I15" i="97" s="1"/>
  <c r="K15" i="97"/>
  <c r="B16" i="97"/>
  <c r="H16" i="97"/>
  <c r="I16" i="97" s="1"/>
  <c r="K16" i="97"/>
  <c r="B17" i="97"/>
  <c r="D17" i="97"/>
  <c r="H17" i="97" s="1"/>
  <c r="B18" i="97"/>
  <c r="H18" i="97"/>
  <c r="B19" i="97"/>
  <c r="K19" i="97"/>
  <c r="B20" i="97"/>
  <c r="D20" i="97"/>
  <c r="D19" i="97" s="1"/>
  <c r="F20" i="97"/>
  <c r="K20" i="97"/>
  <c r="B21" i="97"/>
  <c r="H21" i="97"/>
  <c r="I21" i="97" s="1"/>
  <c r="K21" i="97"/>
  <c r="B22" i="97"/>
  <c r="H22" i="97"/>
  <c r="I22" i="97" s="1"/>
  <c r="K22" i="97"/>
  <c r="B23" i="97"/>
  <c r="K23" i="97"/>
  <c r="B24" i="97"/>
  <c r="K24" i="97"/>
  <c r="B25" i="97"/>
  <c r="D25" i="97"/>
  <c r="H25" i="97" s="1"/>
  <c r="I25" i="97" s="1"/>
  <c r="F25" i="97"/>
  <c r="K25" i="97"/>
  <c r="B26" i="97"/>
  <c r="H26" i="97"/>
  <c r="I26" i="97" s="1"/>
  <c r="K26" i="97"/>
  <c r="B27" i="97"/>
  <c r="H27" i="97"/>
  <c r="I27" i="97" s="1"/>
  <c r="K27" i="97"/>
  <c r="B28" i="97"/>
  <c r="H28" i="97"/>
  <c r="B29" i="97"/>
  <c r="H29" i="97"/>
  <c r="B30" i="97"/>
  <c r="D30" i="97"/>
  <c r="F30" i="97"/>
  <c r="F24" i="97" s="1"/>
  <c r="K30" i="97"/>
  <c r="B31" i="97"/>
  <c r="H31" i="97"/>
  <c r="I31" i="97"/>
  <c r="K31" i="97"/>
  <c r="B32" i="97"/>
  <c r="K32" i="97"/>
  <c r="B33" i="97"/>
  <c r="D33" i="97"/>
  <c r="D32" i="97" s="1"/>
  <c r="F33" i="97"/>
  <c r="F32" i="97" s="1"/>
  <c r="K33" i="97"/>
  <c r="B34" i="97"/>
  <c r="H34" i="97"/>
  <c r="I34" i="97" s="1"/>
  <c r="K34" i="97"/>
  <c r="B35" i="97"/>
  <c r="K35" i="97"/>
  <c r="B36" i="97"/>
  <c r="D36" i="97"/>
  <c r="F36" i="97"/>
  <c r="K36" i="97"/>
  <c r="B37" i="97"/>
  <c r="D37" i="97"/>
  <c r="F37" i="97"/>
  <c r="K37" i="97"/>
  <c r="B38" i="97"/>
  <c r="D38" i="97"/>
  <c r="H38" i="97" s="1"/>
  <c r="I38" i="97" s="1"/>
  <c r="F38" i="97"/>
  <c r="K38" i="97"/>
  <c r="B39" i="97"/>
  <c r="K39" i="97"/>
  <c r="B40" i="97"/>
  <c r="D40" i="97"/>
  <c r="H40" i="97" s="1"/>
  <c r="I40" i="97" s="1"/>
  <c r="F40" i="97"/>
  <c r="F39" i="97" s="1"/>
  <c r="K40" i="97"/>
  <c r="B41" i="97"/>
  <c r="H41" i="97"/>
  <c r="I41" i="97" s="1"/>
  <c r="K41" i="97"/>
  <c r="B42" i="97"/>
  <c r="K42" i="97"/>
  <c r="B43" i="97"/>
  <c r="D43" i="97"/>
  <c r="F43" i="97"/>
  <c r="F42" i="97" s="1"/>
  <c r="K43" i="97"/>
  <c r="B44" i="97"/>
  <c r="H44" i="97"/>
  <c r="I44" i="97" s="1"/>
  <c r="K44" i="97"/>
  <c r="B45" i="97"/>
  <c r="K45" i="97"/>
  <c r="B46" i="97"/>
  <c r="D46" i="97"/>
  <c r="D45" i="97" s="1"/>
  <c r="F46" i="97"/>
  <c r="F45" i="97" s="1"/>
  <c r="K46" i="97"/>
  <c r="A47" i="97"/>
  <c r="K47" i="97" s="1"/>
  <c r="D10" i="96"/>
  <c r="C11" i="96"/>
  <c r="C10" i="96" s="1"/>
  <c r="E12" i="96"/>
  <c r="E13" i="96"/>
  <c r="C14" i="96"/>
  <c r="D14" i="96"/>
  <c r="E15" i="96"/>
  <c r="E14" i="96" s="1"/>
  <c r="C16" i="96"/>
  <c r="D16" i="96"/>
  <c r="E17" i="96"/>
  <c r="E16" i="96" s="1"/>
  <c r="C18" i="96"/>
  <c r="D18" i="96"/>
  <c r="E19" i="96"/>
  <c r="E18" i="96" s="1"/>
  <c r="C22" i="96"/>
  <c r="D22" i="96"/>
  <c r="E23" i="96"/>
  <c r="E24" i="96"/>
  <c r="D25" i="96"/>
  <c r="C26" i="96"/>
  <c r="E26" i="96" s="1"/>
  <c r="E27" i="96"/>
  <c r="A28" i="96"/>
  <c r="C29" i="96"/>
  <c r="C28" i="96" s="1"/>
  <c r="D29" i="96"/>
  <c r="D28" i="96" s="1"/>
  <c r="E29" i="96"/>
  <c r="E28" i="96" s="1"/>
  <c r="B11" i="95"/>
  <c r="B13" i="95" s="1"/>
  <c r="B14" i="95"/>
  <c r="D16" i="95"/>
  <c r="B29" i="95"/>
  <c r="B34" i="95"/>
  <c r="K8" i="94"/>
  <c r="B9" i="94"/>
  <c r="D9" i="94"/>
  <c r="F9" i="94"/>
  <c r="K9" i="94"/>
  <c r="B10" i="94"/>
  <c r="H10" i="94"/>
  <c r="I10" i="94" s="1"/>
  <c r="K10" i="94"/>
  <c r="B11" i="94"/>
  <c r="H11" i="94"/>
  <c r="K11" i="94"/>
  <c r="B12" i="94"/>
  <c r="H12" i="94"/>
  <c r="I12" i="94" s="1"/>
  <c r="K12" i="94"/>
  <c r="B13" i="94"/>
  <c r="D13" i="94"/>
  <c r="F13" i="94"/>
  <c r="H13" i="94" s="1"/>
  <c r="I13" i="94" s="1"/>
  <c r="K13" i="94"/>
  <c r="B14" i="94"/>
  <c r="H14" i="94"/>
  <c r="I14" i="94" s="1"/>
  <c r="K14" i="94"/>
  <c r="B15" i="94"/>
  <c r="H15" i="94"/>
  <c r="K15" i="94"/>
  <c r="B16" i="94"/>
  <c r="K16" i="94"/>
  <c r="B17" i="94"/>
  <c r="D17" i="94"/>
  <c r="F17" i="94"/>
  <c r="K17" i="94"/>
  <c r="B18" i="94"/>
  <c r="H18" i="94"/>
  <c r="I18" i="94" s="1"/>
  <c r="K18" i="94"/>
  <c r="B19" i="94"/>
  <c r="H19" i="94"/>
  <c r="K19" i="94"/>
  <c r="B20" i="94"/>
  <c r="D20" i="94"/>
  <c r="F20" i="94"/>
  <c r="K20" i="94"/>
  <c r="B21" i="94"/>
  <c r="H21" i="94"/>
  <c r="I21" i="94" s="1"/>
  <c r="K21" i="94"/>
  <c r="B22" i="94"/>
  <c r="H22" i="94"/>
  <c r="I22" i="94" s="1"/>
  <c r="K22" i="94"/>
  <c r="B23" i="94"/>
  <c r="H23" i="94"/>
  <c r="I23" i="94" s="1"/>
  <c r="K23" i="94"/>
  <c r="B24" i="94"/>
  <c r="D24" i="94"/>
  <c r="F24" i="94"/>
  <c r="K24" i="94"/>
  <c r="B25" i="94"/>
  <c r="H25" i="94"/>
  <c r="I25" i="94" s="1"/>
  <c r="K25" i="94"/>
  <c r="B26" i="94"/>
  <c r="K26" i="94"/>
  <c r="B27" i="94"/>
  <c r="K27" i="94"/>
  <c r="B28" i="94"/>
  <c r="D28" i="94"/>
  <c r="F28" i="94"/>
  <c r="K28" i="94"/>
  <c r="B29" i="94"/>
  <c r="H29" i="94"/>
  <c r="H28" i="94" s="1"/>
  <c r="I28" i="94" s="1"/>
  <c r="K29" i="94"/>
  <c r="B30" i="94"/>
  <c r="D30" i="94"/>
  <c r="F30" i="94"/>
  <c r="K30" i="94"/>
  <c r="B31" i="94"/>
  <c r="H31" i="94"/>
  <c r="K31" i="94"/>
  <c r="B32" i="94"/>
  <c r="H32" i="94"/>
  <c r="I32" i="94" s="1"/>
  <c r="K32" i="94"/>
  <c r="B33" i="94"/>
  <c r="H33" i="94"/>
  <c r="I33" i="94" s="1"/>
  <c r="K33" i="94"/>
  <c r="B34" i="94"/>
  <c r="K34" i="94"/>
  <c r="B35" i="94"/>
  <c r="D35" i="94"/>
  <c r="F35" i="94"/>
  <c r="K35" i="94"/>
  <c r="B36" i="94"/>
  <c r="H36" i="94"/>
  <c r="K36" i="94"/>
  <c r="B37" i="94"/>
  <c r="K37" i="94"/>
  <c r="A38" i="94"/>
  <c r="B38" i="94" s="1"/>
  <c r="C10" i="93"/>
  <c r="D10" i="93"/>
  <c r="E11" i="93"/>
  <c r="E12" i="93"/>
  <c r="E13" i="93"/>
  <c r="E14" i="93"/>
  <c r="E15" i="93"/>
  <c r="C16" i="93"/>
  <c r="D16" i="93"/>
  <c r="E17" i="93"/>
  <c r="E18" i="93"/>
  <c r="C19" i="93"/>
  <c r="D19" i="93"/>
  <c r="E20" i="93"/>
  <c r="E19" i="93" s="1"/>
  <c r="C21" i="93"/>
  <c r="D21" i="93"/>
  <c r="E22" i="93"/>
  <c r="E23" i="93"/>
  <c r="E24" i="93"/>
  <c r="A29" i="93"/>
  <c r="A55" i="93" s="1"/>
  <c r="C31" i="93"/>
  <c r="D31" i="93"/>
  <c r="E32" i="93"/>
  <c r="E33" i="93"/>
  <c r="E34" i="93"/>
  <c r="D35" i="93"/>
  <c r="E38" i="93"/>
  <c r="E35" i="93" s="1"/>
  <c r="A40" i="93"/>
  <c r="C40" i="93"/>
  <c r="D40" i="93"/>
  <c r="E41" i="93"/>
  <c r="E40" i="93" s="1"/>
  <c r="A42" i="93"/>
  <c r="C42" i="93"/>
  <c r="D42" i="93"/>
  <c r="E42" i="93"/>
  <c r="A44" i="93"/>
  <c r="C44" i="93"/>
  <c r="D44" i="93"/>
  <c r="E44" i="93"/>
  <c r="B11" i="92"/>
  <c r="B13" i="92" s="1"/>
  <c r="B31" i="92"/>
  <c r="K8" i="91"/>
  <c r="B9" i="91"/>
  <c r="K9" i="91"/>
  <c r="B10" i="91"/>
  <c r="D10" i="91"/>
  <c r="F10" i="91"/>
  <c r="F9" i="91" s="1"/>
  <c r="K10" i="91"/>
  <c r="B11" i="91"/>
  <c r="H11" i="91"/>
  <c r="I11" i="91" s="1"/>
  <c r="K11" i="91"/>
  <c r="B12" i="91"/>
  <c r="K12" i="91"/>
  <c r="B13" i="91"/>
  <c r="D13" i="91"/>
  <c r="F13" i="91"/>
  <c r="K13" i="91"/>
  <c r="B14" i="91"/>
  <c r="H14" i="91"/>
  <c r="I14" i="91" s="1"/>
  <c r="K14" i="91"/>
  <c r="B15" i="91"/>
  <c r="H15" i="91"/>
  <c r="I15" i="91" s="1"/>
  <c r="K15" i="91"/>
  <c r="B16" i="91"/>
  <c r="D16" i="91"/>
  <c r="F16" i="91"/>
  <c r="K16" i="91"/>
  <c r="B17" i="91"/>
  <c r="H17" i="91"/>
  <c r="I17" i="91" s="1"/>
  <c r="K17" i="91"/>
  <c r="B18" i="91"/>
  <c r="D18" i="91"/>
  <c r="H18" i="91" s="1"/>
  <c r="F18" i="91"/>
  <c r="K18" i="91"/>
  <c r="B19" i="91"/>
  <c r="H19" i="91"/>
  <c r="K19" i="91"/>
  <c r="B20" i="91"/>
  <c r="D20" i="91"/>
  <c r="F20" i="91"/>
  <c r="K20" i="91"/>
  <c r="B21" i="91"/>
  <c r="H21" i="91"/>
  <c r="K21" i="91"/>
  <c r="B22" i="91"/>
  <c r="D22" i="91"/>
  <c r="H22" i="91" s="1"/>
  <c r="I22" i="91" s="1"/>
  <c r="F22" i="91"/>
  <c r="K22" i="91"/>
  <c r="B23" i="91"/>
  <c r="H23" i="91"/>
  <c r="I23" i="91" s="1"/>
  <c r="K23" i="91"/>
  <c r="B24" i="91"/>
  <c r="H24" i="91"/>
  <c r="I24" i="91" s="1"/>
  <c r="K24" i="91"/>
  <c r="B25" i="91"/>
  <c r="K25" i="91"/>
  <c r="B26" i="91"/>
  <c r="F26" i="91"/>
  <c r="K26" i="91"/>
  <c r="B27" i="91"/>
  <c r="H27" i="91"/>
  <c r="I27" i="91" s="1"/>
  <c r="K27" i="91"/>
  <c r="B28" i="91"/>
  <c r="H28" i="91"/>
  <c r="I28" i="91" s="1"/>
  <c r="K28" i="91"/>
  <c r="B29" i="91"/>
  <c r="D29" i="91"/>
  <c r="D25" i="91" s="1"/>
  <c r="F29" i="91"/>
  <c r="K29" i="91"/>
  <c r="B30" i="91"/>
  <c r="I30" i="91"/>
  <c r="K30" i="91"/>
  <c r="B31" i="91"/>
  <c r="H31" i="91"/>
  <c r="I31" i="91" s="1"/>
  <c r="K31" i="91"/>
  <c r="B32" i="91"/>
  <c r="K32" i="91"/>
  <c r="B33" i="91"/>
  <c r="D33" i="91"/>
  <c r="F33" i="91"/>
  <c r="K33" i="91"/>
  <c r="B34" i="91"/>
  <c r="H34" i="91"/>
  <c r="I34" i="91" s="1"/>
  <c r="K34" i="91"/>
  <c r="B35" i="91"/>
  <c r="D35" i="91"/>
  <c r="F35" i="91"/>
  <c r="K35" i="91"/>
  <c r="B36" i="91"/>
  <c r="H36" i="91"/>
  <c r="K36" i="91"/>
  <c r="B37" i="91"/>
  <c r="K37" i="91"/>
  <c r="B38" i="91"/>
  <c r="K38" i="91"/>
  <c r="B39" i="91"/>
  <c r="D39" i="91"/>
  <c r="F39" i="91"/>
  <c r="F38" i="91" s="1"/>
  <c r="H39" i="91"/>
  <c r="I39" i="91" s="1"/>
  <c r="K39" i="91"/>
  <c r="B40" i="91"/>
  <c r="H40" i="91"/>
  <c r="I40" i="91" s="1"/>
  <c r="K40" i="91"/>
  <c r="B41" i="91"/>
  <c r="K41" i="91"/>
  <c r="B42" i="91"/>
  <c r="D42" i="91"/>
  <c r="H42" i="91" s="1"/>
  <c r="I42" i="91" s="1"/>
  <c r="F42" i="91"/>
  <c r="K42" i="91"/>
  <c r="B43" i="91"/>
  <c r="H43" i="91"/>
  <c r="I43" i="91" s="1"/>
  <c r="K43" i="91"/>
  <c r="B44" i="91"/>
  <c r="H44" i="91"/>
  <c r="K44" i="91"/>
  <c r="B45" i="91"/>
  <c r="D45" i="91"/>
  <c r="F45" i="91"/>
  <c r="K45" i="91"/>
  <c r="B46" i="91"/>
  <c r="H46" i="91"/>
  <c r="I46" i="91" s="1"/>
  <c r="K46" i="91"/>
  <c r="B47" i="91"/>
  <c r="D47" i="91"/>
  <c r="F47" i="91"/>
  <c r="H47" i="91" s="1"/>
  <c r="K47" i="91"/>
  <c r="B48" i="91"/>
  <c r="H48" i="91"/>
  <c r="K48" i="91"/>
  <c r="B49" i="91"/>
  <c r="K49" i="91"/>
  <c r="B50" i="91"/>
  <c r="D50" i="91"/>
  <c r="F50" i="91"/>
  <c r="K50" i="91"/>
  <c r="B51" i="91"/>
  <c r="H51" i="91"/>
  <c r="I51" i="91" s="1"/>
  <c r="K51" i="91"/>
  <c r="B52" i="91"/>
  <c r="H52" i="91"/>
  <c r="I52" i="91" s="1"/>
  <c r="K52" i="91"/>
  <c r="B53" i="91"/>
  <c r="D53" i="91"/>
  <c r="H53" i="91" s="1"/>
  <c r="I53" i="91" s="1"/>
  <c r="F53" i="91"/>
  <c r="K53" i="91"/>
  <c r="B54" i="91"/>
  <c r="H54" i="91"/>
  <c r="K54" i="91"/>
  <c r="B55" i="91"/>
  <c r="H55" i="91"/>
  <c r="I55" i="91" s="1"/>
  <c r="K55" i="91"/>
  <c r="B56" i="91"/>
  <c r="D56" i="91"/>
  <c r="F56" i="91"/>
  <c r="K56" i="91"/>
  <c r="B57" i="91"/>
  <c r="H57" i="91"/>
  <c r="I57" i="91" s="1"/>
  <c r="K57" i="91"/>
  <c r="B58" i="91"/>
  <c r="H58" i="91"/>
  <c r="I58" i="91" s="1"/>
  <c r="K58" i="91"/>
  <c r="B59" i="91"/>
  <c r="K59" i="91"/>
  <c r="B60" i="91"/>
  <c r="D60" i="91"/>
  <c r="F60" i="91"/>
  <c r="F59" i="91" s="1"/>
  <c r="K60" i="91"/>
  <c r="B61" i="91"/>
  <c r="H61" i="91"/>
  <c r="K61" i="91"/>
  <c r="B62" i="91"/>
  <c r="K62" i="91"/>
  <c r="B63" i="91"/>
  <c r="D63" i="91"/>
  <c r="F63" i="91"/>
  <c r="K63" i="91"/>
  <c r="B64" i="91"/>
  <c r="D64" i="91"/>
  <c r="F64" i="91"/>
  <c r="K64" i="91"/>
  <c r="B65" i="91"/>
  <c r="K65" i="91"/>
  <c r="B66" i="91"/>
  <c r="K66" i="91"/>
  <c r="B67" i="91"/>
  <c r="D67" i="91"/>
  <c r="D66" i="91" s="1"/>
  <c r="F67" i="91"/>
  <c r="F66" i="91" s="1"/>
  <c r="K67" i="91"/>
  <c r="B68" i="91"/>
  <c r="H68" i="91"/>
  <c r="I68" i="91" s="1"/>
  <c r="K68" i="91"/>
  <c r="B69" i="91"/>
  <c r="H69" i="91"/>
  <c r="I69" i="91" s="1"/>
  <c r="K69" i="91"/>
  <c r="B70" i="91"/>
  <c r="K70" i="91"/>
  <c r="B71" i="91"/>
  <c r="D71" i="91"/>
  <c r="F71" i="91"/>
  <c r="K71" i="91"/>
  <c r="B72" i="91"/>
  <c r="H72" i="91"/>
  <c r="K72" i="91"/>
  <c r="B73" i="91"/>
  <c r="D73" i="91"/>
  <c r="F73" i="91"/>
  <c r="K73" i="91"/>
  <c r="B74" i="91"/>
  <c r="H74" i="91"/>
  <c r="I74" i="91" s="1"/>
  <c r="K74" i="91"/>
  <c r="B75" i="91"/>
  <c r="H75" i="91"/>
  <c r="I75" i="91" s="1"/>
  <c r="K75" i="91"/>
  <c r="B76" i="91"/>
  <c r="D76" i="91"/>
  <c r="F76" i="91"/>
  <c r="K76" i="91"/>
  <c r="B77" i="91"/>
  <c r="H77" i="91"/>
  <c r="I77" i="91" s="1"/>
  <c r="K77" i="91"/>
  <c r="B78" i="91"/>
  <c r="H78" i="91"/>
  <c r="I78" i="91" s="1"/>
  <c r="K78" i="91"/>
  <c r="B79" i="91"/>
  <c r="K79" i="91"/>
  <c r="B80" i="91"/>
  <c r="K80" i="91"/>
  <c r="B81" i="91"/>
  <c r="D81" i="91"/>
  <c r="D80" i="91" s="1"/>
  <c r="D79" i="91" s="1"/>
  <c r="F81" i="91"/>
  <c r="F80" i="91" s="1"/>
  <c r="K81" i="91"/>
  <c r="B82" i="91"/>
  <c r="H82" i="91"/>
  <c r="I82" i="91" s="1"/>
  <c r="K82" i="91"/>
  <c r="B83" i="91"/>
  <c r="H83" i="91"/>
  <c r="I83" i="91" s="1"/>
  <c r="K83" i="91"/>
  <c r="B84" i="91"/>
  <c r="K84" i="91"/>
  <c r="B85" i="91"/>
  <c r="D85" i="91"/>
  <c r="F85" i="91"/>
  <c r="K85" i="91"/>
  <c r="B86" i="91"/>
  <c r="D86" i="91"/>
  <c r="F86" i="91"/>
  <c r="K86" i="91"/>
  <c r="A87" i="91"/>
  <c r="B87" i="91" s="1"/>
  <c r="K89" i="91"/>
  <c r="C9" i="96" l="1"/>
  <c r="C20" i="96" s="1"/>
  <c r="B47" i="97"/>
  <c r="E10" i="93"/>
  <c r="D32" i="99"/>
  <c r="H56" i="91"/>
  <c r="I56" i="91" s="1"/>
  <c r="E21" i="102"/>
  <c r="C9" i="93"/>
  <c r="H17" i="94"/>
  <c r="I17" i="94" s="1"/>
  <c r="H45" i="91"/>
  <c r="I45" i="91" s="1"/>
  <c r="H10" i="91"/>
  <c r="I10" i="91" s="1"/>
  <c r="B23" i="92"/>
  <c r="B37" i="92" s="1"/>
  <c r="B39" i="92" s="1"/>
  <c r="D30" i="93"/>
  <c r="H9" i="94"/>
  <c r="I9" i="94" s="1"/>
  <c r="E22" i="96"/>
  <c r="E21" i="96" s="1"/>
  <c r="E31" i="96" s="1"/>
  <c r="H37" i="97"/>
  <c r="D21" i="102"/>
  <c r="D30" i="102" s="1"/>
  <c r="E16" i="93"/>
  <c r="H14" i="100"/>
  <c r="I14" i="100" s="1"/>
  <c r="E39" i="93"/>
  <c r="C9" i="99"/>
  <c r="C30" i="99" s="1"/>
  <c r="D28" i="100"/>
  <c r="D23" i="100" s="1"/>
  <c r="H20" i="94"/>
  <c r="I20" i="94" s="1"/>
  <c r="H31" i="100"/>
  <c r="H18" i="100"/>
  <c r="I18" i="100" s="1"/>
  <c r="K38" i="94"/>
  <c r="H35" i="91"/>
  <c r="H33" i="91"/>
  <c r="I33" i="91" s="1"/>
  <c r="H35" i="94"/>
  <c r="H30" i="94"/>
  <c r="I30" i="94" s="1"/>
  <c r="F16" i="94"/>
  <c r="E25" i="96"/>
  <c r="E33" i="99"/>
  <c r="E32" i="99" s="1"/>
  <c r="E52" i="99" s="1"/>
  <c r="D17" i="100"/>
  <c r="H10" i="100"/>
  <c r="I10" i="100" s="1"/>
  <c r="D13" i="97"/>
  <c r="F84" i="91"/>
  <c r="B20" i="95"/>
  <c r="B22" i="95" s="1"/>
  <c r="B35" i="95" s="1"/>
  <c r="B37" i="95" s="1"/>
  <c r="C32" i="99"/>
  <c r="C52" i="99" s="1"/>
  <c r="F17" i="100"/>
  <c r="D39" i="93"/>
  <c r="D52" i="99"/>
  <c r="F62" i="91"/>
  <c r="C39" i="93"/>
  <c r="H24" i="100"/>
  <c r="I24" i="100" s="1"/>
  <c r="H60" i="91"/>
  <c r="F41" i="91"/>
  <c r="E31" i="93"/>
  <c r="F39" i="100"/>
  <c r="H39" i="100" s="1"/>
  <c r="I39" i="100" s="1"/>
  <c r="F9" i="100"/>
  <c r="C25" i="96"/>
  <c r="C21" i="96" s="1"/>
  <c r="E11" i="96"/>
  <c r="E10" i="96" s="1"/>
  <c r="D9" i="102"/>
  <c r="D19" i="102" s="1"/>
  <c r="D8" i="103"/>
  <c r="E26" i="103" s="1"/>
  <c r="F27" i="94"/>
  <c r="H36" i="100"/>
  <c r="I36" i="100" s="1"/>
  <c r="F49" i="91"/>
  <c r="F25" i="91"/>
  <c r="D9" i="93"/>
  <c r="D29" i="93" s="1"/>
  <c r="B20" i="98"/>
  <c r="B22" i="98" s="1"/>
  <c r="B35" i="98" s="1"/>
  <c r="B37" i="98" s="1"/>
  <c r="H25" i="100"/>
  <c r="I25" i="100" s="1"/>
  <c r="F70" i="91"/>
  <c r="F65" i="91" s="1"/>
  <c r="H64" i="91"/>
  <c r="I64" i="91" s="1"/>
  <c r="D21" i="96"/>
  <c r="D31" i="96" s="1"/>
  <c r="F43" i="100"/>
  <c r="F42" i="100" s="1"/>
  <c r="H20" i="100"/>
  <c r="I20" i="100" s="1"/>
  <c r="F12" i="91"/>
  <c r="D9" i="96"/>
  <c r="D20" i="96" s="1"/>
  <c r="F35" i="97"/>
  <c r="D43" i="100"/>
  <c r="D42" i="100" s="1"/>
  <c r="F28" i="100"/>
  <c r="F23" i="100" s="1"/>
  <c r="B21" i="101"/>
  <c r="E30" i="102"/>
  <c r="C21" i="102"/>
  <c r="C30" i="102" s="1"/>
  <c r="C9" i="102"/>
  <c r="C19" i="102" s="1"/>
  <c r="E10" i="102"/>
  <c r="E9" i="102" s="1"/>
  <c r="E19" i="102" s="1"/>
  <c r="C30" i="93"/>
  <c r="E21" i="93"/>
  <c r="C29" i="93"/>
  <c r="E9" i="93"/>
  <c r="E29" i="93" s="1"/>
  <c r="D25" i="103"/>
  <c r="D32" i="103" s="1"/>
  <c r="H23" i="103"/>
  <c r="F28" i="103"/>
  <c r="H28" i="103" s="1"/>
  <c r="H30" i="103"/>
  <c r="D22" i="103"/>
  <c r="D19" i="103"/>
  <c r="H31" i="103"/>
  <c r="H20" i="103"/>
  <c r="H9" i="103"/>
  <c r="H12" i="103"/>
  <c r="H16" i="103"/>
  <c r="H17" i="103"/>
  <c r="H11" i="103"/>
  <c r="H14" i="103"/>
  <c r="H21" i="103"/>
  <c r="H29" i="103"/>
  <c r="F22" i="103"/>
  <c r="H37" i="100"/>
  <c r="I37" i="100" s="1"/>
  <c r="H41" i="100"/>
  <c r="I41" i="100" s="1"/>
  <c r="H29" i="100"/>
  <c r="I29" i="100" s="1"/>
  <c r="D13" i="100"/>
  <c r="H29" i="91"/>
  <c r="I29" i="91" s="1"/>
  <c r="H73" i="91"/>
  <c r="I73" i="91" s="1"/>
  <c r="H66" i="91"/>
  <c r="I66" i="91" s="1"/>
  <c r="F79" i="91"/>
  <c r="H79" i="91" s="1"/>
  <c r="I79" i="91" s="1"/>
  <c r="H80" i="91"/>
  <c r="I80" i="91" s="1"/>
  <c r="H76" i="91"/>
  <c r="I76" i="91" s="1"/>
  <c r="H86" i="91"/>
  <c r="I86" i="91" s="1"/>
  <c r="D84" i="91"/>
  <c r="D70" i="91"/>
  <c r="D62" i="91"/>
  <c r="D49" i="91"/>
  <c r="D12" i="91"/>
  <c r="D59" i="91"/>
  <c r="D41" i="91"/>
  <c r="D38" i="91"/>
  <c r="F32" i="91"/>
  <c r="H26" i="91"/>
  <c r="I26" i="91" s="1"/>
  <c r="H16" i="91"/>
  <c r="I16" i="91" s="1"/>
  <c r="D9" i="91"/>
  <c r="H85" i="91"/>
  <c r="I85" i="91" s="1"/>
  <c r="H81" i="91"/>
  <c r="I81" i="91" s="1"/>
  <c r="H71" i="91"/>
  <c r="H67" i="91"/>
  <c r="I67" i="91" s="1"/>
  <c r="H63" i="91"/>
  <c r="I63" i="91" s="1"/>
  <c r="H50" i="91"/>
  <c r="I50" i="91" s="1"/>
  <c r="D32" i="91"/>
  <c r="H20" i="91"/>
  <c r="H13" i="91"/>
  <c r="I13" i="91" s="1"/>
  <c r="D34" i="94"/>
  <c r="H24" i="94"/>
  <c r="I24" i="94" s="1"/>
  <c r="C31" i="96"/>
  <c r="E9" i="96"/>
  <c r="E20" i="96" s="1"/>
  <c r="H45" i="97"/>
  <c r="I45" i="97" s="1"/>
  <c r="F47" i="97"/>
  <c r="D27" i="94"/>
  <c r="F23" i="97"/>
  <c r="D8" i="97"/>
  <c r="E46" i="97" s="1"/>
  <c r="H13" i="97"/>
  <c r="I13" i="97" s="1"/>
  <c r="F34" i="94"/>
  <c r="I29" i="94"/>
  <c r="H32" i="97"/>
  <c r="I32" i="97" s="1"/>
  <c r="D16" i="94"/>
  <c r="F8" i="94"/>
  <c r="G27" i="94" s="1"/>
  <c r="D35" i="97"/>
  <c r="D24" i="97"/>
  <c r="F19" i="97"/>
  <c r="H19" i="97" s="1"/>
  <c r="I19" i="97" s="1"/>
  <c r="H20" i="97"/>
  <c r="I20" i="97" s="1"/>
  <c r="H56" i="100"/>
  <c r="I56" i="100" s="1"/>
  <c r="D59" i="100"/>
  <c r="D8" i="94"/>
  <c r="D42" i="97"/>
  <c r="D39" i="97"/>
  <c r="H36" i="97"/>
  <c r="I36" i="97" s="1"/>
  <c r="H33" i="97"/>
  <c r="I33" i="97" s="1"/>
  <c r="H30" i="97"/>
  <c r="I30" i="97" s="1"/>
  <c r="H14" i="97"/>
  <c r="I14" i="97" s="1"/>
  <c r="F52" i="100"/>
  <c r="H53" i="100"/>
  <c r="H46" i="97"/>
  <c r="I46" i="97" s="1"/>
  <c r="H43" i="97"/>
  <c r="I43" i="97" s="1"/>
  <c r="H10" i="97"/>
  <c r="I10" i="97" s="1"/>
  <c r="F9" i="97"/>
  <c r="H58" i="100"/>
  <c r="I58" i="100" s="1"/>
  <c r="H54" i="100"/>
  <c r="D52" i="100"/>
  <c r="H44" i="100"/>
  <c r="I44" i="100" s="1"/>
  <c r="H13" i="100"/>
  <c r="I13" i="100" s="1"/>
  <c r="H9" i="100"/>
  <c r="I9" i="100" s="1"/>
  <c r="F37" i="91" l="1"/>
  <c r="D50" i="93"/>
  <c r="B36" i="101"/>
  <c r="B38" i="101" s="1"/>
  <c r="F8" i="91"/>
  <c r="M66" i="91" s="1"/>
  <c r="H43" i="100"/>
  <c r="I43" i="100" s="1"/>
  <c r="F87" i="91"/>
  <c r="F59" i="100"/>
  <c r="E30" i="93"/>
  <c r="E50" i="93" s="1"/>
  <c r="E55" i="93" s="1"/>
  <c r="C50" i="93"/>
  <c r="C55" i="93" s="1"/>
  <c r="D15" i="103"/>
  <c r="L15" i="103" s="1"/>
  <c r="D55" i="93"/>
  <c r="D8" i="100"/>
  <c r="L46" i="100" s="1"/>
  <c r="M24" i="94"/>
  <c r="F8" i="100"/>
  <c r="G58" i="100" s="1"/>
  <c r="H17" i="100"/>
  <c r="I17" i="100" s="1"/>
  <c r="H23" i="100"/>
  <c r="I23" i="100" s="1"/>
  <c r="E9" i="97"/>
  <c r="L46" i="97"/>
  <c r="M16" i="94"/>
  <c r="G9" i="94"/>
  <c r="G28" i="94"/>
  <c r="E19" i="97"/>
  <c r="G35" i="94"/>
  <c r="G17" i="94"/>
  <c r="E10" i="97"/>
  <c r="E14" i="97"/>
  <c r="H28" i="100"/>
  <c r="I28" i="100" s="1"/>
  <c r="E17" i="97"/>
  <c r="L19" i="97"/>
  <c r="M28" i="94"/>
  <c r="L40" i="97"/>
  <c r="G16" i="94"/>
  <c r="L27" i="103"/>
  <c r="F25" i="103"/>
  <c r="M25" i="103" s="1"/>
  <c r="E27" i="103"/>
  <c r="L26" i="103"/>
  <c r="L11" i="103"/>
  <c r="E29" i="103"/>
  <c r="H19" i="103"/>
  <c r="L28" i="103"/>
  <c r="E20" i="103"/>
  <c r="E21" i="103"/>
  <c r="E14" i="103"/>
  <c r="L12" i="103"/>
  <c r="L13" i="103"/>
  <c r="E13" i="103"/>
  <c r="M13" i="103"/>
  <c r="L16" i="103"/>
  <c r="L20" i="103"/>
  <c r="E11" i="103"/>
  <c r="L29" i="103"/>
  <c r="L19" i="103"/>
  <c r="L14" i="103"/>
  <c r="E12" i="103"/>
  <c r="E28" i="103"/>
  <c r="L21" i="103"/>
  <c r="E9" i="103"/>
  <c r="L10" i="103"/>
  <c r="E10" i="103"/>
  <c r="E16" i="103"/>
  <c r="M9" i="103"/>
  <c r="M10" i="103"/>
  <c r="M28" i="103"/>
  <c r="M16" i="103"/>
  <c r="E32" i="103"/>
  <c r="H32" i="103"/>
  <c r="L32" i="103"/>
  <c r="E19" i="103"/>
  <c r="M32" i="103"/>
  <c r="M22" i="103"/>
  <c r="M18" i="103"/>
  <c r="M31" i="103"/>
  <c r="M30" i="103"/>
  <c r="M29" i="103"/>
  <c r="M14" i="103"/>
  <c r="M11" i="103"/>
  <c r="M8" i="103"/>
  <c r="M17" i="103"/>
  <c r="M23" i="103"/>
  <c r="M21" i="103"/>
  <c r="M12" i="103"/>
  <c r="E25" i="103"/>
  <c r="L25" i="103"/>
  <c r="E31" i="103"/>
  <c r="E30" i="103"/>
  <c r="E23" i="103"/>
  <c r="L22" i="103"/>
  <c r="L17" i="103"/>
  <c r="L18" i="103"/>
  <c r="E18" i="103"/>
  <c r="L23" i="103"/>
  <c r="E22" i="103"/>
  <c r="E17" i="103"/>
  <c r="H8" i="103"/>
  <c r="L31" i="103"/>
  <c r="L30" i="103"/>
  <c r="L8" i="103"/>
  <c r="L9" i="103"/>
  <c r="F15" i="103"/>
  <c r="M19" i="103"/>
  <c r="H22" i="103"/>
  <c r="M20" i="103"/>
  <c r="L9" i="100"/>
  <c r="L17" i="100"/>
  <c r="E27" i="100"/>
  <c r="L30" i="100"/>
  <c r="E33" i="100"/>
  <c r="L43" i="100"/>
  <c r="L51" i="100"/>
  <c r="E15" i="100"/>
  <c r="L26" i="100"/>
  <c r="E37" i="100"/>
  <c r="L55" i="100"/>
  <c r="L15" i="100"/>
  <c r="E29" i="100"/>
  <c r="E43" i="100"/>
  <c r="E53" i="100"/>
  <c r="L21" i="100"/>
  <c r="E35" i="100"/>
  <c r="L38" i="100"/>
  <c r="L23" i="100"/>
  <c r="E56" i="100"/>
  <c r="E10" i="100"/>
  <c r="E18" i="100"/>
  <c r="E34" i="100"/>
  <c r="L57" i="100"/>
  <c r="L31" i="100"/>
  <c r="E40" i="100"/>
  <c r="E47" i="100"/>
  <c r="E50" i="100"/>
  <c r="L8" i="100"/>
  <c r="L12" i="100"/>
  <c r="L16" i="100"/>
  <c r="E20" i="100"/>
  <c r="E38" i="100"/>
  <c r="L44" i="100"/>
  <c r="L35" i="100"/>
  <c r="E57" i="100"/>
  <c r="E39" i="100"/>
  <c r="E25" i="100"/>
  <c r="E23" i="100"/>
  <c r="L24" i="100"/>
  <c r="L39" i="100"/>
  <c r="E24" i="100"/>
  <c r="L13" i="100"/>
  <c r="L20" i="100"/>
  <c r="E28" i="100"/>
  <c r="E32" i="100"/>
  <c r="L34" i="100"/>
  <c r="E19" i="100"/>
  <c r="L33" i="100"/>
  <c r="E45" i="100"/>
  <c r="L50" i="100"/>
  <c r="E9" i="100"/>
  <c r="E13" i="100"/>
  <c r="E17" i="100"/>
  <c r="L47" i="100"/>
  <c r="E36" i="100"/>
  <c r="E54" i="100"/>
  <c r="L56" i="100"/>
  <c r="E14" i="100"/>
  <c r="E26" i="100"/>
  <c r="L41" i="100"/>
  <c r="E51" i="100"/>
  <c r="E12" i="100"/>
  <c r="L36" i="100"/>
  <c r="L45" i="100"/>
  <c r="L48" i="100"/>
  <c r="E55" i="100"/>
  <c r="L10" i="100"/>
  <c r="L14" i="100"/>
  <c r="L18" i="100"/>
  <c r="L28" i="100"/>
  <c r="E41" i="100"/>
  <c r="L49" i="100"/>
  <c r="L37" i="100"/>
  <c r="E42" i="100"/>
  <c r="L42" i="100"/>
  <c r="E22" i="100"/>
  <c r="L58" i="100"/>
  <c r="G42" i="100"/>
  <c r="G52" i="100"/>
  <c r="H8" i="94"/>
  <c r="I8" i="94" s="1"/>
  <c r="E10" i="94"/>
  <c r="E11" i="94"/>
  <c r="L11" i="94"/>
  <c r="L12" i="94"/>
  <c r="L10" i="94"/>
  <c r="E14" i="94"/>
  <c r="E15" i="94"/>
  <c r="L15" i="94"/>
  <c r="L18" i="94"/>
  <c r="E21" i="94"/>
  <c r="E22" i="94"/>
  <c r="E23" i="94"/>
  <c r="L8" i="94"/>
  <c r="E12" i="94"/>
  <c r="L19" i="94"/>
  <c r="L21" i="94"/>
  <c r="D26" i="94"/>
  <c r="E31" i="94"/>
  <c r="L31" i="94"/>
  <c r="L32" i="94"/>
  <c r="L33" i="94"/>
  <c r="L13" i="94"/>
  <c r="E19" i="94"/>
  <c r="E25" i="94"/>
  <c r="E36" i="94"/>
  <c r="L36" i="94"/>
  <c r="L14" i="94"/>
  <c r="L23" i="94"/>
  <c r="E24" i="94"/>
  <c r="L25" i="94"/>
  <c r="E29" i="94"/>
  <c r="L35" i="94"/>
  <c r="E18" i="94"/>
  <c r="L22" i="94"/>
  <c r="L24" i="94"/>
  <c r="L29" i="94"/>
  <c r="E32" i="94"/>
  <c r="E33" i="94"/>
  <c r="M21" i="100"/>
  <c r="M24" i="100"/>
  <c r="G29" i="100"/>
  <c r="G30" i="100"/>
  <c r="G35" i="100"/>
  <c r="M35" i="100"/>
  <c r="M29" i="100"/>
  <c r="M30" i="100"/>
  <c r="G32" i="100"/>
  <c r="M32" i="100"/>
  <c r="G34" i="100"/>
  <c r="M34" i="100"/>
  <c r="M41" i="100"/>
  <c r="G46" i="100"/>
  <c r="G15" i="100"/>
  <c r="G16" i="100"/>
  <c r="G18" i="100"/>
  <c r="G19" i="100"/>
  <c r="M25" i="100"/>
  <c r="M26" i="100"/>
  <c r="G28" i="100"/>
  <c r="G31" i="100"/>
  <c r="M46" i="100"/>
  <c r="G48" i="100"/>
  <c r="M48" i="100"/>
  <c r="G50" i="100"/>
  <c r="M50" i="100"/>
  <c r="G54" i="100"/>
  <c r="G55" i="100"/>
  <c r="M55" i="100"/>
  <c r="M19" i="100"/>
  <c r="G22" i="100"/>
  <c r="M28" i="100"/>
  <c r="G37" i="100"/>
  <c r="G38" i="100"/>
  <c r="G40" i="100"/>
  <c r="M40" i="100"/>
  <c r="G47" i="100"/>
  <c r="H9" i="97"/>
  <c r="I9" i="97" s="1"/>
  <c r="H42" i="100"/>
  <c r="I42" i="100" s="1"/>
  <c r="L39" i="97"/>
  <c r="H39" i="97"/>
  <c r="I39" i="97" s="1"/>
  <c r="E39" i="97"/>
  <c r="L9" i="97"/>
  <c r="L14" i="97"/>
  <c r="E45" i="97"/>
  <c r="E9" i="94"/>
  <c r="E13" i="94"/>
  <c r="G34" i="94"/>
  <c r="M34" i="94"/>
  <c r="E13" i="97"/>
  <c r="E30" i="94"/>
  <c r="G9" i="91"/>
  <c r="M63" i="91"/>
  <c r="M73" i="91"/>
  <c r="M85" i="91"/>
  <c r="G30" i="94"/>
  <c r="G16" i="91"/>
  <c r="H41" i="91"/>
  <c r="I41" i="91" s="1"/>
  <c r="M27" i="94"/>
  <c r="M9" i="91"/>
  <c r="H12" i="91"/>
  <c r="I12" i="91" s="1"/>
  <c r="D87" i="91"/>
  <c r="H62" i="91"/>
  <c r="I62" i="91" s="1"/>
  <c r="G13" i="91"/>
  <c r="G67" i="91"/>
  <c r="M49" i="91"/>
  <c r="G12" i="91"/>
  <c r="M80" i="91"/>
  <c r="M41" i="91"/>
  <c r="G87" i="91"/>
  <c r="G70" i="91"/>
  <c r="G37" i="91"/>
  <c r="M37" i="91"/>
  <c r="L42" i="97"/>
  <c r="H42" i="97"/>
  <c r="I42" i="97" s="1"/>
  <c r="E42" i="97"/>
  <c r="H59" i="100"/>
  <c r="E59" i="100"/>
  <c r="L59" i="100"/>
  <c r="H24" i="97"/>
  <c r="I24" i="97" s="1"/>
  <c r="E24" i="97"/>
  <c r="L24" i="97"/>
  <c r="D23" i="97"/>
  <c r="E17" i="94"/>
  <c r="M17" i="91"/>
  <c r="G11" i="91"/>
  <c r="G14" i="91"/>
  <c r="G15" i="91"/>
  <c r="M8" i="91"/>
  <c r="G17" i="91"/>
  <c r="G30" i="91"/>
  <c r="G31" i="91"/>
  <c r="G34" i="91"/>
  <c r="M19" i="91"/>
  <c r="G21" i="91"/>
  <c r="G24" i="91"/>
  <c r="M24" i="91"/>
  <c r="M30" i="91"/>
  <c r="M46" i="91"/>
  <c r="G48" i="91"/>
  <c r="M48" i="91"/>
  <c r="M51" i="91"/>
  <c r="M52" i="91"/>
  <c r="G55" i="91"/>
  <c r="G61" i="91"/>
  <c r="M61" i="91"/>
  <c r="M68" i="91"/>
  <c r="M69" i="91"/>
  <c r="M74" i="91"/>
  <c r="M75" i="91"/>
  <c r="M82" i="91"/>
  <c r="M83" i="91"/>
  <c r="M89" i="91"/>
  <c r="G76" i="91"/>
  <c r="G77" i="91"/>
  <c r="G78" i="91"/>
  <c r="M76" i="91"/>
  <c r="M10" i="91"/>
  <c r="M11" i="91"/>
  <c r="G19" i="91"/>
  <c r="G23" i="91"/>
  <c r="M23" i="91"/>
  <c r="M34" i="91"/>
  <c r="G36" i="91"/>
  <c r="M36" i="91"/>
  <c r="G47" i="91"/>
  <c r="M47" i="91"/>
  <c r="G53" i="91"/>
  <c r="G54" i="91"/>
  <c r="M54" i="91"/>
  <c r="M55" i="91"/>
  <c r="G60" i="91"/>
  <c r="M60" i="91"/>
  <c r="G64" i="91"/>
  <c r="M78" i="91"/>
  <c r="M13" i="91"/>
  <c r="M14" i="91"/>
  <c r="M15" i="91"/>
  <c r="M22" i="91"/>
  <c r="G28" i="91"/>
  <c r="M28" i="91"/>
  <c r="M29" i="91"/>
  <c r="M31" i="91"/>
  <c r="M33" i="91"/>
  <c r="G35" i="91"/>
  <c r="M35" i="91"/>
  <c r="G39" i="91"/>
  <c r="G40" i="91"/>
  <c r="G42" i="91"/>
  <c r="G43" i="91"/>
  <c r="G44" i="91"/>
  <c r="M44" i="91"/>
  <c r="M53" i="91"/>
  <c r="G56" i="91"/>
  <c r="G57" i="91"/>
  <c r="G58" i="91"/>
  <c r="M64" i="91"/>
  <c r="G72" i="91"/>
  <c r="M72" i="91"/>
  <c r="M77" i="91"/>
  <c r="M21" i="91"/>
  <c r="G27" i="91"/>
  <c r="M27" i="91"/>
  <c r="M39" i="91"/>
  <c r="M40" i="91"/>
  <c r="M42" i="91"/>
  <c r="M43" i="91"/>
  <c r="G46" i="91"/>
  <c r="G51" i="91"/>
  <c r="G52" i="91"/>
  <c r="M57" i="91"/>
  <c r="M58" i="91"/>
  <c r="G68" i="91"/>
  <c r="G69" i="91"/>
  <c r="G74" i="91"/>
  <c r="G75" i="91"/>
  <c r="G82" i="91"/>
  <c r="G83" i="91"/>
  <c r="G86" i="91"/>
  <c r="M86" i="91"/>
  <c r="L8" i="97"/>
  <c r="L10" i="97"/>
  <c r="L11" i="97"/>
  <c r="E18" i="97"/>
  <c r="E22" i="97"/>
  <c r="E25" i="97"/>
  <c r="L30" i="97"/>
  <c r="L31" i="97"/>
  <c r="E32" i="97"/>
  <c r="L33" i="97"/>
  <c r="L34" i="97"/>
  <c r="L36" i="97"/>
  <c r="E37" i="97"/>
  <c r="L12" i="97"/>
  <c r="E16" i="97"/>
  <c r="L16" i="97"/>
  <c r="E21" i="97"/>
  <c r="L22" i="97"/>
  <c r="E26" i="97"/>
  <c r="E27" i="97"/>
  <c r="E28" i="97"/>
  <c r="E29" i="97"/>
  <c r="E11" i="97"/>
  <c r="E12" i="97"/>
  <c r="E15" i="97"/>
  <c r="L15" i="97"/>
  <c r="E20" i="97"/>
  <c r="L21" i="97"/>
  <c r="L25" i="97"/>
  <c r="L26" i="97"/>
  <c r="L27" i="97"/>
  <c r="E30" i="97"/>
  <c r="L32" i="97"/>
  <c r="E33" i="97"/>
  <c r="E36" i="97"/>
  <c r="E41" i="97"/>
  <c r="E44" i="97"/>
  <c r="L20" i="97"/>
  <c r="E31" i="97"/>
  <c r="E34" i="97"/>
  <c r="L41" i="97"/>
  <c r="L44" i="97"/>
  <c r="L45" i="97"/>
  <c r="E34" i="94"/>
  <c r="L34" i="94"/>
  <c r="H34" i="94"/>
  <c r="H32" i="91"/>
  <c r="I32" i="91" s="1"/>
  <c r="M50" i="91"/>
  <c r="M16" i="91"/>
  <c r="H59" i="91"/>
  <c r="G10" i="91"/>
  <c r="G29" i="91"/>
  <c r="H70" i="91"/>
  <c r="I70" i="91" s="1"/>
  <c r="M20" i="91"/>
  <c r="G50" i="91"/>
  <c r="G63" i="91"/>
  <c r="G71" i="91"/>
  <c r="G49" i="91"/>
  <c r="M12" i="91"/>
  <c r="G80" i="91"/>
  <c r="G41" i="91"/>
  <c r="M62" i="91"/>
  <c r="M84" i="91"/>
  <c r="G38" i="91"/>
  <c r="F8" i="97"/>
  <c r="M23" i="97" s="1"/>
  <c r="E35" i="97"/>
  <c r="L35" i="97"/>
  <c r="H35" i="97"/>
  <c r="I35" i="97" s="1"/>
  <c r="D47" i="97"/>
  <c r="L17" i="94"/>
  <c r="M18" i="91"/>
  <c r="L13" i="97"/>
  <c r="L37" i="97"/>
  <c r="D37" i="94"/>
  <c r="L27" i="94"/>
  <c r="H27" i="94"/>
  <c r="I27" i="94" s="1"/>
  <c r="E27" i="94"/>
  <c r="E38" i="97"/>
  <c r="L30" i="94"/>
  <c r="G26" i="91"/>
  <c r="M59" i="91"/>
  <c r="M67" i="91"/>
  <c r="M81" i="91"/>
  <c r="L20" i="94"/>
  <c r="G32" i="91"/>
  <c r="M32" i="91"/>
  <c r="E35" i="94"/>
  <c r="G22" i="91"/>
  <c r="G33" i="91"/>
  <c r="H84" i="91"/>
  <c r="I84" i="91" s="1"/>
  <c r="G20" i="91"/>
  <c r="M71" i="91"/>
  <c r="G81" i="91"/>
  <c r="M25" i="91"/>
  <c r="G62" i="91"/>
  <c r="G84" i="91"/>
  <c r="M65" i="91"/>
  <c r="G65" i="91"/>
  <c r="E52" i="100"/>
  <c r="L52" i="100"/>
  <c r="H52" i="100"/>
  <c r="M58" i="100"/>
  <c r="G17" i="100"/>
  <c r="M43" i="100"/>
  <c r="G59" i="100"/>
  <c r="M59" i="100"/>
  <c r="L38" i="97"/>
  <c r="L43" i="97"/>
  <c r="M8" i="94"/>
  <c r="G12" i="94"/>
  <c r="G10" i="94"/>
  <c r="G11" i="94"/>
  <c r="M11" i="94"/>
  <c r="M12" i="94"/>
  <c r="G18" i="94"/>
  <c r="G19" i="94"/>
  <c r="M19" i="94"/>
  <c r="M25" i="94"/>
  <c r="M9" i="94"/>
  <c r="M10" i="94"/>
  <c r="M13" i="94"/>
  <c r="M14" i="94"/>
  <c r="G15" i="94"/>
  <c r="G21" i="94"/>
  <c r="M22" i="94"/>
  <c r="G24" i="94"/>
  <c r="M29" i="94"/>
  <c r="G32" i="94"/>
  <c r="G33" i="94"/>
  <c r="M17" i="94"/>
  <c r="G20" i="94"/>
  <c r="M21" i="94"/>
  <c r="G31" i="94"/>
  <c r="M31" i="94"/>
  <c r="M32" i="94"/>
  <c r="M33" i="94"/>
  <c r="G13" i="94"/>
  <c r="M20" i="94"/>
  <c r="G23" i="94"/>
  <c r="G25" i="94"/>
  <c r="F26" i="94"/>
  <c r="M30" i="94"/>
  <c r="G36" i="94"/>
  <c r="M36" i="94"/>
  <c r="G14" i="94"/>
  <c r="M15" i="94"/>
  <c r="M18" i="94"/>
  <c r="G22" i="94"/>
  <c r="M23" i="94"/>
  <c r="G29" i="94"/>
  <c r="E43" i="97"/>
  <c r="H16" i="94"/>
  <c r="I16" i="94" s="1"/>
  <c r="E16" i="94"/>
  <c r="L16" i="94"/>
  <c r="L9" i="94"/>
  <c r="E40" i="97"/>
  <c r="E20" i="94"/>
  <c r="L28" i="94"/>
  <c r="M35" i="94"/>
  <c r="M26" i="91"/>
  <c r="M45" i="91"/>
  <c r="E28" i="94"/>
  <c r="D8" i="91"/>
  <c r="L12" i="91" s="1"/>
  <c r="H9" i="91"/>
  <c r="I9" i="91" s="1"/>
  <c r="G18" i="91"/>
  <c r="H38" i="91"/>
  <c r="I38" i="91" s="1"/>
  <c r="D37" i="91"/>
  <c r="F37" i="94"/>
  <c r="H25" i="91"/>
  <c r="I25" i="91" s="1"/>
  <c r="H49" i="91"/>
  <c r="I49" i="91" s="1"/>
  <c r="G45" i="91"/>
  <c r="M56" i="91"/>
  <c r="G73" i="91"/>
  <c r="G85" i="91"/>
  <c r="D65" i="91"/>
  <c r="M79" i="91"/>
  <c r="G79" i="91"/>
  <c r="G25" i="91"/>
  <c r="M70" i="91"/>
  <c r="M38" i="91"/>
  <c r="G59" i="91"/>
  <c r="G66" i="91"/>
  <c r="E15" i="103" l="1"/>
  <c r="D24" i="103"/>
  <c r="D33" i="103"/>
  <c r="M52" i="100"/>
  <c r="M42" i="100"/>
  <c r="G43" i="100"/>
  <c r="M13" i="100"/>
  <c r="M22" i="100"/>
  <c r="M44" i="100"/>
  <c r="G21" i="100"/>
  <c r="G20" i="100"/>
  <c r="G27" i="100"/>
  <c r="G14" i="100"/>
  <c r="G56" i="100"/>
  <c r="M15" i="100"/>
  <c r="G44" i="100"/>
  <c r="G11" i="100"/>
  <c r="G26" i="100"/>
  <c r="M45" i="100"/>
  <c r="M14" i="100"/>
  <c r="M39" i="100"/>
  <c r="G10" i="100"/>
  <c r="G25" i="100"/>
  <c r="G36" i="100"/>
  <c r="M18" i="100"/>
  <c r="M53" i="100"/>
  <c r="H8" i="100"/>
  <c r="I8" i="100" s="1"/>
  <c r="M12" i="100"/>
  <c r="M36" i="100"/>
  <c r="M57" i="100"/>
  <c r="M20" i="100"/>
  <c r="M27" i="100"/>
  <c r="M16" i="100"/>
  <c r="G39" i="100"/>
  <c r="G13" i="100"/>
  <c r="M49" i="100"/>
  <c r="M11" i="100"/>
  <c r="M33" i="100"/>
  <c r="G57" i="100"/>
  <c r="G41" i="100"/>
  <c r="G12" i="100"/>
  <c r="G53" i="100"/>
  <c r="G49" i="100"/>
  <c r="M10" i="100"/>
  <c r="G33" i="100"/>
  <c r="M51" i="100"/>
  <c r="M38" i="100"/>
  <c r="G9" i="100"/>
  <c r="G45" i="100"/>
  <c r="G23" i="100"/>
  <c r="M47" i="100"/>
  <c r="M8" i="100"/>
  <c r="M31" i="100"/>
  <c r="G51" i="100"/>
  <c r="M37" i="100"/>
  <c r="M9" i="100"/>
  <c r="M56" i="100"/>
  <c r="M54" i="100"/>
  <c r="E58" i="100"/>
  <c r="L25" i="100"/>
  <c r="E48" i="100"/>
  <c r="L40" i="100"/>
  <c r="E16" i="100"/>
  <c r="L19" i="100"/>
  <c r="L53" i="100"/>
  <c r="M17" i="100"/>
  <c r="E44" i="100"/>
  <c r="L11" i="100"/>
  <c r="G24" i="100"/>
  <c r="E30" i="100"/>
  <c r="L32" i="100"/>
  <c r="E11" i="100"/>
  <c r="L22" i="100"/>
  <c r="E31" i="100"/>
  <c r="E49" i="100"/>
  <c r="M23" i="100"/>
  <c r="E21" i="100"/>
  <c r="L29" i="100"/>
  <c r="E46" i="100"/>
  <c r="L54" i="100"/>
  <c r="L27" i="100"/>
  <c r="H15" i="103"/>
  <c r="G19" i="97"/>
  <c r="G9" i="97"/>
  <c r="L49" i="91"/>
  <c r="H25" i="103"/>
  <c r="F24" i="103"/>
  <c r="M27" i="103"/>
  <c r="H27" i="103"/>
  <c r="F26" i="103"/>
  <c r="M15" i="103"/>
  <c r="L33" i="103"/>
  <c r="E33" i="103"/>
  <c r="L38" i="91"/>
  <c r="L84" i="91"/>
  <c r="L32" i="91"/>
  <c r="E38" i="91"/>
  <c r="L9" i="91"/>
  <c r="E25" i="91"/>
  <c r="E49" i="91"/>
  <c r="L25" i="91"/>
  <c r="E9" i="91"/>
  <c r="E84" i="91"/>
  <c r="L62" i="91"/>
  <c r="M26" i="94"/>
  <c r="F38" i="94"/>
  <c r="G26" i="94"/>
  <c r="E47" i="97"/>
  <c r="L47" i="97"/>
  <c r="H47" i="97"/>
  <c r="M21" i="97"/>
  <c r="M22" i="97"/>
  <c r="G11" i="97"/>
  <c r="G12" i="97"/>
  <c r="M8" i="97"/>
  <c r="M11" i="97"/>
  <c r="M12" i="97"/>
  <c r="M13" i="97"/>
  <c r="G14" i="97"/>
  <c r="M14" i="97"/>
  <c r="G20" i="97"/>
  <c r="G30" i="97"/>
  <c r="G31" i="97"/>
  <c r="G33" i="97"/>
  <c r="G34" i="97"/>
  <c r="G36" i="97"/>
  <c r="M38" i="97"/>
  <c r="M40" i="97"/>
  <c r="M41" i="97"/>
  <c r="M44" i="97"/>
  <c r="G18" i="97"/>
  <c r="G22" i="97"/>
  <c r="M31" i="97"/>
  <c r="M34" i="97"/>
  <c r="G16" i="97"/>
  <c r="M16" i="97"/>
  <c r="G17" i="97"/>
  <c r="G21" i="97"/>
  <c r="G25" i="97"/>
  <c r="G26" i="97"/>
  <c r="G27" i="97"/>
  <c r="G28" i="97"/>
  <c r="G29" i="97"/>
  <c r="G37" i="97"/>
  <c r="M37" i="97"/>
  <c r="G15" i="97"/>
  <c r="M15" i="97"/>
  <c r="M25" i="97"/>
  <c r="M26" i="97"/>
  <c r="M27" i="97"/>
  <c r="G41" i="97"/>
  <c r="G44" i="97"/>
  <c r="M39" i="97"/>
  <c r="M35" i="97"/>
  <c r="G24" i="97"/>
  <c r="G32" i="97"/>
  <c r="G13" i="97"/>
  <c r="M36" i="97"/>
  <c r="M30" i="97"/>
  <c r="M43" i="97"/>
  <c r="M46" i="97"/>
  <c r="M45" i="97"/>
  <c r="G38" i="97"/>
  <c r="G43" i="97"/>
  <c r="M20" i="97"/>
  <c r="G42" i="97"/>
  <c r="M32" i="97"/>
  <c r="G46" i="97"/>
  <c r="G10" i="97"/>
  <c r="M33" i="97"/>
  <c r="G45" i="97"/>
  <c r="G39" i="97"/>
  <c r="G35" i="97"/>
  <c r="M24" i="97"/>
  <c r="M42" i="97"/>
  <c r="G40" i="97"/>
  <c r="M10" i="97"/>
  <c r="E70" i="91"/>
  <c r="E32" i="91"/>
  <c r="G23" i="97"/>
  <c r="H8" i="97"/>
  <c r="I8" i="97" s="1"/>
  <c r="E87" i="91"/>
  <c r="H87" i="91"/>
  <c r="L41" i="91"/>
  <c r="L59" i="91"/>
  <c r="M47" i="97"/>
  <c r="E23" i="97"/>
  <c r="L23" i="97"/>
  <c r="H23" i="97"/>
  <c r="I23" i="97" s="1"/>
  <c r="E62" i="91"/>
  <c r="M9" i="97"/>
  <c r="H26" i="94"/>
  <c r="I26" i="94" s="1"/>
  <c r="E26" i="94"/>
  <c r="L26" i="94"/>
  <c r="D38" i="94"/>
  <c r="H37" i="94"/>
  <c r="I37" i="94" s="1"/>
  <c r="E37" i="94"/>
  <c r="L37" i="94"/>
  <c r="M37" i="94"/>
  <c r="G37" i="94"/>
  <c r="H65" i="91"/>
  <c r="I65" i="91" s="1"/>
  <c r="E65" i="91"/>
  <c r="L65" i="91"/>
  <c r="E37" i="91"/>
  <c r="L37" i="91"/>
  <c r="H37" i="91"/>
  <c r="I37" i="91" s="1"/>
  <c r="E11" i="91"/>
  <c r="E14" i="91"/>
  <c r="E15" i="91"/>
  <c r="L8" i="91"/>
  <c r="L11" i="91"/>
  <c r="L14" i="91"/>
  <c r="L15" i="91"/>
  <c r="H8" i="91"/>
  <c r="I8" i="91" s="1"/>
  <c r="L17" i="91"/>
  <c r="E19" i="91"/>
  <c r="L19" i="91"/>
  <c r="E21" i="91"/>
  <c r="L21" i="91"/>
  <c r="L30" i="91"/>
  <c r="L31" i="91"/>
  <c r="E17" i="91"/>
  <c r="E23" i="91"/>
  <c r="L23" i="91"/>
  <c r="E30" i="91"/>
  <c r="E34" i="91"/>
  <c r="L34" i="91"/>
  <c r="E36" i="91"/>
  <c r="L36" i="91"/>
  <c r="E54" i="91"/>
  <c r="L54" i="91"/>
  <c r="L55" i="91"/>
  <c r="E77" i="91"/>
  <c r="E78" i="91"/>
  <c r="E81" i="91"/>
  <c r="E85" i="91"/>
  <c r="L22" i="91"/>
  <c r="E28" i="91"/>
  <c r="L28" i="91"/>
  <c r="E29" i="91"/>
  <c r="E33" i="91"/>
  <c r="L35" i="91"/>
  <c r="E40" i="91"/>
  <c r="E43" i="91"/>
  <c r="E44" i="91"/>
  <c r="L44" i="91"/>
  <c r="E45" i="91"/>
  <c r="E50" i="91"/>
  <c r="E57" i="91"/>
  <c r="E58" i="91"/>
  <c r="E63" i="91"/>
  <c r="E67" i="91"/>
  <c r="E71" i="91"/>
  <c r="E72" i="91"/>
  <c r="L72" i="91"/>
  <c r="E73" i="91"/>
  <c r="L77" i="91"/>
  <c r="L78" i="91"/>
  <c r="L20" i="91"/>
  <c r="E27" i="91"/>
  <c r="L27" i="91"/>
  <c r="E31" i="91"/>
  <c r="L39" i="91"/>
  <c r="L40" i="91"/>
  <c r="L42" i="91"/>
  <c r="L43" i="91"/>
  <c r="E46" i="91"/>
  <c r="E51" i="91"/>
  <c r="E52" i="91"/>
  <c r="L56" i="91"/>
  <c r="L57" i="91"/>
  <c r="L58" i="91"/>
  <c r="E68" i="91"/>
  <c r="E69" i="91"/>
  <c r="L71" i="91"/>
  <c r="E74" i="91"/>
  <c r="E83" i="91"/>
  <c r="E24" i="91"/>
  <c r="L24" i="91"/>
  <c r="L45" i="91"/>
  <c r="L46" i="91"/>
  <c r="E48" i="91"/>
  <c r="L48" i="91"/>
  <c r="L50" i="91"/>
  <c r="L51" i="91"/>
  <c r="L52" i="91"/>
  <c r="E55" i="91"/>
  <c r="E61" i="91"/>
  <c r="L61" i="91"/>
  <c r="L63" i="91"/>
  <c r="L67" i="91"/>
  <c r="L68" i="91"/>
  <c r="L69" i="91"/>
  <c r="L73" i="91"/>
  <c r="L74" i="91"/>
  <c r="L75" i="91"/>
  <c r="L81" i="91"/>
  <c r="L82" i="91"/>
  <c r="L83" i="91"/>
  <c r="L85" i="91"/>
  <c r="L89" i="91"/>
  <c r="E75" i="91"/>
  <c r="E82" i="91"/>
  <c r="E56" i="91"/>
  <c r="L76" i="91"/>
  <c r="L86" i="91"/>
  <c r="E39" i="91"/>
  <c r="E66" i="91"/>
  <c r="L13" i="91"/>
  <c r="E18" i="91"/>
  <c r="L47" i="91"/>
  <c r="L53" i="91"/>
  <c r="E35" i="91"/>
  <c r="L64" i="91"/>
  <c r="L60" i="91"/>
  <c r="E64" i="91"/>
  <c r="E53" i="91"/>
  <c r="E13" i="91"/>
  <c r="L66" i="91"/>
  <c r="L10" i="91"/>
  <c r="L33" i="91"/>
  <c r="E16" i="91"/>
  <c r="E79" i="91"/>
  <c r="E42" i="91"/>
  <c r="E80" i="91"/>
  <c r="E20" i="91"/>
  <c r="E10" i="91"/>
  <c r="L80" i="91"/>
  <c r="L16" i="91"/>
  <c r="L79" i="91"/>
  <c r="L26" i="91"/>
  <c r="E86" i="91"/>
  <c r="E76" i="91"/>
  <c r="E60" i="91"/>
  <c r="E47" i="91"/>
  <c r="E26" i="91"/>
  <c r="E22" i="91"/>
  <c r="L29" i="91"/>
  <c r="L18" i="91"/>
  <c r="L70" i="91"/>
  <c r="E59" i="91"/>
  <c r="G47" i="97"/>
  <c r="E12" i="91"/>
  <c r="E41" i="91"/>
  <c r="M19" i="97"/>
  <c r="L24" i="103" l="1"/>
  <c r="E24" i="103"/>
  <c r="H26" i="103"/>
  <c r="M26" i="103"/>
  <c r="F33" i="103"/>
  <c r="M24" i="103"/>
  <c r="H24" i="103"/>
  <c r="E38" i="94"/>
  <c r="L38" i="94"/>
  <c r="H38" i="94"/>
  <c r="G38" i="94"/>
  <c r="M38" i="94"/>
  <c r="M33" i="103" l="1"/>
  <c r="H33" i="103"/>
  <c r="B130" i="51"/>
  <c r="B118" i="51"/>
  <c r="B137" i="51"/>
  <c r="B135" i="51"/>
  <c r="B132" i="51"/>
  <c r="B116" i="51"/>
  <c r="B125" i="51"/>
  <c r="B122" i="51"/>
  <c r="B128" i="51"/>
  <c r="B120" i="51"/>
  <c r="B114" i="51"/>
  <c r="B112" i="51"/>
  <c r="B110" i="51"/>
  <c r="B107" i="51" s="1"/>
  <c r="B108" i="51"/>
  <c r="F107" i="51"/>
  <c r="F11" i="51"/>
  <c r="B61" i="51"/>
  <c r="B106" i="51" l="1"/>
  <c r="D67" i="28" l="1"/>
  <c r="D66" i="28" s="1"/>
  <c r="B67" i="28"/>
  <c r="B66" i="28" s="1"/>
  <c r="D64" i="28"/>
  <c r="D63" i="28" s="1"/>
  <c r="B64" i="28"/>
  <c r="B63" i="28" s="1"/>
  <c r="D55" i="69"/>
  <c r="D54" i="69" s="1"/>
  <c r="D53" i="69" s="1"/>
  <c r="B56" i="69"/>
  <c r="B55" i="69" s="1"/>
  <c r="B54" i="69" s="1"/>
  <c r="B53" i="69" s="1"/>
  <c r="D62" i="28" l="1"/>
  <c r="B62" i="28"/>
  <c r="B46" i="2"/>
  <c r="B44" i="2" l="1"/>
  <c r="B43" i="2" s="1"/>
  <c r="B40" i="2"/>
  <c r="B44" i="46"/>
  <c r="B43" i="46" l="1"/>
  <c r="B32" i="30" l="1"/>
  <c r="D18" i="53" l="1"/>
  <c r="D22" i="53"/>
  <c r="C41" i="52"/>
  <c r="H38" i="81" l="1"/>
  <c r="D50" i="84"/>
  <c r="D49" i="84" s="1"/>
  <c r="D105" i="80"/>
  <c r="G43" i="81" l="1"/>
  <c r="H45" i="81"/>
  <c r="D16" i="84"/>
  <c r="D88" i="80"/>
  <c r="D102" i="80"/>
  <c r="D23" i="85" l="1"/>
  <c r="D133" i="75"/>
  <c r="H18" i="81"/>
  <c r="D39" i="84"/>
  <c r="E13" i="41"/>
  <c r="D83" i="80"/>
  <c r="F15" i="81"/>
  <c r="D66" i="80"/>
  <c r="D47" i="80"/>
  <c r="D26" i="80"/>
  <c r="O25" i="68" l="1"/>
  <c r="D37" i="84" l="1"/>
  <c r="D30" i="84" s="1"/>
  <c r="B49" i="84"/>
  <c r="A49" i="84"/>
  <c r="D43" i="84"/>
  <c r="B43" i="84"/>
  <c r="A43" i="84"/>
  <c r="D40" i="84"/>
  <c r="B40" i="84"/>
  <c r="A40" i="84"/>
  <c r="B30" i="84"/>
  <c r="A30" i="84"/>
  <c r="D29" i="84" l="1"/>
  <c r="D28" i="84" s="1"/>
  <c r="A29" i="84"/>
  <c r="A28" i="84" s="1"/>
  <c r="B29" i="84"/>
  <c r="B28" i="84" s="1"/>
  <c r="A19" i="88" l="1"/>
  <c r="B19" i="88"/>
  <c r="D7" i="88"/>
  <c r="D6" i="88" s="1"/>
  <c r="D19" i="88" s="1"/>
  <c r="D32" i="85" l="1"/>
  <c r="D223" i="75" l="1"/>
  <c r="D220" i="75"/>
  <c r="D217" i="75"/>
  <c r="D216" i="75" l="1"/>
  <c r="E52" i="68"/>
  <c r="C52" i="68"/>
  <c r="E50" i="68"/>
  <c r="C50" i="68"/>
  <c r="E49" i="68" l="1"/>
  <c r="C49" i="68"/>
  <c r="G30" i="85" l="1"/>
  <c r="D25" i="85"/>
  <c r="D21" i="85"/>
  <c r="G20" i="85"/>
  <c r="G19" i="85"/>
  <c r="G18" i="85"/>
  <c r="G17" i="85"/>
  <c r="G16" i="85"/>
  <c r="D16" i="85"/>
  <c r="G15" i="85"/>
  <c r="G14" i="85"/>
  <c r="G13" i="85"/>
  <c r="G12" i="85"/>
  <c r="G11" i="85"/>
  <c r="D11" i="85"/>
  <c r="G10" i="85"/>
  <c r="G9" i="85"/>
  <c r="D9" i="85"/>
  <c r="D8" i="85" l="1"/>
  <c r="D7" i="85" s="1"/>
  <c r="D42" i="81" l="1"/>
  <c r="H36" i="81"/>
  <c r="H16" i="81"/>
  <c r="H8" i="81" s="1"/>
  <c r="B8" i="81"/>
  <c r="I8" i="81"/>
  <c r="G8" i="81"/>
  <c r="F8" i="81"/>
  <c r="E8" i="81"/>
  <c r="D17" i="81"/>
  <c r="D18" i="81"/>
  <c r="D37" i="81"/>
  <c r="H49" i="80" l="1"/>
  <c r="B49" i="80"/>
  <c r="D229" i="75" l="1"/>
  <c r="H228" i="75" l="1"/>
  <c r="H227" i="75"/>
  <c r="H247" i="75"/>
  <c r="H246" i="75"/>
  <c r="H245" i="75"/>
  <c r="H244" i="75"/>
  <c r="H243" i="75"/>
  <c r="H242" i="75"/>
  <c r="D241" i="75"/>
  <c r="H240" i="75"/>
  <c r="H239" i="75"/>
  <c r="H238" i="75"/>
  <c r="H237" i="75"/>
  <c r="H236" i="75"/>
  <c r="H235" i="75"/>
  <c r="D234" i="75"/>
  <c r="H233" i="75"/>
  <c r="H232" i="75"/>
  <c r="H231" i="75"/>
  <c r="H230" i="75"/>
  <c r="D16" i="43"/>
  <c r="D11" i="43"/>
  <c r="D136" i="75"/>
  <c r="D183" i="75"/>
  <c r="D193" i="75" l="1"/>
  <c r="H196" i="75"/>
  <c r="D62" i="75"/>
  <c r="H225" i="75" l="1"/>
  <c r="H224" i="75"/>
  <c r="H204" i="75"/>
  <c r="H203" i="75"/>
  <c r="H188" i="75"/>
  <c r="H187" i="75"/>
  <c r="D186" i="75"/>
  <c r="D165" i="75"/>
  <c r="H84" i="75"/>
  <c r="D66" i="75"/>
  <c r="D61" i="75" s="1"/>
  <c r="D36" i="75"/>
  <c r="D31" i="75"/>
  <c r="D23" i="75"/>
  <c r="B23" i="75"/>
  <c r="D22" i="75"/>
  <c r="B22" i="75"/>
  <c r="D21" i="75" l="1"/>
  <c r="D19" i="75" s="1"/>
  <c r="D30" i="75"/>
  <c r="B10" i="84"/>
  <c r="B9" i="84" s="1"/>
  <c r="B8" i="84" s="1"/>
  <c r="D10" i="84"/>
  <c r="D9" i="84" s="1"/>
  <c r="D8" i="84" s="1"/>
  <c r="B15" i="84"/>
  <c r="B14" i="84" s="1"/>
  <c r="B13" i="84" s="1"/>
  <c r="D15" i="84"/>
  <c r="D14" i="84" s="1"/>
  <c r="D13" i="84" s="1"/>
  <c r="B20" i="84"/>
  <c r="B19" i="84" s="1"/>
  <c r="B18" i="84" s="1"/>
  <c r="D20" i="84"/>
  <c r="D19" i="84" s="1"/>
  <c r="D18" i="84" s="1"/>
  <c r="B25" i="84"/>
  <c r="B24" i="84" s="1"/>
  <c r="B23" i="84" s="1"/>
  <c r="D25" i="84"/>
  <c r="D24" i="84" s="1"/>
  <c r="D23" i="84" s="1"/>
  <c r="D7" i="84" l="1"/>
  <c r="B7" i="84"/>
  <c r="N69" i="83"/>
  <c r="L69" i="83"/>
  <c r="N68" i="83"/>
  <c r="L68" i="83"/>
  <c r="N67" i="83"/>
  <c r="L67" i="83"/>
  <c r="N66" i="83"/>
  <c r="L66" i="83"/>
  <c r="N65" i="83"/>
  <c r="L65" i="83"/>
  <c r="N64" i="83"/>
  <c r="L64" i="83"/>
  <c r="N63" i="83"/>
  <c r="L63" i="83"/>
  <c r="N62" i="83"/>
  <c r="L62" i="83"/>
  <c r="N61" i="83"/>
  <c r="L61" i="83"/>
  <c r="N60" i="83"/>
  <c r="L60" i="83"/>
  <c r="N59" i="83"/>
  <c r="L59" i="83"/>
  <c r="N58" i="83"/>
  <c r="L58" i="83"/>
  <c r="N57" i="83"/>
  <c r="L57" i="83"/>
  <c r="N56" i="83"/>
  <c r="L56" i="83"/>
  <c r="E55" i="83"/>
  <c r="E54" i="83" s="1"/>
  <c r="B55" i="83"/>
  <c r="N55" i="83" s="1"/>
  <c r="E52" i="83"/>
  <c r="E43" i="83"/>
  <c r="E32" i="83"/>
  <c r="E31" i="83" s="1"/>
  <c r="B32" i="83"/>
  <c r="E26" i="83"/>
  <c r="L25" i="83"/>
  <c r="E25" i="83"/>
  <c r="N25" i="83" s="1"/>
  <c r="N24" i="83"/>
  <c r="L24" i="83"/>
  <c r="N23" i="83"/>
  <c r="L23" i="83"/>
  <c r="L22" i="83"/>
  <c r="E22" i="83"/>
  <c r="N22" i="83" s="1"/>
  <c r="L21" i="83"/>
  <c r="E21" i="83"/>
  <c r="N21" i="83" s="1"/>
  <c r="L20" i="83"/>
  <c r="E20" i="83"/>
  <c r="N20" i="83" s="1"/>
  <c r="L19" i="83"/>
  <c r="E19" i="83"/>
  <c r="N19" i="83" s="1"/>
  <c r="L18" i="83"/>
  <c r="E18" i="83"/>
  <c r="N18" i="83" s="1"/>
  <c r="L17" i="83"/>
  <c r="E17" i="83"/>
  <c r="N17" i="83" s="1"/>
  <c r="L16" i="83"/>
  <c r="E16" i="83"/>
  <c r="N16" i="83" s="1"/>
  <c r="L15" i="83"/>
  <c r="E15" i="83"/>
  <c r="N15" i="83" s="1"/>
  <c r="L14" i="83"/>
  <c r="E14" i="83"/>
  <c r="N14" i="83" s="1"/>
  <c r="L13" i="83"/>
  <c r="E13" i="83"/>
  <c r="N13" i="83" s="1"/>
  <c r="L12" i="83"/>
  <c r="E12" i="83"/>
  <c r="L11" i="83" l="1"/>
  <c r="L55" i="83"/>
  <c r="M55" i="83" s="1"/>
  <c r="E11" i="83"/>
  <c r="E10" i="83" s="1"/>
  <c r="E9" i="83" s="1"/>
  <c r="E42" i="83"/>
  <c r="N11" i="83"/>
  <c r="N12" i="83"/>
  <c r="H213" i="75" l="1"/>
  <c r="H212" i="75"/>
  <c r="D211" i="75"/>
  <c r="H210" i="75"/>
  <c r="H209" i="75"/>
  <c r="D208" i="75"/>
  <c r="D197" i="75"/>
  <c r="D192" i="75" s="1"/>
  <c r="H207" i="75"/>
  <c r="H206" i="75"/>
  <c r="D205" i="75"/>
  <c r="D189" i="75"/>
  <c r="H191" i="75"/>
  <c r="H190" i="75"/>
  <c r="H185" i="75"/>
  <c r="H184" i="75"/>
  <c r="D173" i="75" l="1"/>
  <c r="D169" i="75"/>
  <c r="H214" i="75"/>
  <c r="H222" i="75"/>
  <c r="H221" i="75"/>
  <c r="H219" i="75"/>
  <c r="H218" i="75"/>
  <c r="H202" i="75"/>
  <c r="H201" i="75"/>
  <c r="D200" i="75"/>
  <c r="H199" i="75"/>
  <c r="H198" i="75"/>
  <c r="H195" i="75"/>
  <c r="H194" i="75"/>
  <c r="H182" i="75"/>
  <c r="H181" i="75"/>
  <c r="D180" i="75"/>
  <c r="H179" i="75"/>
  <c r="H178" i="75"/>
  <c r="D177" i="75"/>
  <c r="H176" i="75"/>
  <c r="H175" i="75"/>
  <c r="H174" i="75"/>
  <c r="H172" i="75"/>
  <c r="H171" i="75"/>
  <c r="H167" i="75"/>
  <c r="H166" i="75"/>
  <c r="D168" i="75" l="1"/>
  <c r="D163" i="75" s="1"/>
  <c r="D161" i="75" s="1"/>
  <c r="D129" i="80"/>
  <c r="F129" i="80"/>
  <c r="H136" i="80"/>
  <c r="B136" i="80"/>
  <c r="F122" i="80"/>
  <c r="D122" i="80"/>
  <c r="H128" i="80"/>
  <c r="B128" i="80"/>
  <c r="F116" i="80"/>
  <c r="D116" i="80"/>
  <c r="H121" i="80"/>
  <c r="B121" i="80"/>
  <c r="B122" i="80"/>
  <c r="F109" i="80"/>
  <c r="D109" i="80"/>
  <c r="H114" i="80"/>
  <c r="B114" i="80"/>
  <c r="D100" i="80"/>
  <c r="F100" i="80"/>
  <c r="F91" i="80"/>
  <c r="D91" i="80"/>
  <c r="H105" i="80"/>
  <c r="B105" i="80"/>
  <c r="H98" i="80"/>
  <c r="B98" i="80"/>
  <c r="F85" i="80"/>
  <c r="H90" i="80"/>
  <c r="B90" i="80"/>
  <c r="F77" i="80"/>
  <c r="H77" i="80" s="1"/>
  <c r="I77" i="80" s="1"/>
  <c r="B84" i="80"/>
  <c r="D65" i="80"/>
  <c r="F65" i="80"/>
  <c r="H70" i="80"/>
  <c r="B70" i="80"/>
  <c r="D35" i="80"/>
  <c r="F35" i="80"/>
  <c r="H41" i="80"/>
  <c r="B41" i="80"/>
  <c r="F25" i="80"/>
  <c r="D25" i="80"/>
  <c r="B33" i="80"/>
  <c r="K33" i="80"/>
  <c r="H33" i="80"/>
  <c r="F13" i="80"/>
  <c r="H17" i="80"/>
  <c r="B17" i="80"/>
  <c r="K17" i="80"/>
  <c r="H109" i="80" l="1"/>
  <c r="H116" i="80"/>
  <c r="I116" i="80" s="1"/>
  <c r="H122" i="80"/>
  <c r="I122" i="80" s="1"/>
  <c r="D45" i="81" l="1"/>
  <c r="D44" i="81" s="1"/>
  <c r="I44" i="81"/>
  <c r="H44" i="81"/>
  <c r="G44" i="81"/>
  <c r="F44" i="81"/>
  <c r="E44" i="81"/>
  <c r="B44" i="81"/>
  <c r="D43" i="81"/>
  <c r="D41" i="81"/>
  <c r="H40" i="81"/>
  <c r="G40" i="81"/>
  <c r="F40" i="81"/>
  <c r="E40" i="81"/>
  <c r="B40" i="81"/>
  <c r="D39" i="81"/>
  <c r="D38" i="81"/>
  <c r="I36" i="81"/>
  <c r="G36" i="81"/>
  <c r="F36" i="81"/>
  <c r="E36" i="81"/>
  <c r="B36" i="81"/>
  <c r="D35" i="81"/>
  <c r="D34" i="81"/>
  <c r="D33" i="81"/>
  <c r="I32" i="81"/>
  <c r="H32" i="81"/>
  <c r="G32" i="81"/>
  <c r="F32" i="81"/>
  <c r="E32" i="81"/>
  <c r="B32" i="81"/>
  <c r="D31" i="81"/>
  <c r="D30" i="81"/>
  <c r="D29" i="81" s="1"/>
  <c r="I29" i="81"/>
  <c r="H29" i="81"/>
  <c r="G29" i="81"/>
  <c r="F29" i="81"/>
  <c r="E29" i="81"/>
  <c r="B29" i="81"/>
  <c r="D28" i="81"/>
  <c r="D27" i="81"/>
  <c r="D26" i="81"/>
  <c r="D25" i="81"/>
  <c r="D24" i="81"/>
  <c r="D23" i="81"/>
  <c r="I22" i="81"/>
  <c r="H22" i="81"/>
  <c r="G22" i="81"/>
  <c r="F22" i="81"/>
  <c r="E22" i="81"/>
  <c r="B22" i="81"/>
  <c r="D21" i="81"/>
  <c r="D20" i="81"/>
  <c r="I19" i="81"/>
  <c r="H19" i="81"/>
  <c r="G19" i="81"/>
  <c r="F19" i="81"/>
  <c r="E19" i="81"/>
  <c r="B19" i="81"/>
  <c r="D16" i="81"/>
  <c r="D15" i="81"/>
  <c r="D14" i="81"/>
  <c r="D13" i="81"/>
  <c r="D12" i="81"/>
  <c r="D11" i="81"/>
  <c r="D10" i="81"/>
  <c r="D9" i="81"/>
  <c r="D40" i="81" l="1"/>
  <c r="H46" i="81"/>
  <c r="D36" i="81"/>
  <c r="D8" i="81"/>
  <c r="F46" i="81"/>
  <c r="E46" i="81"/>
  <c r="I46" i="81"/>
  <c r="D32" i="81"/>
  <c r="G46" i="81"/>
  <c r="B46" i="81"/>
  <c r="D19" i="81"/>
  <c r="D22" i="81"/>
  <c r="D46" i="81" l="1"/>
  <c r="B37" i="30" l="1"/>
  <c r="E16" i="41" l="1"/>
  <c r="E15" i="41" s="1"/>
  <c r="E30" i="41"/>
  <c r="C25" i="68" l="1"/>
  <c r="D43" i="28" l="1"/>
  <c r="D42" i="28" s="1"/>
  <c r="B43" i="28"/>
  <c r="B42" i="28" s="1"/>
  <c r="B35" i="46"/>
  <c r="E8" i="10" l="1"/>
  <c r="E8" i="77" l="1"/>
  <c r="C8" i="77"/>
  <c r="G10" i="43" l="1"/>
  <c r="G12" i="43"/>
  <c r="G13" i="43"/>
  <c r="G14" i="43"/>
  <c r="G15" i="43"/>
  <c r="G17" i="43"/>
  <c r="G18" i="43"/>
  <c r="G19" i="43"/>
  <c r="G20" i="43"/>
  <c r="G21" i="43"/>
  <c r="G22" i="43"/>
  <c r="G23" i="43"/>
  <c r="G24" i="43"/>
  <c r="G9" i="43"/>
  <c r="D132" i="75" l="1"/>
  <c r="D114" i="75"/>
  <c r="H115" i="75"/>
  <c r="H46" i="80" l="1"/>
  <c r="B46" i="80"/>
  <c r="B24" i="52" l="1"/>
  <c r="F51" i="80"/>
  <c r="F42" i="80"/>
  <c r="H159" i="75" l="1"/>
  <c r="H158" i="75"/>
  <c r="H130" i="75"/>
  <c r="H129" i="75"/>
  <c r="H128" i="75"/>
  <c r="H127" i="75"/>
  <c r="H125" i="75"/>
  <c r="H124" i="75"/>
  <c r="H123" i="75"/>
  <c r="H122" i="75"/>
  <c r="H121" i="75"/>
  <c r="H120" i="75"/>
  <c r="H118" i="75"/>
  <c r="H117" i="75"/>
  <c r="H116" i="75"/>
  <c r="H110" i="75"/>
  <c r="H109" i="75"/>
  <c r="H108" i="75"/>
  <c r="H107" i="75"/>
  <c r="H106" i="75"/>
  <c r="H104" i="75"/>
  <c r="H100" i="75"/>
  <c r="H99" i="75"/>
  <c r="H98" i="75"/>
  <c r="H97" i="75"/>
  <c r="H96" i="75"/>
  <c r="H91" i="75"/>
  <c r="H90" i="75"/>
  <c r="H88" i="75"/>
  <c r="H83" i="75"/>
  <c r="H82" i="75"/>
  <c r="H80" i="75"/>
  <c r="H79" i="75"/>
  <c r="H74" i="75"/>
  <c r="H73" i="75"/>
  <c r="H69" i="75"/>
  <c r="H68" i="75"/>
  <c r="H67" i="75"/>
  <c r="H65" i="75"/>
  <c r="H64" i="75"/>
  <c r="H63" i="75"/>
  <c r="H60" i="75"/>
  <c r="H59" i="75"/>
  <c r="H57" i="75"/>
  <c r="H53" i="75"/>
  <c r="H52" i="75"/>
  <c r="H51" i="75"/>
  <c r="H50" i="75"/>
  <c r="H46" i="75"/>
  <c r="H45" i="75"/>
  <c r="H43" i="75"/>
  <c r="H40" i="75"/>
  <c r="H39" i="75"/>
  <c r="H38" i="75"/>
  <c r="H37" i="75"/>
  <c r="H35" i="75"/>
  <c r="H34" i="75"/>
  <c r="H33" i="75"/>
  <c r="H32" i="75"/>
  <c r="H28" i="75"/>
  <c r="H29" i="75"/>
  <c r="H27" i="75"/>
  <c r="H23" i="75"/>
  <c r="H22" i="75"/>
  <c r="H20" i="75"/>
  <c r="H17" i="75"/>
  <c r="B12" i="51"/>
  <c r="D72" i="75"/>
  <c r="D71" i="75" s="1"/>
  <c r="E29" i="41"/>
  <c r="B19" i="20"/>
  <c r="B18" i="20" s="1"/>
  <c r="B17" i="20" s="1"/>
  <c r="B16" i="20" s="1"/>
  <c r="B12" i="20"/>
  <c r="B11" i="20" s="1"/>
  <c r="B10" i="20" s="1"/>
  <c r="B9" i="20" s="1"/>
  <c r="B8" i="20" s="1"/>
  <c r="B58" i="28"/>
  <c r="B57" i="28" s="1"/>
  <c r="B56" i="28" s="1"/>
  <c r="B54" i="28"/>
  <c r="B53" i="28" s="1"/>
  <c r="B51" i="28"/>
  <c r="B50" i="28" s="1"/>
  <c r="B46" i="28"/>
  <c r="B45" i="28" s="1"/>
  <c r="B39" i="28"/>
  <c r="B38" i="28" s="1"/>
  <c r="B37" i="28" s="1"/>
  <c r="B33" i="28"/>
  <c r="B32" i="28" s="1"/>
  <c r="B30" i="28"/>
  <c r="B29" i="28" s="1"/>
  <c r="B27" i="28"/>
  <c r="B26" i="28" s="1"/>
  <c r="B21" i="28"/>
  <c r="B20" i="28" s="1"/>
  <c r="B19" i="28" s="1"/>
  <c r="B16" i="28"/>
  <c r="B15" i="28" s="1"/>
  <c r="B14" i="28" s="1"/>
  <c r="B11" i="28"/>
  <c r="B10" i="28" s="1"/>
  <c r="B9" i="28" s="1"/>
  <c r="B51" i="69"/>
  <c r="B50" i="69" s="1"/>
  <c r="B49" i="69" s="1"/>
  <c r="B48" i="69" s="1"/>
  <c r="B46" i="69"/>
  <c r="B45" i="69" s="1"/>
  <c r="B43" i="69"/>
  <c r="B41" i="69"/>
  <c r="B39" i="69"/>
  <c r="B38" i="69" s="1"/>
  <c r="B35" i="69"/>
  <c r="B34" i="69" s="1"/>
  <c r="B32" i="69"/>
  <c r="B31" i="69"/>
  <c r="B28" i="69"/>
  <c r="B26" i="69"/>
  <c r="B25" i="69" s="1"/>
  <c r="B23" i="69"/>
  <c r="B22" i="69" s="1"/>
  <c r="B20" i="69"/>
  <c r="B17" i="69"/>
  <c r="B15" i="69"/>
  <c r="B13" i="69"/>
  <c r="B11" i="69"/>
  <c r="B24" i="17"/>
  <c r="B20" i="17"/>
  <c r="B17" i="17"/>
  <c r="B10" i="17"/>
  <c r="B9" i="17" s="1"/>
  <c r="B8" i="17" s="1"/>
  <c r="B7" i="17" s="1"/>
  <c r="F139" i="80"/>
  <c r="F138" i="80" s="1"/>
  <c r="F108" i="80"/>
  <c r="F99" i="80"/>
  <c r="F73" i="80"/>
  <c r="F71" i="80"/>
  <c r="F62" i="80"/>
  <c r="F61" i="80" s="1"/>
  <c r="F56" i="80"/>
  <c r="F50" i="80" s="1"/>
  <c r="F34" i="80"/>
  <c r="F23" i="80"/>
  <c r="F20" i="80"/>
  <c r="F18" i="80"/>
  <c r="F10" i="80"/>
  <c r="F9" i="80" s="1"/>
  <c r="I16" i="53"/>
  <c r="E22" i="53"/>
  <c r="C22" i="53"/>
  <c r="C23" i="53" s="1"/>
  <c r="B22" i="53"/>
  <c r="B23" i="53" s="1"/>
  <c r="E18" i="53"/>
  <c r="D23" i="53"/>
  <c r="C18" i="53"/>
  <c r="B18" i="53"/>
  <c r="E49" i="28"/>
  <c r="E36" i="28"/>
  <c r="F36" i="28" s="1"/>
  <c r="E25" i="28"/>
  <c r="F25" i="28" s="1"/>
  <c r="E8" i="28"/>
  <c r="F8" i="28" s="1"/>
  <c r="E7" i="28"/>
  <c r="F7" i="28" s="1"/>
  <c r="E48" i="69"/>
  <c r="E9" i="1"/>
  <c r="D25" i="68"/>
  <c r="F171" i="80"/>
  <c r="D171" i="80"/>
  <c r="F170" i="80"/>
  <c r="D170" i="80"/>
  <c r="F169" i="80"/>
  <c r="D169" i="80"/>
  <c r="F168" i="80"/>
  <c r="D168" i="80"/>
  <c r="F167" i="80"/>
  <c r="D167" i="80"/>
  <c r="F166" i="80"/>
  <c r="F172" i="80" s="1"/>
  <c r="D166" i="80"/>
  <c r="D172" i="80" s="1"/>
  <c r="F164" i="80"/>
  <c r="D164" i="80"/>
  <c r="F163" i="80"/>
  <c r="D163" i="80"/>
  <c r="F162" i="80"/>
  <c r="D162" i="80"/>
  <c r="F161" i="80"/>
  <c r="D161" i="80"/>
  <c r="F160" i="80"/>
  <c r="D160" i="80"/>
  <c r="F159" i="80"/>
  <c r="F165" i="80" s="1"/>
  <c r="D159" i="80"/>
  <c r="D165" i="80" s="1"/>
  <c r="F157" i="80"/>
  <c r="D157" i="80"/>
  <c r="F156" i="80"/>
  <c r="D156" i="80"/>
  <c r="F155" i="80"/>
  <c r="D155" i="80"/>
  <c r="F154" i="80"/>
  <c r="D154" i="80"/>
  <c r="F153" i="80"/>
  <c r="D153" i="80"/>
  <c r="F152" i="80"/>
  <c r="F158" i="80" s="1"/>
  <c r="D152" i="80"/>
  <c r="D158" i="80" s="1"/>
  <c r="K148" i="80"/>
  <c r="A145" i="80"/>
  <c r="B145" i="80" s="1"/>
  <c r="K144" i="80"/>
  <c r="B144" i="80"/>
  <c r="K143" i="80"/>
  <c r="H143" i="80"/>
  <c r="B143" i="80"/>
  <c r="K142" i="80"/>
  <c r="H142" i="80"/>
  <c r="B142" i="80"/>
  <c r="K141" i="80"/>
  <c r="H141" i="80"/>
  <c r="I141" i="80" s="1"/>
  <c r="B141" i="80"/>
  <c r="K140" i="80"/>
  <c r="H140" i="80"/>
  <c r="I140" i="80" s="1"/>
  <c r="B140" i="80"/>
  <c r="K139" i="80"/>
  <c r="D139" i="80"/>
  <c r="D138" i="80" s="1"/>
  <c r="D137" i="80" s="1"/>
  <c r="D26" i="52" s="1"/>
  <c r="F21" i="53" s="1"/>
  <c r="B139" i="80"/>
  <c r="K138" i="80"/>
  <c r="B138" i="80"/>
  <c r="K137" i="80"/>
  <c r="B137" i="80"/>
  <c r="K135" i="80"/>
  <c r="H135" i="80"/>
  <c r="B135" i="80"/>
  <c r="K134" i="80"/>
  <c r="H134" i="80"/>
  <c r="B134" i="80"/>
  <c r="K133" i="80"/>
  <c r="H133" i="80"/>
  <c r="B133" i="80"/>
  <c r="K132" i="80"/>
  <c r="H132" i="80"/>
  <c r="I132" i="80" s="1"/>
  <c r="B132" i="80"/>
  <c r="K131" i="80"/>
  <c r="H131" i="80"/>
  <c r="I131" i="80" s="1"/>
  <c r="B131" i="80"/>
  <c r="K130" i="80"/>
  <c r="H130" i="80"/>
  <c r="I130" i="80" s="1"/>
  <c r="B130" i="80"/>
  <c r="K129" i="80"/>
  <c r="B129" i="80"/>
  <c r="K127" i="80"/>
  <c r="H127" i="80"/>
  <c r="B127" i="80"/>
  <c r="K126" i="80"/>
  <c r="H126" i="80"/>
  <c r="I126" i="80" s="1"/>
  <c r="B126" i="80"/>
  <c r="K125" i="80"/>
  <c r="H125" i="80"/>
  <c r="I125" i="80" s="1"/>
  <c r="B125" i="80"/>
  <c r="K124" i="80"/>
  <c r="H124" i="80"/>
  <c r="I124" i="80" s="1"/>
  <c r="B124" i="80"/>
  <c r="K123" i="80"/>
  <c r="H123" i="80"/>
  <c r="I123" i="80" s="1"/>
  <c r="B123" i="80"/>
  <c r="K122" i="80"/>
  <c r="K120" i="80"/>
  <c r="H120" i="80"/>
  <c r="I120" i="80" s="1"/>
  <c r="B120" i="80"/>
  <c r="K119" i="80"/>
  <c r="H119" i="80"/>
  <c r="B119" i="80"/>
  <c r="K118" i="80"/>
  <c r="H118" i="80"/>
  <c r="B118" i="80"/>
  <c r="K117" i="80"/>
  <c r="H117" i="80"/>
  <c r="B117" i="80"/>
  <c r="K116" i="80"/>
  <c r="B116" i="80"/>
  <c r="K115" i="80"/>
  <c r="B115" i="80"/>
  <c r="K113" i="80"/>
  <c r="H113" i="80"/>
  <c r="I113" i="80" s="1"/>
  <c r="B113" i="80"/>
  <c r="K112" i="80"/>
  <c r="H112" i="80"/>
  <c r="I112" i="80" s="1"/>
  <c r="B112" i="80"/>
  <c r="K111" i="80"/>
  <c r="H111" i="80"/>
  <c r="I111" i="80" s="1"/>
  <c r="B111" i="80"/>
  <c r="K110" i="80"/>
  <c r="H110" i="80"/>
  <c r="I110" i="80" s="1"/>
  <c r="B110" i="80"/>
  <c r="K109" i="80"/>
  <c r="B109" i="80"/>
  <c r="K108" i="80"/>
  <c r="B108" i="80"/>
  <c r="K107" i="80"/>
  <c r="B107" i="80"/>
  <c r="K106" i="80"/>
  <c r="B106" i="80"/>
  <c r="K104" i="80"/>
  <c r="H104" i="80"/>
  <c r="I104" i="80" s="1"/>
  <c r="B104" i="80"/>
  <c r="K103" i="80"/>
  <c r="H103" i="80"/>
  <c r="I103" i="80" s="1"/>
  <c r="B103" i="80"/>
  <c r="K102" i="80"/>
  <c r="H102" i="80"/>
  <c r="I102" i="80" s="1"/>
  <c r="B102" i="80"/>
  <c r="K101" i="80"/>
  <c r="H101" i="80"/>
  <c r="B101" i="80"/>
  <c r="K100" i="80"/>
  <c r="D99" i="80"/>
  <c r="D25" i="52" s="1"/>
  <c r="B100" i="80"/>
  <c r="K99" i="80"/>
  <c r="B99" i="80"/>
  <c r="K97" i="80"/>
  <c r="H97" i="80"/>
  <c r="B97" i="80"/>
  <c r="K96" i="80"/>
  <c r="B96" i="80"/>
  <c r="K95" i="80"/>
  <c r="H95" i="80"/>
  <c r="I95" i="80" s="1"/>
  <c r="B95" i="80"/>
  <c r="K94" i="80"/>
  <c r="H94" i="80"/>
  <c r="I94" i="80" s="1"/>
  <c r="B94" i="80"/>
  <c r="K93" i="80"/>
  <c r="H93" i="80"/>
  <c r="I93" i="80" s="1"/>
  <c r="B93" i="80"/>
  <c r="K92" i="80"/>
  <c r="H92" i="80"/>
  <c r="I92" i="80" s="1"/>
  <c r="B92" i="80"/>
  <c r="K91" i="80"/>
  <c r="B91" i="80"/>
  <c r="K89" i="80"/>
  <c r="H89" i="80"/>
  <c r="B89" i="80"/>
  <c r="K88" i="80"/>
  <c r="H88" i="80"/>
  <c r="I88" i="80" s="1"/>
  <c r="B88" i="80"/>
  <c r="K87" i="80"/>
  <c r="H87" i="80"/>
  <c r="I87" i="80" s="1"/>
  <c r="B87" i="80"/>
  <c r="K86" i="80"/>
  <c r="H86" i="80"/>
  <c r="B86" i="80"/>
  <c r="K85" i="80"/>
  <c r="B85" i="80"/>
  <c r="K83" i="80"/>
  <c r="H83" i="80"/>
  <c r="I83" i="80" s="1"/>
  <c r="B83" i="80"/>
  <c r="K82" i="80"/>
  <c r="H82" i="80"/>
  <c r="I82" i="80" s="1"/>
  <c r="B82" i="80"/>
  <c r="K81" i="80"/>
  <c r="H81" i="80"/>
  <c r="I81" i="80" s="1"/>
  <c r="B81" i="80"/>
  <c r="K80" i="80"/>
  <c r="H80" i="80"/>
  <c r="I80" i="80" s="1"/>
  <c r="B80" i="80"/>
  <c r="K79" i="80"/>
  <c r="H79" i="80"/>
  <c r="I79" i="80" s="1"/>
  <c r="B79" i="80"/>
  <c r="K78" i="80"/>
  <c r="H78" i="80"/>
  <c r="I78" i="80" s="1"/>
  <c r="B78" i="80"/>
  <c r="K77" i="80"/>
  <c r="D24" i="52"/>
  <c r="B77" i="80"/>
  <c r="K76" i="80"/>
  <c r="B76" i="80"/>
  <c r="K75" i="80"/>
  <c r="B75" i="80"/>
  <c r="K74" i="80"/>
  <c r="B74" i="80"/>
  <c r="K73" i="80"/>
  <c r="H73" i="80"/>
  <c r="D73" i="80"/>
  <c r="B73" i="80"/>
  <c r="K72" i="80"/>
  <c r="H72" i="80"/>
  <c r="I72" i="80" s="1"/>
  <c r="B72" i="80"/>
  <c r="K71" i="80"/>
  <c r="D71" i="80"/>
  <c r="B71" i="80"/>
  <c r="K69" i="80"/>
  <c r="H69" i="80"/>
  <c r="I69" i="80" s="1"/>
  <c r="B69" i="80"/>
  <c r="K68" i="80"/>
  <c r="H68" i="80"/>
  <c r="I68" i="80" s="1"/>
  <c r="B68" i="80"/>
  <c r="K67" i="80"/>
  <c r="H67" i="80"/>
  <c r="B67" i="80"/>
  <c r="K66" i="80"/>
  <c r="H66" i="80"/>
  <c r="I66" i="80" s="1"/>
  <c r="B66" i="80"/>
  <c r="K65" i="80"/>
  <c r="B65" i="80"/>
  <c r="K64" i="80"/>
  <c r="B64" i="80"/>
  <c r="K63" i="80"/>
  <c r="H63" i="80"/>
  <c r="I63" i="80" s="1"/>
  <c r="B63" i="80"/>
  <c r="K62" i="80"/>
  <c r="D62" i="80"/>
  <c r="D61" i="80" s="1"/>
  <c r="D22" i="52" s="1"/>
  <c r="B62" i="80"/>
  <c r="K61" i="80"/>
  <c r="B61" i="80"/>
  <c r="K60" i="80"/>
  <c r="B60" i="80"/>
  <c r="K59" i="80"/>
  <c r="H59" i="80"/>
  <c r="B59" i="80"/>
  <c r="K58" i="80"/>
  <c r="H58" i="80"/>
  <c r="B58" i="80"/>
  <c r="K57" i="80"/>
  <c r="H57" i="80"/>
  <c r="B57" i="80"/>
  <c r="K56" i="80"/>
  <c r="D56" i="80"/>
  <c r="D50" i="80" s="1"/>
  <c r="B56" i="80"/>
  <c r="K55" i="80"/>
  <c r="H55" i="80"/>
  <c r="I55" i="80" s="1"/>
  <c r="B55" i="80"/>
  <c r="K54" i="80"/>
  <c r="H54" i="80"/>
  <c r="I54" i="80" s="1"/>
  <c r="B54" i="80"/>
  <c r="K53" i="80"/>
  <c r="H53" i="80"/>
  <c r="I53" i="80" s="1"/>
  <c r="B53" i="80"/>
  <c r="K52" i="80"/>
  <c r="H52" i="80"/>
  <c r="I52" i="80" s="1"/>
  <c r="B52" i="80"/>
  <c r="K51" i="80"/>
  <c r="H51" i="80"/>
  <c r="I51" i="80" s="1"/>
  <c r="B51" i="80"/>
  <c r="K50" i="80"/>
  <c r="B50" i="80"/>
  <c r="K48" i="80"/>
  <c r="H48" i="80"/>
  <c r="I48" i="80" s="1"/>
  <c r="B48" i="80"/>
  <c r="K47" i="80"/>
  <c r="H47" i="80"/>
  <c r="I47" i="80" s="1"/>
  <c r="B47" i="80"/>
  <c r="K45" i="80"/>
  <c r="B45" i="80"/>
  <c r="K44" i="80"/>
  <c r="H44" i="80"/>
  <c r="B44" i="80"/>
  <c r="K43" i="80"/>
  <c r="B43" i="80"/>
  <c r="K42" i="80"/>
  <c r="B42" i="80"/>
  <c r="K40" i="80"/>
  <c r="H40" i="80"/>
  <c r="I40" i="80" s="1"/>
  <c r="B40" i="80"/>
  <c r="K39" i="80"/>
  <c r="H39" i="80"/>
  <c r="I39" i="80" s="1"/>
  <c r="B39" i="80"/>
  <c r="K38" i="80"/>
  <c r="H38" i="80"/>
  <c r="I38" i="80" s="1"/>
  <c r="B38" i="80"/>
  <c r="K37" i="80"/>
  <c r="H37" i="80"/>
  <c r="I37" i="80" s="1"/>
  <c r="B37" i="80"/>
  <c r="K36" i="80"/>
  <c r="H36" i="80"/>
  <c r="I36" i="80" s="1"/>
  <c r="B36" i="80"/>
  <c r="K35" i="80"/>
  <c r="B35" i="80"/>
  <c r="K34" i="80"/>
  <c r="B34" i="80"/>
  <c r="K32" i="80"/>
  <c r="H32" i="80"/>
  <c r="I32" i="80" s="1"/>
  <c r="B32" i="80"/>
  <c r="K31" i="80"/>
  <c r="H31" i="80"/>
  <c r="I31" i="80" s="1"/>
  <c r="B31" i="80"/>
  <c r="K30" i="80"/>
  <c r="H30" i="80"/>
  <c r="I30" i="80" s="1"/>
  <c r="B30" i="80"/>
  <c r="K29" i="80"/>
  <c r="H29" i="80"/>
  <c r="I29" i="80" s="1"/>
  <c r="B29" i="80"/>
  <c r="K28" i="80"/>
  <c r="H28" i="80"/>
  <c r="I28" i="80" s="1"/>
  <c r="B28" i="80"/>
  <c r="K27" i="80"/>
  <c r="H27" i="80"/>
  <c r="I27" i="80" s="1"/>
  <c r="B27" i="80"/>
  <c r="K26" i="80"/>
  <c r="H26" i="80"/>
  <c r="I26" i="80" s="1"/>
  <c r="B26" i="80"/>
  <c r="K25" i="80"/>
  <c r="B25" i="80"/>
  <c r="K24" i="80"/>
  <c r="H24" i="80"/>
  <c r="B24" i="80"/>
  <c r="K23" i="80"/>
  <c r="D23" i="80"/>
  <c r="H23" i="80" s="1"/>
  <c r="B23" i="80"/>
  <c r="K22" i="80"/>
  <c r="B22" i="80"/>
  <c r="K21" i="80"/>
  <c r="B21" i="80"/>
  <c r="K20" i="80"/>
  <c r="H20" i="80"/>
  <c r="D20" i="80"/>
  <c r="B20" i="80"/>
  <c r="K19" i="80"/>
  <c r="H19" i="80"/>
  <c r="I19" i="80" s="1"/>
  <c r="B19" i="80"/>
  <c r="K18" i="80"/>
  <c r="D18" i="80"/>
  <c r="B18" i="80"/>
  <c r="K16" i="80"/>
  <c r="H16" i="80"/>
  <c r="I16" i="80" s="1"/>
  <c r="B16" i="80"/>
  <c r="K15" i="80"/>
  <c r="H15" i="80"/>
  <c r="I15" i="80" s="1"/>
  <c r="B15" i="80"/>
  <c r="K14" i="80"/>
  <c r="I14" i="80"/>
  <c r="B14" i="80"/>
  <c r="K13" i="80"/>
  <c r="B13" i="80"/>
  <c r="K12" i="80"/>
  <c r="B12" i="80"/>
  <c r="K11" i="80"/>
  <c r="H11" i="80"/>
  <c r="I11" i="80" s="1"/>
  <c r="B11" i="80"/>
  <c r="K10" i="80"/>
  <c r="D10" i="80"/>
  <c r="H10" i="80" s="1"/>
  <c r="I10" i="80" s="1"/>
  <c r="B10" i="80"/>
  <c r="K9" i="80"/>
  <c r="B9" i="80"/>
  <c r="K8" i="80"/>
  <c r="H169" i="80"/>
  <c r="H85" i="80"/>
  <c r="I85" i="80" s="1"/>
  <c r="H25" i="80"/>
  <c r="I25" i="80" s="1"/>
  <c r="I109" i="80"/>
  <c r="I13" i="80"/>
  <c r="D9" i="80"/>
  <c r="B22" i="52" s="1"/>
  <c r="H42" i="80"/>
  <c r="I42" i="80" s="1"/>
  <c r="H91" i="80"/>
  <c r="I91" i="80" s="1"/>
  <c r="D108" i="80"/>
  <c r="K145" i="80"/>
  <c r="B33" i="2"/>
  <c r="D151" i="75"/>
  <c r="D147" i="75"/>
  <c r="D142" i="75"/>
  <c r="D131" i="75" s="1"/>
  <c r="B39" i="46"/>
  <c r="B38" i="46" s="1"/>
  <c r="E9" i="46" s="1"/>
  <c r="B10" i="1"/>
  <c r="L14" i="78"/>
  <c r="J13" i="78"/>
  <c r="J12" i="78" s="1"/>
  <c r="L12" i="78" s="1"/>
  <c r="L11" i="78"/>
  <c r="L10" i="78"/>
  <c r="K9" i="78"/>
  <c r="H9" i="78"/>
  <c r="G9" i="78"/>
  <c r="F9" i="78"/>
  <c r="E9" i="78"/>
  <c r="D9" i="78"/>
  <c r="C9" i="78"/>
  <c r="B9" i="78"/>
  <c r="L8" i="78"/>
  <c r="L7" i="78"/>
  <c r="D39" i="28"/>
  <c r="D38" i="28" s="1"/>
  <c r="D37" i="28" s="1"/>
  <c r="E8" i="69"/>
  <c r="E7" i="69"/>
  <c r="F7" i="69" s="1"/>
  <c r="B39" i="2"/>
  <c r="B36" i="2"/>
  <c r="B35" i="2" s="1"/>
  <c r="B14" i="1"/>
  <c r="B13" i="1" s="1"/>
  <c r="B32" i="46"/>
  <c r="B29" i="46"/>
  <c r="E41" i="68"/>
  <c r="E40" i="68" s="1"/>
  <c r="H9" i="68" s="1"/>
  <c r="C41" i="68"/>
  <c r="M25" i="68"/>
  <c r="N25" i="68" s="1"/>
  <c r="B102" i="51"/>
  <c r="B101" i="51" s="1"/>
  <c r="D105" i="75"/>
  <c r="D103" i="75" s="1"/>
  <c r="D102" i="75" s="1"/>
  <c r="E23" i="41"/>
  <c r="K21" i="53"/>
  <c r="K20" i="53"/>
  <c r="K17" i="53"/>
  <c r="K18" i="53" s="1"/>
  <c r="K16" i="53"/>
  <c r="F11" i="77"/>
  <c r="D51" i="69"/>
  <c r="D50" i="69" s="1"/>
  <c r="D49" i="69" s="1"/>
  <c r="D48" i="69" s="1"/>
  <c r="D8" i="77"/>
  <c r="F7" i="77"/>
  <c r="F6" i="77"/>
  <c r="F8" i="77" s="1"/>
  <c r="F9" i="77"/>
  <c r="D17" i="17"/>
  <c r="E45" i="69"/>
  <c r="E38" i="69"/>
  <c r="D43" i="69"/>
  <c r="F41" i="52"/>
  <c r="B18" i="46"/>
  <c r="M21" i="53"/>
  <c r="L21" i="53"/>
  <c r="L20" i="53"/>
  <c r="L17" i="53"/>
  <c r="J22" i="53"/>
  <c r="J21" i="53"/>
  <c r="J20" i="53"/>
  <c r="J17" i="53"/>
  <c r="J18" i="53" s="1"/>
  <c r="J23" i="53" s="1"/>
  <c r="J16" i="53"/>
  <c r="I21" i="53"/>
  <c r="I20" i="53"/>
  <c r="I17" i="53"/>
  <c r="E27" i="68"/>
  <c r="D126" i="75"/>
  <c r="D119" i="75"/>
  <c r="D95" i="75"/>
  <c r="D94" i="75" s="1"/>
  <c r="D93" i="75" s="1"/>
  <c r="D86" i="75"/>
  <c r="D81" i="75"/>
  <c r="D78" i="75"/>
  <c r="D58" i="75"/>
  <c r="D56" i="75" s="1"/>
  <c r="D49" i="75"/>
  <c r="D48" i="75" s="1"/>
  <c r="D44" i="75"/>
  <c r="D42" i="75" s="1"/>
  <c r="D26" i="75"/>
  <c r="D25" i="75" s="1"/>
  <c r="D16" i="75"/>
  <c r="B14" i="30"/>
  <c r="D58" i="28"/>
  <c r="D57" i="28" s="1"/>
  <c r="D56" i="28" s="1"/>
  <c r="D22" i="10"/>
  <c r="D21" i="10"/>
  <c r="D26" i="69"/>
  <c r="D25" i="69" s="1"/>
  <c r="D23" i="69"/>
  <c r="D22" i="69" s="1"/>
  <c r="D15" i="69"/>
  <c r="D13" i="69"/>
  <c r="D11" i="69"/>
  <c r="E37" i="29"/>
  <c r="D36" i="29"/>
  <c r="E26" i="29"/>
  <c r="D23" i="29"/>
  <c r="C23" i="29"/>
  <c r="B11" i="30"/>
  <c r="B13" i="30" s="1"/>
  <c r="D19" i="29"/>
  <c r="C19" i="29"/>
  <c r="E20" i="29"/>
  <c r="E19" i="29" s="1"/>
  <c r="D41" i="69"/>
  <c r="D39" i="69"/>
  <c r="D46" i="69"/>
  <c r="D45" i="69" s="1"/>
  <c r="D28" i="69"/>
  <c r="D20" i="69"/>
  <c r="D17" i="69"/>
  <c r="D35" i="69"/>
  <c r="D34" i="69" s="1"/>
  <c r="D32" i="69"/>
  <c r="D31" i="69" s="1"/>
  <c r="C11" i="16"/>
  <c r="C10" i="16" s="1"/>
  <c r="C9" i="16" s="1"/>
  <c r="E46" i="68"/>
  <c r="E45" i="68" s="1"/>
  <c r="D46" i="68"/>
  <c r="C46" i="68"/>
  <c r="C45" i="68" s="1"/>
  <c r="C40" i="68"/>
  <c r="E33" i="68"/>
  <c r="C33" i="68"/>
  <c r="E37" i="68"/>
  <c r="C37" i="68"/>
  <c r="E22" i="68"/>
  <c r="D22" i="68"/>
  <c r="C22" i="68"/>
  <c r="C19" i="68"/>
  <c r="E16" i="68"/>
  <c r="C16" i="68"/>
  <c r="E26" i="68"/>
  <c r="C27" i="68"/>
  <c r="C26" i="68" s="1"/>
  <c r="E13" i="68"/>
  <c r="E12" i="68" s="1"/>
  <c r="C13" i="68"/>
  <c r="C12" i="68" s="1"/>
  <c r="D24" i="68"/>
  <c r="C24" i="68"/>
  <c r="E24" i="68"/>
  <c r="D43" i="29"/>
  <c r="I22" i="53"/>
  <c r="H22" i="53"/>
  <c r="H19" i="53"/>
  <c r="I18" i="53"/>
  <c r="I23" i="53" s="1"/>
  <c r="E34" i="52"/>
  <c r="B97" i="51"/>
  <c r="B96" i="51" s="1"/>
  <c r="B89" i="51"/>
  <c r="B81" i="51"/>
  <c r="B85" i="51"/>
  <c r="B77" i="51"/>
  <c r="B73" i="51"/>
  <c r="B69" i="51"/>
  <c r="B65" i="51"/>
  <c r="B57" i="51"/>
  <c r="B55" i="51"/>
  <c r="B52" i="51"/>
  <c r="B49" i="51"/>
  <c r="B46" i="51"/>
  <c r="B28" i="51"/>
  <c r="B42" i="51"/>
  <c r="B36" i="51"/>
  <c r="B39" i="51"/>
  <c r="B32" i="51"/>
  <c r="B24" i="51"/>
  <c r="B20" i="51"/>
  <c r="B16" i="51"/>
  <c r="A45" i="29"/>
  <c r="D21" i="29"/>
  <c r="C21" i="29"/>
  <c r="E22" i="29"/>
  <c r="E21" i="29" s="1"/>
  <c r="B16" i="2"/>
  <c r="D10" i="17"/>
  <c r="D9" i="17" s="1"/>
  <c r="D8" i="17" s="1"/>
  <c r="D7" i="17" s="1"/>
  <c r="D20" i="17"/>
  <c r="D24" i="17"/>
  <c r="E22" i="41"/>
  <c r="D8" i="43"/>
  <c r="D7" i="43" s="1"/>
  <c r="D51" i="28"/>
  <c r="D50" i="28" s="1"/>
  <c r="B32" i="2"/>
  <c r="D12" i="20"/>
  <c r="D11" i="20" s="1"/>
  <c r="D10" i="20" s="1"/>
  <c r="D9" i="20" s="1"/>
  <c r="D8" i="20" s="1"/>
  <c r="D11" i="28"/>
  <c r="D10" i="28" s="1"/>
  <c r="D9" i="28" s="1"/>
  <c r="D16" i="28"/>
  <c r="D15" i="28" s="1"/>
  <c r="D14" i="28" s="1"/>
  <c r="D21" i="28"/>
  <c r="D20" i="28" s="1"/>
  <c r="D19" i="28" s="1"/>
  <c r="D27" i="28"/>
  <c r="D26" i="28" s="1"/>
  <c r="D30" i="28"/>
  <c r="D29" i="28" s="1"/>
  <c r="D33" i="28"/>
  <c r="D32" i="28" s="1"/>
  <c r="D46" i="28"/>
  <c r="D45" i="28" s="1"/>
  <c r="D54" i="28"/>
  <c r="D53" i="28" s="1"/>
  <c r="B12" i="2"/>
  <c r="B11" i="2" s="1"/>
  <c r="B18" i="2"/>
  <c r="B21" i="2"/>
  <c r="B12" i="46"/>
  <c r="B15" i="46"/>
  <c r="C43" i="29"/>
  <c r="D41" i="29"/>
  <c r="B18" i="1"/>
  <c r="B8" i="10"/>
  <c r="E45" i="29"/>
  <c r="D45" i="29"/>
  <c r="C45" i="29"/>
  <c r="B23" i="46"/>
  <c r="B22" i="46" s="1"/>
  <c r="D9" i="10"/>
  <c r="D11" i="10"/>
  <c r="D12" i="10"/>
  <c r="D13" i="10"/>
  <c r="D14" i="10"/>
  <c r="D15" i="10"/>
  <c r="D16" i="10"/>
  <c r="D17" i="10"/>
  <c r="D18" i="10"/>
  <c r="D19" i="10"/>
  <c r="D20" i="10"/>
  <c r="D19" i="20"/>
  <c r="D18" i="20" s="1"/>
  <c r="D17" i="20" s="1"/>
  <c r="D16" i="20" s="1"/>
  <c r="B18" i="31"/>
  <c r="B28" i="2"/>
  <c r="B26" i="2"/>
  <c r="E18" i="29"/>
  <c r="C16" i="29"/>
  <c r="E24" i="29"/>
  <c r="E12" i="29"/>
  <c r="E42" i="29"/>
  <c r="E41" i="29" s="1"/>
  <c r="C41" i="29"/>
  <c r="E35" i="29"/>
  <c r="E38" i="29"/>
  <c r="E44" i="29"/>
  <c r="E43" i="29" s="1"/>
  <c r="D40" i="29"/>
  <c r="D31" i="29"/>
  <c r="E11" i="29"/>
  <c r="D16" i="29"/>
  <c r="E25" i="29"/>
  <c r="E17" i="29"/>
  <c r="E15" i="29"/>
  <c r="E14" i="29"/>
  <c r="C31" i="29"/>
  <c r="C30" i="29" s="1"/>
  <c r="E34" i="29"/>
  <c r="E13" i="29"/>
  <c r="D10" i="29"/>
  <c r="E33" i="29"/>
  <c r="E32" i="29"/>
  <c r="E39" i="29"/>
  <c r="C12" i="77"/>
  <c r="C21" i="77" s="1"/>
  <c r="E12" i="77"/>
  <c r="E21" i="77" s="1"/>
  <c r="D12" i="77"/>
  <c r="D21" i="77" s="1"/>
  <c r="D30" i="29" l="1"/>
  <c r="L22" i="53"/>
  <c r="L23" i="53"/>
  <c r="D49" i="28"/>
  <c r="E23" i="53"/>
  <c r="H164" i="80"/>
  <c r="B11" i="46"/>
  <c r="B10" i="46" s="1"/>
  <c r="B10" i="69"/>
  <c r="D8" i="10"/>
  <c r="C40" i="29"/>
  <c r="C48" i="29" s="1"/>
  <c r="K22" i="53"/>
  <c r="E40" i="29"/>
  <c r="K23" i="53"/>
  <c r="L9" i="78"/>
  <c r="L13" i="78"/>
  <c r="D48" i="29"/>
  <c r="H56" i="80"/>
  <c r="B25" i="52"/>
  <c r="B95" i="51"/>
  <c r="B64" i="51"/>
  <c r="B63" i="51" s="1"/>
  <c r="B11" i="51"/>
  <c r="B10" i="51" s="1"/>
  <c r="B9" i="51" s="1"/>
  <c r="B36" i="28"/>
  <c r="B9" i="69"/>
  <c r="B8" i="69" s="1"/>
  <c r="B37" i="69"/>
  <c r="D38" i="69"/>
  <c r="D37" i="69" s="1"/>
  <c r="B7" i="69"/>
  <c r="B31" i="2"/>
  <c r="D14" i="75"/>
  <c r="D92" i="75"/>
  <c r="H170" i="80"/>
  <c r="H157" i="80"/>
  <c r="H71" i="80"/>
  <c r="I71" i="80" s="1"/>
  <c r="D64" i="80"/>
  <c r="H171" i="80"/>
  <c r="G155" i="80"/>
  <c r="G156" i="80"/>
  <c r="B21" i="30"/>
  <c r="B23" i="30" s="1"/>
  <c r="B38" i="30" s="1"/>
  <c r="E36" i="29"/>
  <c r="E31" i="29"/>
  <c r="E23" i="29"/>
  <c r="E16" i="29"/>
  <c r="D9" i="29"/>
  <c r="D29" i="29" s="1"/>
  <c r="C9" i="29"/>
  <c r="C29" i="29" s="1"/>
  <c r="E10" i="29"/>
  <c r="H161" i="80"/>
  <c r="F76" i="80"/>
  <c r="H76" i="80" s="1"/>
  <c r="I76" i="80" s="1"/>
  <c r="H160" i="80"/>
  <c r="G153" i="80"/>
  <c r="E32" i="68"/>
  <c r="C32" i="68"/>
  <c r="E11" i="68"/>
  <c r="E10" i="68" s="1"/>
  <c r="C11" i="68"/>
  <c r="C10" i="68" s="1"/>
  <c r="B9" i="1"/>
  <c r="D9" i="1"/>
  <c r="F9" i="1" s="1"/>
  <c r="D10" i="69"/>
  <c r="D9" i="69" s="1"/>
  <c r="D8" i="69" s="1"/>
  <c r="D7" i="69" s="1"/>
  <c r="E37" i="69"/>
  <c r="D36" i="28"/>
  <c r="B8" i="28"/>
  <c r="B25" i="28"/>
  <c r="D25" i="28"/>
  <c r="D8" i="28"/>
  <c r="B49" i="28"/>
  <c r="B7" i="20"/>
  <c r="D7" i="20"/>
  <c r="B28" i="46"/>
  <c r="B27" i="46" s="1"/>
  <c r="B15" i="2"/>
  <c r="B10" i="2" s="1"/>
  <c r="B25" i="2"/>
  <c r="F12" i="77"/>
  <c r="F21" i="77" s="1"/>
  <c r="D77" i="75"/>
  <c r="D76" i="75" s="1"/>
  <c r="D13" i="75"/>
  <c r="D9" i="75" s="1"/>
  <c r="H166" i="80"/>
  <c r="H9" i="80"/>
  <c r="I9" i="80" s="1"/>
  <c r="H167" i="80"/>
  <c r="F115" i="80"/>
  <c r="F107" i="80" s="1"/>
  <c r="E152" i="80"/>
  <c r="E158" i="80" s="1"/>
  <c r="H154" i="80"/>
  <c r="H168" i="80"/>
  <c r="G157" i="80"/>
  <c r="H158" i="80"/>
  <c r="H155" i="80"/>
  <c r="H156" i="80"/>
  <c r="F12" i="80"/>
  <c r="F8" i="80" s="1"/>
  <c r="F64" i="80"/>
  <c r="B23" i="52"/>
  <c r="E157" i="80"/>
  <c r="H129" i="80"/>
  <c r="I129" i="80" s="1"/>
  <c r="H153" i="80"/>
  <c r="H162" i="80"/>
  <c r="H34" i="80"/>
  <c r="I34" i="80" s="1"/>
  <c r="E156" i="80"/>
  <c r="H163" i="80"/>
  <c r="E153" i="80"/>
  <c r="F137" i="80"/>
  <c r="H138" i="80"/>
  <c r="I138" i="80" s="1"/>
  <c r="H61" i="80"/>
  <c r="I61" i="80" s="1"/>
  <c r="H99" i="80"/>
  <c r="I99" i="80" s="1"/>
  <c r="D115" i="80"/>
  <c r="D107" i="80" s="1"/>
  <c r="H152" i="80"/>
  <c r="H62" i="80"/>
  <c r="I62" i="80" s="1"/>
  <c r="H18" i="80"/>
  <c r="I18" i="80" s="1"/>
  <c r="H100" i="80"/>
  <c r="I100" i="80" s="1"/>
  <c r="E155" i="80"/>
  <c r="H108" i="80"/>
  <c r="I108" i="80" s="1"/>
  <c r="H159" i="80"/>
  <c r="G152" i="80"/>
  <c r="G158" i="80" s="1"/>
  <c r="H139" i="80"/>
  <c r="I139" i="80" s="1"/>
  <c r="H35" i="80"/>
  <c r="I35" i="80" s="1"/>
  <c r="E154" i="80"/>
  <c r="H172" i="80"/>
  <c r="H165" i="80"/>
  <c r="G154" i="80"/>
  <c r="H65" i="80"/>
  <c r="I65" i="80" s="1"/>
  <c r="G49" i="80" l="1"/>
  <c r="H8" i="80"/>
  <c r="I8" i="80" s="1"/>
  <c r="D10" i="75"/>
  <c r="B9" i="2"/>
  <c r="B9" i="46"/>
  <c r="D9" i="46"/>
  <c r="F9" i="46" s="1"/>
  <c r="D144" i="80"/>
  <c r="B26" i="52"/>
  <c r="B21" i="52"/>
  <c r="D7" i="28"/>
  <c r="C9" i="68"/>
  <c r="D23" i="52"/>
  <c r="E9" i="68"/>
  <c r="G9" i="68" s="1"/>
  <c r="H64" i="80"/>
  <c r="I64" i="80" s="1"/>
  <c r="D113" i="75"/>
  <c r="D112" i="75" s="1"/>
  <c r="D8" i="75"/>
  <c r="D12" i="75"/>
  <c r="D55" i="75"/>
  <c r="I155" i="80"/>
  <c r="I156" i="80"/>
  <c r="G128" i="80"/>
  <c r="G122" i="80"/>
  <c r="G114" i="80"/>
  <c r="G105" i="80"/>
  <c r="G136" i="80"/>
  <c r="G121" i="80"/>
  <c r="I153" i="80"/>
  <c r="G41" i="80"/>
  <c r="G90" i="80"/>
  <c r="G98" i="80"/>
  <c r="G70" i="80"/>
  <c r="G84" i="80"/>
  <c r="F60" i="80"/>
  <c r="G33" i="80"/>
  <c r="M33" i="80"/>
  <c r="G17" i="80"/>
  <c r="M17" i="80"/>
  <c r="E30" i="29"/>
  <c r="E48" i="29" s="1"/>
  <c r="E9" i="29"/>
  <c r="E29" i="29" s="1"/>
  <c r="I157" i="80"/>
  <c r="B7" i="28"/>
  <c r="I152" i="80"/>
  <c r="I158" i="80"/>
  <c r="M34" i="80"/>
  <c r="G46" i="80"/>
  <c r="G107" i="80"/>
  <c r="M65" i="80"/>
  <c r="G115" i="80"/>
  <c r="G61" i="80"/>
  <c r="M138" i="80"/>
  <c r="G139" i="80"/>
  <c r="G100" i="80"/>
  <c r="M100" i="80"/>
  <c r="G18" i="80"/>
  <c r="G138" i="80"/>
  <c r="M99" i="80"/>
  <c r="G108" i="80"/>
  <c r="M18" i="80"/>
  <c r="M64" i="80"/>
  <c r="G99" i="80"/>
  <c r="G62" i="80"/>
  <c r="G65" i="80"/>
  <c r="M61" i="80"/>
  <c r="G64" i="80"/>
  <c r="M115" i="80"/>
  <c r="M139" i="80"/>
  <c r="G20" i="80"/>
  <c r="G12" i="80"/>
  <c r="H115" i="80"/>
  <c r="I115" i="80" s="1"/>
  <c r="G137" i="80"/>
  <c r="M137" i="80"/>
  <c r="H137" i="80"/>
  <c r="I137" i="80" s="1"/>
  <c r="M108" i="80"/>
  <c r="M12" i="80"/>
  <c r="I154" i="80"/>
  <c r="M76" i="80"/>
  <c r="G94" i="80"/>
  <c r="G22" i="80"/>
  <c r="G31" i="80"/>
  <c r="M131" i="80"/>
  <c r="G57" i="80"/>
  <c r="G29" i="80"/>
  <c r="M9" i="80"/>
  <c r="M83" i="80"/>
  <c r="G28" i="80"/>
  <c r="M59" i="80"/>
  <c r="M125" i="80"/>
  <c r="M109" i="80"/>
  <c r="M8" i="80"/>
  <c r="M120" i="80"/>
  <c r="M11" i="80"/>
  <c r="M31" i="80"/>
  <c r="G97" i="80"/>
  <c r="M130" i="80"/>
  <c r="M28" i="80"/>
  <c r="M97" i="80"/>
  <c r="M13" i="80"/>
  <c r="G119" i="80"/>
  <c r="G68" i="80"/>
  <c r="M27" i="80"/>
  <c r="M142" i="80"/>
  <c r="G15" i="80"/>
  <c r="G36" i="80"/>
  <c r="G48" i="80"/>
  <c r="G80" i="80"/>
  <c r="G116" i="80"/>
  <c r="G72" i="80"/>
  <c r="G13" i="80"/>
  <c r="M38" i="80"/>
  <c r="M127" i="80"/>
  <c r="M15" i="80"/>
  <c r="M102" i="80"/>
  <c r="M92" i="80"/>
  <c r="G79" i="80"/>
  <c r="M36" i="80"/>
  <c r="G133" i="80"/>
  <c r="G59" i="80"/>
  <c r="G120" i="80"/>
  <c r="M140" i="80"/>
  <c r="G104" i="80"/>
  <c r="G45" i="80"/>
  <c r="M37" i="80"/>
  <c r="G76" i="80"/>
  <c r="G125" i="80"/>
  <c r="M57" i="80"/>
  <c r="G50" i="80"/>
  <c r="G118" i="80"/>
  <c r="G32" i="80"/>
  <c r="G135" i="80"/>
  <c r="M73" i="80"/>
  <c r="M86" i="80"/>
  <c r="M116" i="80"/>
  <c r="M89" i="80"/>
  <c r="G134" i="80"/>
  <c r="M111" i="80"/>
  <c r="M58" i="80"/>
  <c r="G143" i="80"/>
  <c r="M129" i="80"/>
  <c r="M74" i="80"/>
  <c r="M53" i="80"/>
  <c r="G58" i="80"/>
  <c r="M122" i="80"/>
  <c r="M91" i="80"/>
  <c r="M118" i="80"/>
  <c r="M126" i="80"/>
  <c r="M113" i="80"/>
  <c r="G37" i="80"/>
  <c r="M71" i="80"/>
  <c r="G86" i="80"/>
  <c r="M132" i="80"/>
  <c r="M40" i="80"/>
  <c r="M77" i="80"/>
  <c r="M81" i="80"/>
  <c r="M22" i="80"/>
  <c r="M78" i="80"/>
  <c r="M44" i="80"/>
  <c r="G131" i="80"/>
  <c r="M148" i="80"/>
  <c r="M95" i="80"/>
  <c r="M43" i="80"/>
  <c r="G87" i="80"/>
  <c r="G142" i="80"/>
  <c r="M54" i="80"/>
  <c r="G112" i="80"/>
  <c r="G10" i="80"/>
  <c r="G124" i="80"/>
  <c r="G83" i="80"/>
  <c r="G73" i="80"/>
  <c r="M29" i="80"/>
  <c r="G91" i="80"/>
  <c r="G23" i="80"/>
  <c r="G88" i="80"/>
  <c r="G110" i="80"/>
  <c r="G52" i="80"/>
  <c r="G47" i="80"/>
  <c r="G140" i="80"/>
  <c r="G19" i="80"/>
  <c r="G74" i="80"/>
  <c r="G109" i="80"/>
  <c r="G43" i="80"/>
  <c r="M110" i="80"/>
  <c r="M42" i="80"/>
  <c r="G56" i="80"/>
  <c r="M21" i="80"/>
  <c r="G101" i="80"/>
  <c r="M80" i="80"/>
  <c r="M52" i="80"/>
  <c r="G93" i="80"/>
  <c r="G111" i="80"/>
  <c r="M143" i="80"/>
  <c r="G35" i="80"/>
  <c r="M25" i="80"/>
  <c r="M45" i="80"/>
  <c r="M67" i="80"/>
  <c r="M55" i="80"/>
  <c r="G38" i="80"/>
  <c r="G130" i="80"/>
  <c r="M123" i="80"/>
  <c r="G78" i="80"/>
  <c r="G132" i="80"/>
  <c r="M23" i="80"/>
  <c r="G127" i="80"/>
  <c r="G44" i="80"/>
  <c r="G16" i="80"/>
  <c r="G55" i="80"/>
  <c r="G117" i="80"/>
  <c r="G123" i="80"/>
  <c r="M14" i="80"/>
  <c r="G51" i="80"/>
  <c r="M26" i="80"/>
  <c r="G71" i="80"/>
  <c r="G92" i="80"/>
  <c r="M104" i="80"/>
  <c r="M48" i="80"/>
  <c r="G9" i="80"/>
  <c r="M135" i="80"/>
  <c r="G21" i="80"/>
  <c r="M32" i="80"/>
  <c r="M124" i="80"/>
  <c r="M88" i="80"/>
  <c r="G113" i="80"/>
  <c r="G82" i="80"/>
  <c r="M24" i="80"/>
  <c r="M10" i="80"/>
  <c r="M30" i="80"/>
  <c r="M119" i="80"/>
  <c r="M47" i="80"/>
  <c r="M133" i="80"/>
  <c r="M103" i="80"/>
  <c r="G102" i="80"/>
  <c r="M87" i="80"/>
  <c r="G85" i="80"/>
  <c r="G26" i="80"/>
  <c r="M82" i="80"/>
  <c r="M69" i="80"/>
  <c r="G63" i="80"/>
  <c r="G27" i="80"/>
  <c r="G96" i="80"/>
  <c r="M56" i="80"/>
  <c r="G42" i="80"/>
  <c r="M62" i="80"/>
  <c r="M134" i="80"/>
  <c r="M51" i="80"/>
  <c r="G69" i="80"/>
  <c r="M117" i="80"/>
  <c r="M96" i="80"/>
  <c r="G53" i="80"/>
  <c r="M93" i="80"/>
  <c r="G40" i="80"/>
  <c r="M79" i="80"/>
  <c r="G141" i="80"/>
  <c r="G24" i="80"/>
  <c r="M85" i="80"/>
  <c r="G126" i="80"/>
  <c r="G77" i="80"/>
  <c r="G14" i="80"/>
  <c r="G103" i="80"/>
  <c r="M39" i="80"/>
  <c r="M101" i="80"/>
  <c r="G95" i="80"/>
  <c r="G11" i="80"/>
  <c r="G81" i="80"/>
  <c r="M50" i="80"/>
  <c r="M16" i="80"/>
  <c r="M68" i="80"/>
  <c r="G30" i="80"/>
  <c r="M141" i="80"/>
  <c r="M66" i="80"/>
  <c r="M19" i="80"/>
  <c r="G67" i="80"/>
  <c r="M63" i="80"/>
  <c r="M35" i="80"/>
  <c r="G25" i="80"/>
  <c r="G129" i="80"/>
  <c r="G75" i="80"/>
  <c r="M75" i="80"/>
  <c r="M94" i="80"/>
  <c r="G66" i="80"/>
  <c r="G54" i="80"/>
  <c r="M20" i="80"/>
  <c r="M112" i="80"/>
  <c r="G89" i="80"/>
  <c r="G39" i="80"/>
  <c r="M72" i="80"/>
  <c r="G34" i="80"/>
  <c r="H107" i="80"/>
  <c r="I107" i="80" s="1"/>
  <c r="M107" i="80"/>
  <c r="F144" i="80"/>
  <c r="G144" i="80" s="1"/>
  <c r="H50" i="80"/>
  <c r="I50" i="80" s="1"/>
  <c r="H60" i="80" l="1"/>
  <c r="I60" i="80" s="1"/>
  <c r="B28" i="52"/>
  <c r="F16" i="53"/>
  <c r="F17" i="53"/>
  <c r="M17" i="53" s="1"/>
  <c r="B33" i="52"/>
  <c r="C33" i="52" s="1"/>
  <c r="D21" i="52"/>
  <c r="L128" i="80"/>
  <c r="L98" i="80"/>
  <c r="L84" i="80"/>
  <c r="L70" i="80"/>
  <c r="L121" i="80"/>
  <c r="L114" i="80"/>
  <c r="L105" i="80"/>
  <c r="L90" i="80"/>
  <c r="L136" i="80"/>
  <c r="E49" i="80"/>
  <c r="L49" i="80"/>
  <c r="L33" i="80"/>
  <c r="L41" i="80"/>
  <c r="D7" i="75"/>
  <c r="E121" i="80"/>
  <c r="E122" i="80"/>
  <c r="E128" i="80"/>
  <c r="E114" i="80"/>
  <c r="E105" i="80"/>
  <c r="E136" i="80"/>
  <c r="E90" i="80"/>
  <c r="E98" i="80"/>
  <c r="E70" i="80"/>
  <c r="E84" i="80"/>
  <c r="M60" i="80"/>
  <c r="G60" i="80"/>
  <c r="F106" i="80"/>
  <c r="F145" i="80" s="1"/>
  <c r="E33" i="80"/>
  <c r="E41" i="80"/>
  <c r="L17" i="80"/>
  <c r="E17" i="80"/>
  <c r="E46" i="80"/>
  <c r="G170" i="80"/>
  <c r="E171" i="80"/>
  <c r="G167" i="80"/>
  <c r="E167" i="80"/>
  <c r="G168" i="80"/>
  <c r="E166" i="80"/>
  <c r="E168" i="80"/>
  <c r="G169" i="80"/>
  <c r="G166" i="80"/>
  <c r="G172" i="80" s="1"/>
  <c r="E170" i="80"/>
  <c r="G171" i="80"/>
  <c r="E169" i="80"/>
  <c r="H144" i="80"/>
  <c r="I144" i="80" s="1"/>
  <c r="M144" i="80"/>
  <c r="E50" i="80"/>
  <c r="L50" i="80"/>
  <c r="L124" i="80"/>
  <c r="E55" i="80"/>
  <c r="L72" i="80"/>
  <c r="L94" i="80"/>
  <c r="L80" i="80"/>
  <c r="L40" i="80"/>
  <c r="L69" i="80"/>
  <c r="L139" i="80"/>
  <c r="L107" i="80"/>
  <c r="E62" i="80"/>
  <c r="E85" i="80"/>
  <c r="E54" i="80"/>
  <c r="E115" i="80"/>
  <c r="L102" i="80"/>
  <c r="L96" i="80"/>
  <c r="E58" i="80"/>
  <c r="E27" i="80"/>
  <c r="L97" i="80"/>
  <c r="L9" i="80"/>
  <c r="L142" i="80"/>
  <c r="E118" i="80"/>
  <c r="E67" i="80"/>
  <c r="L65" i="80"/>
  <c r="E56" i="80"/>
  <c r="E133" i="80"/>
  <c r="E25" i="80"/>
  <c r="L47" i="80"/>
  <c r="L56" i="80"/>
  <c r="E104" i="80"/>
  <c r="L74" i="80"/>
  <c r="L29" i="80"/>
  <c r="L93" i="80"/>
  <c r="L143" i="80"/>
  <c r="E16" i="80"/>
  <c r="L58" i="80"/>
  <c r="E111" i="80"/>
  <c r="E53" i="80"/>
  <c r="L59" i="80"/>
  <c r="E80" i="80"/>
  <c r="E89" i="80"/>
  <c r="E22" i="80"/>
  <c r="E123" i="80"/>
  <c r="E73" i="80"/>
  <c r="L144" i="80"/>
  <c r="L32" i="80"/>
  <c r="E72" i="80"/>
  <c r="L88" i="80"/>
  <c r="L115" i="80"/>
  <c r="E74" i="80"/>
  <c r="E19" i="80"/>
  <c r="E130" i="80"/>
  <c r="E44" i="80"/>
  <c r="E15" i="80"/>
  <c r="E108" i="80"/>
  <c r="E43" i="80"/>
  <c r="E132" i="80"/>
  <c r="L23" i="80"/>
  <c r="E37" i="80"/>
  <c r="E78" i="80"/>
  <c r="E142" i="80"/>
  <c r="L109" i="80"/>
  <c r="E134" i="80"/>
  <c r="L148" i="80"/>
  <c r="L60" i="80"/>
  <c r="L78" i="80"/>
  <c r="L37" i="80"/>
  <c r="E39" i="80"/>
  <c r="L45" i="80"/>
  <c r="E71" i="80"/>
  <c r="E12" i="80"/>
  <c r="E94" i="80"/>
  <c r="E125" i="80"/>
  <c r="E34" i="80"/>
  <c r="E36" i="80"/>
  <c r="E77" i="80"/>
  <c r="L85" i="80"/>
  <c r="L54" i="80"/>
  <c r="L10" i="80"/>
  <c r="E144" i="80"/>
  <c r="E107" i="80"/>
  <c r="E38" i="80"/>
  <c r="E14" i="80"/>
  <c r="L118" i="80"/>
  <c r="L108" i="80"/>
  <c r="E45" i="80"/>
  <c r="L30" i="80"/>
  <c r="L134" i="80"/>
  <c r="E99" i="80"/>
  <c r="E66" i="80"/>
  <c r="L116" i="80"/>
  <c r="L52" i="80"/>
  <c r="L53" i="80"/>
  <c r="E141" i="80"/>
  <c r="L34" i="80"/>
  <c r="E124" i="80"/>
  <c r="L55" i="80"/>
  <c r="E103" i="80"/>
  <c r="L13" i="80"/>
  <c r="L11" i="80"/>
  <c r="L18" i="80"/>
  <c r="L123" i="80"/>
  <c r="L44" i="80"/>
  <c r="L87" i="80"/>
  <c r="E61" i="80"/>
  <c r="E143" i="80"/>
  <c r="L137" i="80"/>
  <c r="L92" i="80"/>
  <c r="L61" i="80"/>
  <c r="E92" i="80"/>
  <c r="E135" i="80"/>
  <c r="L111" i="80"/>
  <c r="E31" i="80"/>
  <c r="L67" i="80"/>
  <c r="E57" i="80"/>
  <c r="E127" i="80"/>
  <c r="E138" i="80"/>
  <c r="L42" i="80"/>
  <c r="E81" i="80"/>
  <c r="E20" i="80"/>
  <c r="E93" i="80"/>
  <c r="L129" i="80"/>
  <c r="L104" i="80"/>
  <c r="E18" i="80"/>
  <c r="E95" i="80"/>
  <c r="E35" i="80"/>
  <c r="E131" i="80"/>
  <c r="E91" i="80"/>
  <c r="L135" i="80"/>
  <c r="E48" i="80"/>
  <c r="E102" i="80"/>
  <c r="L99" i="80"/>
  <c r="L68" i="80"/>
  <c r="L112" i="80"/>
  <c r="L122" i="80"/>
  <c r="L36" i="80"/>
  <c r="E30" i="80"/>
  <c r="E126" i="80"/>
  <c r="E101" i="80"/>
  <c r="E29" i="80"/>
  <c r="L25" i="80"/>
  <c r="E42" i="80"/>
  <c r="E64" i="80"/>
  <c r="L57" i="80"/>
  <c r="E68" i="80"/>
  <c r="D106" i="80"/>
  <c r="D145" i="80" s="1"/>
  <c r="L12" i="80"/>
  <c r="L127" i="80"/>
  <c r="E59" i="80"/>
  <c r="L27" i="80"/>
  <c r="L22" i="80"/>
  <c r="L119" i="80"/>
  <c r="L26" i="80"/>
  <c r="E10" i="80"/>
  <c r="L138" i="80"/>
  <c r="L91" i="80"/>
  <c r="E69" i="80"/>
  <c r="E63" i="80"/>
  <c r="E110" i="80"/>
  <c r="L82" i="80"/>
  <c r="E79" i="80"/>
  <c r="E112" i="80"/>
  <c r="L43" i="80"/>
  <c r="E140" i="80"/>
  <c r="E23" i="80"/>
  <c r="L110" i="80"/>
  <c r="E97" i="80"/>
  <c r="L117" i="80"/>
  <c r="E47" i="80"/>
  <c r="L14" i="80"/>
  <c r="E52" i="80"/>
  <c r="L131" i="80"/>
  <c r="L141" i="80"/>
  <c r="L24" i="80"/>
  <c r="E88" i="80"/>
  <c r="L15" i="80"/>
  <c r="L101" i="80"/>
  <c r="E82" i="80"/>
  <c r="E100" i="80"/>
  <c r="E109" i="80"/>
  <c r="L20" i="80"/>
  <c r="L28" i="80"/>
  <c r="L95" i="80"/>
  <c r="L125" i="80"/>
  <c r="L71" i="80"/>
  <c r="L31" i="80"/>
  <c r="L113" i="80"/>
  <c r="L133" i="80"/>
  <c r="E40" i="80"/>
  <c r="E96" i="80"/>
  <c r="L63" i="80"/>
  <c r="L8" i="80"/>
  <c r="L66" i="80"/>
  <c r="E65" i="80"/>
  <c r="L120" i="80"/>
  <c r="E76" i="80"/>
  <c r="L75" i="80"/>
  <c r="L86" i="80"/>
  <c r="E137" i="80"/>
  <c r="L89" i="80"/>
  <c r="E32" i="80"/>
  <c r="E119" i="80"/>
  <c r="L16" i="80"/>
  <c r="E86" i="80"/>
  <c r="E120" i="80"/>
  <c r="E117" i="80"/>
  <c r="L100" i="80"/>
  <c r="L83" i="80"/>
  <c r="L35" i="80"/>
  <c r="L79" i="80"/>
  <c r="L77" i="80"/>
  <c r="E116" i="80"/>
  <c r="L62" i="80"/>
  <c r="E21" i="80"/>
  <c r="L38" i="80"/>
  <c r="L130" i="80"/>
  <c r="E11" i="80"/>
  <c r="E26" i="80"/>
  <c r="E87" i="80"/>
  <c r="L132" i="80"/>
  <c r="L81" i="80"/>
  <c r="E113" i="80"/>
  <c r="L21" i="80"/>
  <c r="E28" i="80"/>
  <c r="L103" i="80"/>
  <c r="L76" i="80"/>
  <c r="E139" i="80"/>
  <c r="E129" i="80"/>
  <c r="E24" i="80"/>
  <c r="L64" i="80"/>
  <c r="L19" i="80"/>
  <c r="E83" i="80"/>
  <c r="L140" i="80"/>
  <c r="E60" i="80"/>
  <c r="L126" i="80"/>
  <c r="L48" i="80"/>
  <c r="L39" i="80"/>
  <c r="L73" i="80"/>
  <c r="E75" i="80"/>
  <c r="L51" i="80"/>
  <c r="E51" i="80"/>
  <c r="F20" i="53" l="1"/>
  <c r="D28" i="52"/>
  <c r="M16" i="53"/>
  <c r="M18" i="53" s="1"/>
  <c r="F18" i="53"/>
  <c r="E28" i="52"/>
  <c r="C32" i="52"/>
  <c r="M106" i="80"/>
  <c r="G106" i="80"/>
  <c r="I167" i="80"/>
  <c r="I170" i="80"/>
  <c r="I171" i="80"/>
  <c r="I169" i="80"/>
  <c r="I168" i="80"/>
  <c r="E172" i="80"/>
  <c r="I172" i="80" s="1"/>
  <c r="I166" i="80"/>
  <c r="M145" i="80"/>
  <c r="G145" i="80"/>
  <c r="G161" i="80"/>
  <c r="E163" i="80"/>
  <c r="G160" i="80"/>
  <c r="E162" i="80"/>
  <c r="G159" i="80"/>
  <c r="G165" i="80" s="1"/>
  <c r="G163" i="80"/>
  <c r="E161" i="80"/>
  <c r="L106" i="80"/>
  <c r="H106" i="80"/>
  <c r="I106" i="80" s="1"/>
  <c r="E106" i="80"/>
  <c r="E164" i="80"/>
  <c r="E159" i="80"/>
  <c r="G164" i="80"/>
  <c r="E160" i="80"/>
  <c r="G162" i="80"/>
  <c r="B34" i="52" l="1"/>
  <c r="F32" i="52"/>
  <c r="F31" i="52"/>
  <c r="F33" i="52"/>
  <c r="F30" i="52"/>
  <c r="M20" i="53"/>
  <c r="M22" i="53" s="1"/>
  <c r="M23" i="53" s="1"/>
  <c r="F22" i="53"/>
  <c r="F23" i="53" s="1"/>
  <c r="I163" i="80"/>
  <c r="I161" i="80"/>
  <c r="E145" i="80"/>
  <c r="L145" i="80"/>
  <c r="H145" i="80"/>
  <c r="I145" i="80" s="1"/>
  <c r="I160" i="80"/>
  <c r="I159" i="80"/>
  <c r="E165" i="80"/>
  <c r="I165" i="80" s="1"/>
  <c r="I164" i="80"/>
  <c r="I162" i="80"/>
  <c r="F29" i="52" l="1"/>
  <c r="F34" i="52" s="1"/>
  <c r="D34" i="5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王瓊瑤</author>
  </authors>
  <commentList>
    <comment ref="F30" authorId="0" shapeId="0" xr:uid="{00000000-0006-0000-0300-000001000000}">
      <text>
        <r>
          <rPr>
            <b/>
            <sz val="9"/>
            <color indexed="81"/>
            <rFont val="細明體"/>
            <family val="3"/>
            <charset val="136"/>
          </rPr>
          <t>王瓊瑤</t>
        </r>
        <r>
          <rPr>
            <b/>
            <sz val="9"/>
            <color indexed="81"/>
            <rFont val="Tahoma"/>
            <family val="2"/>
          </rPr>
          <t>:</t>
        </r>
        <r>
          <rPr>
            <sz val="9"/>
            <color indexed="81"/>
            <rFont val="Tahoma"/>
            <family val="2"/>
          </rPr>
          <t xml:space="preserve">
</t>
        </r>
        <r>
          <rPr>
            <sz val="9"/>
            <color indexed="81"/>
            <rFont val="細明體"/>
            <family val="3"/>
            <charset val="136"/>
          </rPr>
          <t>進位</t>
        </r>
      </text>
    </comment>
    <comment ref="C32" authorId="0" shapeId="0" xr:uid="{00000000-0006-0000-0300-000002000000}">
      <text>
        <r>
          <rPr>
            <b/>
            <sz val="9"/>
            <color indexed="81"/>
            <rFont val="細明體"/>
            <family val="3"/>
            <charset val="136"/>
          </rPr>
          <t>王瓊瑤</t>
        </r>
        <r>
          <rPr>
            <b/>
            <sz val="9"/>
            <color indexed="81"/>
            <rFont val="Tahoma"/>
            <family val="2"/>
          </rPr>
          <t>:</t>
        </r>
        <r>
          <rPr>
            <sz val="9"/>
            <color indexed="81"/>
            <rFont val="Tahoma"/>
            <family val="2"/>
          </rPr>
          <t xml:space="preserve">
</t>
        </r>
        <r>
          <rPr>
            <sz val="9"/>
            <color indexed="81"/>
            <rFont val="細明體"/>
            <family val="3"/>
            <charset val="136"/>
          </rPr>
          <t>進位</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李正心</author>
  </authors>
  <commentList>
    <comment ref="A12" authorId="0" shapeId="0" xr:uid="{00000000-0006-0000-1200-000001000000}">
      <text>
        <r>
          <rPr>
            <b/>
            <sz val="9"/>
            <color indexed="81"/>
            <rFont val="細明體"/>
            <family val="3"/>
            <charset val="136"/>
          </rPr>
          <t>公告費600元</t>
        </r>
      </text>
    </comment>
    <comment ref="D12" authorId="0" shapeId="0" xr:uid="{00000000-0006-0000-1200-000002000000}">
      <text>
        <r>
          <rPr>
            <b/>
            <sz val="9"/>
            <color indexed="81"/>
            <rFont val="細明體"/>
            <family val="3"/>
            <charset val="136"/>
          </rPr>
          <t>公告費</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1059</author>
    <author>Gesar</author>
  </authors>
  <commentList>
    <comment ref="C21" authorId="0" shapeId="0" xr:uid="{00000000-0006-0000-1800-000001000000}">
      <text>
        <r>
          <rPr>
            <b/>
            <sz val="9"/>
            <color indexed="81"/>
            <rFont val="新細明體"/>
            <family val="1"/>
            <charset val="136"/>
          </rPr>
          <t>1059:</t>
        </r>
        <r>
          <rPr>
            <sz val="9"/>
            <color indexed="81"/>
            <rFont val="新細明體"/>
            <family val="1"/>
            <charset val="136"/>
          </rPr>
          <t xml:space="preserve">
利息費用應於說明中詳列貸款機關.借款種類及用途.額度.計息本金.利率及計息期間</t>
        </r>
      </text>
    </comment>
    <comment ref="D39" authorId="1" shapeId="0" xr:uid="{00000000-0006-0000-1800-000002000000}">
      <text>
        <r>
          <rPr>
            <b/>
            <sz val="9"/>
            <color indexed="81"/>
            <rFont val="細明體"/>
            <family val="3"/>
            <charset val="136"/>
          </rPr>
          <t>總處刪減100萬元</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王瓊瑤</author>
  </authors>
  <commentList>
    <comment ref="B12" authorId="0" shapeId="0" xr:uid="{00000000-0006-0000-1B00-000001000000}">
      <text>
        <r>
          <rPr>
            <sz val="9"/>
            <color indexed="81"/>
            <rFont val="細明體"/>
            <family val="3"/>
            <charset val="136"/>
          </rPr>
          <t>普通組應付保管款滿4年再提出申請編列50千元</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李正心</author>
  </authors>
  <commentList>
    <comment ref="A5" authorId="0" shapeId="0" xr:uid="{00000000-0006-0000-2000-000001000000}">
      <text>
        <r>
          <rPr>
            <b/>
            <sz val="9"/>
            <color indexed="81"/>
            <rFont val="Tahoma"/>
            <family val="2"/>
          </rPr>
          <t>0401</t>
        </r>
        <r>
          <rPr>
            <b/>
            <sz val="9"/>
            <color indexed="81"/>
            <rFont val="細明體"/>
            <family val="3"/>
            <charset val="136"/>
          </rPr>
          <t>院編</t>
        </r>
        <r>
          <rPr>
            <b/>
            <sz val="9"/>
            <color indexed="81"/>
            <rFont val="Tahoma"/>
            <family val="2"/>
          </rPr>
          <t xml:space="preserve"> OK</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李正心</author>
  </authors>
  <commentList>
    <comment ref="B30" authorId="0" shapeId="0" xr:uid="{00000000-0006-0000-2F00-000001000000}">
      <text>
        <r>
          <rPr>
            <b/>
            <sz val="9"/>
            <color indexed="81"/>
            <rFont val="細明體"/>
            <family val="3"/>
            <charset val="136"/>
          </rPr>
          <t>8-12月數量</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王瓊瑤</author>
  </authors>
  <commentList>
    <comment ref="I44" authorId="0" shapeId="0" xr:uid="{00000000-0006-0000-3300-000001000000}">
      <text>
        <r>
          <rPr>
            <b/>
            <sz val="9"/>
            <color indexed="81"/>
            <rFont val="細明體"/>
            <family val="3"/>
            <charset val="136"/>
          </rPr>
          <t>王瓊瑤</t>
        </r>
        <r>
          <rPr>
            <b/>
            <sz val="9"/>
            <color indexed="81"/>
            <rFont val="Tahoma"/>
            <family val="2"/>
          </rPr>
          <t>:</t>
        </r>
        <r>
          <rPr>
            <sz val="9"/>
            <color indexed="81"/>
            <rFont val="Tahoma"/>
            <family val="2"/>
          </rPr>
          <t xml:space="preserve">
</t>
        </r>
        <r>
          <rPr>
            <sz val="9"/>
            <color indexed="81"/>
            <rFont val="細明體"/>
            <family val="3"/>
            <charset val="136"/>
          </rPr>
          <t xml:space="preserve">沒公式了
</t>
        </r>
      </text>
    </comment>
    <comment ref="I54" authorId="0" shapeId="0" xr:uid="{00000000-0006-0000-3300-000002000000}">
      <text>
        <r>
          <rPr>
            <b/>
            <sz val="9"/>
            <color indexed="81"/>
            <rFont val="細明體"/>
            <family val="3"/>
            <charset val="136"/>
          </rPr>
          <t>王瓊瑤</t>
        </r>
        <r>
          <rPr>
            <b/>
            <sz val="9"/>
            <color indexed="81"/>
            <rFont val="Tahoma"/>
            <family val="2"/>
          </rPr>
          <t>:</t>
        </r>
        <r>
          <rPr>
            <sz val="9"/>
            <color indexed="81"/>
            <rFont val="Tahoma"/>
            <family val="2"/>
          </rPr>
          <t xml:space="preserve">
</t>
        </r>
        <r>
          <rPr>
            <sz val="9"/>
            <color indexed="81"/>
            <rFont val="細明體"/>
            <family val="3"/>
            <charset val="136"/>
          </rPr>
          <t xml:space="preserve">無公式
</t>
        </r>
      </text>
    </comment>
    <comment ref="I59" authorId="0" shapeId="0" xr:uid="{00000000-0006-0000-3300-000003000000}">
      <text>
        <r>
          <rPr>
            <b/>
            <sz val="9"/>
            <color indexed="81"/>
            <rFont val="細明體"/>
            <family val="3"/>
            <charset val="136"/>
          </rPr>
          <t>王瓊瑤</t>
        </r>
        <r>
          <rPr>
            <b/>
            <sz val="9"/>
            <color indexed="81"/>
            <rFont val="Tahoma"/>
            <family val="2"/>
          </rPr>
          <t>:</t>
        </r>
        <r>
          <rPr>
            <sz val="9"/>
            <color indexed="81"/>
            <rFont val="Tahoma"/>
            <family val="2"/>
          </rPr>
          <t xml:space="preserve">
</t>
        </r>
        <r>
          <rPr>
            <sz val="9"/>
            <color indexed="81"/>
            <rFont val="細明體"/>
            <family val="3"/>
            <charset val="136"/>
          </rPr>
          <t xml:space="preserve">無公式
</t>
        </r>
      </text>
    </comment>
    <comment ref="I60" authorId="0" shapeId="0" xr:uid="{00000000-0006-0000-3300-000004000000}">
      <text>
        <r>
          <rPr>
            <b/>
            <sz val="9"/>
            <color indexed="81"/>
            <rFont val="細明體"/>
            <family val="3"/>
            <charset val="136"/>
          </rPr>
          <t>王瓊瑤</t>
        </r>
        <r>
          <rPr>
            <b/>
            <sz val="9"/>
            <color indexed="81"/>
            <rFont val="Tahoma"/>
            <family val="2"/>
          </rPr>
          <t>:</t>
        </r>
        <r>
          <rPr>
            <sz val="9"/>
            <color indexed="81"/>
            <rFont val="Tahoma"/>
            <family val="2"/>
          </rPr>
          <t xml:space="preserve">
</t>
        </r>
        <r>
          <rPr>
            <sz val="9"/>
            <color indexed="81"/>
            <rFont val="細明體"/>
            <family val="3"/>
            <charset val="136"/>
          </rPr>
          <t xml:space="preserve">沒公式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李正心</author>
  </authors>
  <commentList>
    <comment ref="A5" authorId="0" shapeId="0" xr:uid="{00000000-0006-0000-3500-000001000000}">
      <text>
        <r>
          <rPr>
            <b/>
            <sz val="9"/>
            <color indexed="81"/>
            <rFont val="細明體"/>
            <family val="3"/>
            <charset val="136"/>
          </rPr>
          <t>普通</t>
        </r>
        <r>
          <rPr>
            <b/>
            <sz val="9"/>
            <color indexed="81"/>
            <rFont val="Tahoma"/>
            <family val="2"/>
          </rPr>
          <t>+</t>
        </r>
        <r>
          <rPr>
            <b/>
            <sz val="9"/>
            <color indexed="81"/>
            <rFont val="細明體"/>
            <family val="3"/>
            <charset val="136"/>
          </rPr>
          <t>職災</t>
        </r>
      </text>
    </comment>
    <comment ref="D5" authorId="0" shapeId="0" xr:uid="{00000000-0006-0000-3500-000002000000}">
      <text>
        <r>
          <rPr>
            <b/>
            <sz val="9"/>
            <color indexed="81"/>
            <rFont val="細明體"/>
            <family val="3"/>
            <charset val="136"/>
          </rPr>
          <t>普通</t>
        </r>
        <r>
          <rPr>
            <b/>
            <sz val="9"/>
            <color indexed="81"/>
            <rFont val="Tahoma"/>
            <family val="2"/>
          </rPr>
          <t>+</t>
        </r>
        <r>
          <rPr>
            <b/>
            <sz val="9"/>
            <color indexed="81"/>
            <rFont val="細明體"/>
            <family val="3"/>
            <charset val="136"/>
          </rPr>
          <t>職災</t>
        </r>
      </text>
    </comment>
  </commentList>
</comments>
</file>

<file path=xl/sharedStrings.xml><?xml version="1.0" encoding="utf-8"?>
<sst xmlns="http://schemas.openxmlformats.org/spreadsheetml/2006/main" count="2926" uniqueCount="1799">
  <si>
    <t>　  呆帳</t>
    <phoneticPr fontId="5" type="noConversion"/>
  </si>
  <si>
    <r>
      <t>5</t>
    </r>
    <r>
      <rPr>
        <sz val="18"/>
        <rFont val="標楷體"/>
        <family val="4"/>
        <charset val="136"/>
      </rPr>
      <t>年來主要營運項目分析表</t>
    </r>
    <phoneticPr fontId="5" type="noConversion"/>
  </si>
  <si>
    <t>前年度決算數</t>
    <phoneticPr fontId="5" type="noConversion"/>
  </si>
  <si>
    <t>本年度預算數</t>
  </si>
  <si>
    <t>前年度決算數</t>
  </si>
  <si>
    <t>上年度預算數</t>
  </si>
  <si>
    <t>科目及業務計畫項目</t>
  </si>
  <si>
    <t>　  保險給付</t>
    <phoneticPr fontId="5" type="noConversion"/>
  </si>
  <si>
    <t>％</t>
  </si>
  <si>
    <t>-</t>
  </si>
  <si>
    <t xml:space="preserve"> </t>
  </si>
  <si>
    <t>　  提存責任準備</t>
    <phoneticPr fontId="5" type="noConversion"/>
  </si>
  <si>
    <t>保險成本明細表</t>
    <phoneticPr fontId="5" type="noConversion"/>
  </si>
  <si>
    <t>保險成本</t>
    <phoneticPr fontId="5" type="noConversion"/>
  </si>
  <si>
    <t>-</t>
    <phoneticPr fontId="5" type="noConversion"/>
  </si>
  <si>
    <t>科　　　目</t>
  </si>
  <si>
    <t>業務收入</t>
  </si>
  <si>
    <t>　  提存責任準備(未加保勞工)</t>
    <phoneticPr fontId="5" type="noConversion"/>
  </si>
  <si>
    <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5" type="noConversion"/>
  </si>
  <si>
    <t>負債</t>
    <phoneticPr fontId="5" type="noConversion"/>
  </si>
  <si>
    <t>　職業災害勞工保護</t>
    <phoneticPr fontId="5" type="noConversion"/>
  </si>
  <si>
    <t>　什項資產</t>
    <phoneticPr fontId="5" type="noConversion"/>
  </si>
  <si>
    <t>　應付款項</t>
    <phoneticPr fontId="5" type="noConversion"/>
  </si>
  <si>
    <t>　預收款項</t>
    <phoneticPr fontId="5" type="noConversion"/>
  </si>
  <si>
    <t>　負債準備</t>
    <phoneticPr fontId="5" type="noConversion"/>
  </si>
  <si>
    <t>　什項負債</t>
    <phoneticPr fontId="5" type="noConversion"/>
  </si>
  <si>
    <t>　累積賸餘</t>
    <phoneticPr fontId="5" type="noConversion"/>
  </si>
  <si>
    <t>業務外費用</t>
    <phoneticPr fontId="5" type="noConversion"/>
  </si>
  <si>
    <t>　　　    普通事故</t>
    <phoneticPr fontId="5" type="noConversion"/>
  </si>
  <si>
    <t>　　　    職業災害</t>
    <phoneticPr fontId="5" type="noConversion"/>
  </si>
  <si>
    <t>　　　    已加保勞工</t>
    <phoneticPr fontId="5" type="noConversion"/>
  </si>
  <si>
    <t>　　　    未加保勞工</t>
    <phoneticPr fontId="5" type="noConversion"/>
  </si>
  <si>
    <t>　勞工保險</t>
    <phoneticPr fontId="5" type="noConversion"/>
  </si>
  <si>
    <t>　就業保險</t>
    <phoneticPr fontId="5" type="noConversion"/>
  </si>
  <si>
    <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5" type="noConversion"/>
  </si>
  <si>
    <t>上年度預算數</t>
    <phoneticPr fontId="5" type="noConversion"/>
  </si>
  <si>
    <t>合計</t>
    <phoneticPr fontId="5" type="noConversion"/>
  </si>
  <si>
    <t>　　  短絀、賠償與保險給付</t>
    <phoneticPr fontId="5" type="noConversion"/>
  </si>
  <si>
    <t>　　　  保險給付</t>
    <phoneticPr fontId="5" type="noConversion"/>
  </si>
  <si>
    <t>　　　  提存</t>
    <phoneticPr fontId="5" type="noConversion"/>
  </si>
  <si>
    <t>　　　  各項短絀</t>
    <phoneticPr fontId="5" type="noConversion"/>
  </si>
  <si>
    <r>
      <t xml:space="preserve">    </t>
    </r>
    <r>
      <rPr>
        <b/>
        <sz val="12"/>
        <rFont val="標楷體"/>
        <family val="4"/>
        <charset val="136"/>
      </rPr>
      <t>未加保勞工</t>
    </r>
    <phoneticPr fontId="22" type="noConversion"/>
  </si>
  <si>
    <r>
      <t xml:space="preserve">        </t>
    </r>
    <r>
      <rPr>
        <sz val="12"/>
        <rFont val="標楷體"/>
        <family val="4"/>
        <charset val="136"/>
      </rPr>
      <t>死亡補助</t>
    </r>
    <phoneticPr fontId="22" type="noConversion"/>
  </si>
  <si>
    <r>
      <t xml:space="preserve">        </t>
    </r>
    <r>
      <rPr>
        <sz val="12"/>
        <rFont val="標楷體"/>
        <family val="4"/>
        <charset val="136"/>
      </rPr>
      <t>職業疾病生活津貼</t>
    </r>
    <phoneticPr fontId="22" type="noConversion"/>
  </si>
  <si>
    <r>
      <t xml:space="preserve">        </t>
    </r>
    <r>
      <rPr>
        <sz val="12"/>
        <rFont val="標楷體"/>
        <family val="4"/>
        <charset val="136"/>
      </rPr>
      <t>職業訓練生活津貼</t>
    </r>
    <phoneticPr fontId="22" type="noConversion"/>
  </si>
  <si>
    <r>
      <t xml:space="preserve">        </t>
    </r>
    <r>
      <rPr>
        <sz val="12"/>
        <rFont val="標楷體"/>
        <family val="4"/>
        <charset val="136"/>
      </rPr>
      <t>器具補助</t>
    </r>
    <phoneticPr fontId="22" type="noConversion"/>
  </si>
  <si>
    <r>
      <t xml:space="preserve">        </t>
    </r>
    <r>
      <rPr>
        <sz val="12"/>
        <rFont val="標楷體"/>
        <family val="4"/>
        <charset val="136"/>
      </rPr>
      <t>看護補助</t>
    </r>
    <phoneticPr fontId="22" type="noConversion"/>
  </si>
  <si>
    <r>
      <t xml:space="preserve">        </t>
    </r>
    <r>
      <rPr>
        <sz val="12"/>
        <rFont val="標楷體"/>
        <family val="4"/>
        <charset val="136"/>
      </rPr>
      <t>家屬補助</t>
    </r>
    <phoneticPr fontId="22" type="noConversion"/>
  </si>
  <si>
    <r>
      <t xml:space="preserve">        </t>
    </r>
    <r>
      <rPr>
        <sz val="12"/>
        <rFont val="標楷體"/>
        <family val="4"/>
        <charset val="136"/>
      </rPr>
      <t>複檢費用</t>
    </r>
    <phoneticPr fontId="22" type="noConversion"/>
  </si>
  <si>
    <r>
      <t xml:space="preserve">        </t>
    </r>
    <r>
      <rPr>
        <sz val="12"/>
        <rFont val="標楷體"/>
        <family val="4"/>
        <charset val="136"/>
      </rPr>
      <t>委託鑑定費用</t>
    </r>
    <phoneticPr fontId="22" type="noConversion"/>
  </si>
  <si>
    <r>
      <t xml:space="preserve">            </t>
    </r>
    <r>
      <rPr>
        <sz val="12"/>
        <rFont val="標楷體"/>
        <family val="4"/>
        <charset val="136"/>
      </rPr>
      <t xml:space="preserve">職業疾病相當勞保失能給付
</t>
    </r>
    <r>
      <rPr>
        <sz val="12"/>
        <rFont val="Times New Roman"/>
        <family val="1"/>
      </rPr>
      <t xml:space="preserve">            1-3</t>
    </r>
    <r>
      <rPr>
        <sz val="12"/>
        <rFont val="標楷體"/>
        <family val="4"/>
        <charset val="136"/>
      </rPr>
      <t>等級且喪失全部工作能力</t>
    </r>
    <phoneticPr fontId="22" type="noConversion"/>
  </si>
  <si>
    <r>
      <t xml:space="preserve">            </t>
    </r>
    <r>
      <rPr>
        <sz val="12"/>
        <rFont val="標楷體"/>
        <family val="4"/>
        <charset val="136"/>
      </rPr>
      <t xml:space="preserve">職業疾病相當勞保失能給付
</t>
    </r>
    <r>
      <rPr>
        <sz val="12"/>
        <rFont val="Times New Roman"/>
        <family val="1"/>
      </rPr>
      <t xml:space="preserve">            1-7</t>
    </r>
    <r>
      <rPr>
        <sz val="12"/>
        <rFont val="標楷體"/>
        <family val="4"/>
        <charset val="136"/>
      </rPr>
      <t>等級且喪失部分工作能力</t>
    </r>
    <phoneticPr fontId="22" type="noConversion"/>
  </si>
  <si>
    <r>
      <t xml:space="preserve">            </t>
    </r>
    <r>
      <rPr>
        <sz val="12"/>
        <rFont val="標楷體"/>
        <family val="4"/>
        <charset val="136"/>
      </rPr>
      <t xml:space="preserve">職業疾病相當勞保失能給付
</t>
    </r>
    <r>
      <rPr>
        <sz val="12"/>
        <rFont val="Times New Roman"/>
        <family val="1"/>
      </rPr>
      <t xml:space="preserve">            8-10</t>
    </r>
    <r>
      <rPr>
        <sz val="12"/>
        <rFont val="標楷體"/>
        <family val="4"/>
        <charset val="136"/>
      </rPr>
      <t>等級且喪失部分工作能力</t>
    </r>
    <phoneticPr fontId="22" type="noConversion"/>
  </si>
  <si>
    <r>
      <t xml:space="preserve">            </t>
    </r>
    <r>
      <rPr>
        <sz val="12"/>
        <rFont val="標楷體"/>
        <family val="4"/>
        <charset val="136"/>
      </rPr>
      <t xml:space="preserve">職業疾病相當勞保失能給付
</t>
    </r>
    <r>
      <rPr>
        <sz val="12"/>
        <rFont val="Times New Roman"/>
        <family val="1"/>
      </rPr>
      <t xml:space="preserve">            11-15</t>
    </r>
    <r>
      <rPr>
        <sz val="12"/>
        <rFont val="標楷體"/>
        <family val="4"/>
        <charset val="136"/>
      </rPr>
      <t>等級且喪失部分工作能力</t>
    </r>
    <phoneticPr fontId="22" type="noConversion"/>
  </si>
  <si>
    <r>
      <t xml:space="preserve">            </t>
    </r>
    <r>
      <rPr>
        <sz val="12"/>
        <rFont val="標楷體"/>
        <family val="4"/>
        <charset val="136"/>
      </rPr>
      <t xml:space="preserve">符合勞保失能給付
</t>
    </r>
    <r>
      <rPr>
        <sz val="12"/>
        <rFont val="Times New Roman"/>
        <family val="1"/>
      </rPr>
      <t xml:space="preserve">            1-3</t>
    </r>
    <r>
      <rPr>
        <sz val="12"/>
        <rFont val="標楷體"/>
        <family val="4"/>
        <charset val="136"/>
      </rPr>
      <t>等級且喪失全部工作能力</t>
    </r>
    <phoneticPr fontId="22" type="noConversion"/>
  </si>
  <si>
    <r>
      <t xml:space="preserve">            </t>
    </r>
    <r>
      <rPr>
        <sz val="12"/>
        <rFont val="標楷體"/>
        <family val="4"/>
        <charset val="136"/>
      </rPr>
      <t xml:space="preserve">符合勞保失能給付
</t>
    </r>
    <r>
      <rPr>
        <sz val="12"/>
        <rFont val="Times New Roman"/>
        <family val="1"/>
      </rPr>
      <t xml:space="preserve">            1-7</t>
    </r>
    <r>
      <rPr>
        <sz val="12"/>
        <rFont val="標楷體"/>
        <family val="4"/>
        <charset val="136"/>
      </rPr>
      <t>等級且喪失部分工作能力</t>
    </r>
    <phoneticPr fontId="22" type="noConversion"/>
  </si>
  <si>
    <t>無形資產</t>
    <phoneticPr fontId="5" type="noConversion"/>
  </si>
  <si>
    <t>　無形資產</t>
    <phoneticPr fontId="5" type="noConversion"/>
  </si>
  <si>
    <r>
      <rPr>
        <sz val="12"/>
        <rFont val="標楷體"/>
        <family val="4"/>
        <charset val="136"/>
      </rPr>
      <t>係申請人溢領保險給付，經函請退還溢領款項，逾期未繳還經移送行政執行署依法執行後，依當年度</t>
    </r>
    <r>
      <rPr>
        <sz val="12"/>
        <rFont val="Times New Roman"/>
        <family val="1"/>
      </rPr>
      <t>1</t>
    </r>
    <r>
      <rPr>
        <sz val="12"/>
        <rFont val="標楷體"/>
        <family val="4"/>
        <charset val="136"/>
      </rPr>
      <t>月</t>
    </r>
    <r>
      <rPr>
        <sz val="12"/>
        <rFont val="Times New Roman"/>
        <family val="1"/>
      </rPr>
      <t>1</t>
    </r>
    <r>
      <rPr>
        <sz val="12"/>
        <rFont val="標楷體"/>
        <family val="4"/>
        <charset val="136"/>
      </rPr>
      <t>日郵政儲金</t>
    </r>
    <r>
      <rPr>
        <sz val="12"/>
        <rFont val="Times New Roman"/>
        <family val="1"/>
      </rPr>
      <t>1</t>
    </r>
    <r>
      <rPr>
        <sz val="12"/>
        <rFont val="標楷體"/>
        <family val="4"/>
        <charset val="136"/>
      </rPr>
      <t>年期定期存款固定利率加計利息所產生之遲延利息。</t>
    </r>
    <phoneticPr fontId="5"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</si>
  <si>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5"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</si>
  <si>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5" type="noConversion"/>
  </si>
  <si>
    <r>
      <rPr>
        <sz val="12"/>
        <rFont val="標楷體"/>
        <family val="4"/>
        <charset val="136"/>
      </rPr>
      <t>項目</t>
    </r>
    <phoneticPr fontId="5" type="noConversion"/>
  </si>
  <si>
    <r>
      <rPr>
        <sz val="12"/>
        <rFont val="標楷體"/>
        <family val="4"/>
        <charset val="136"/>
      </rPr>
      <t>預算數</t>
    </r>
    <phoneticPr fontId="5" type="noConversion"/>
  </si>
  <si>
    <r>
      <rPr>
        <sz val="12"/>
        <rFont val="標楷體"/>
        <family val="4"/>
        <charset val="136"/>
      </rPr>
      <t>說明</t>
    </r>
  </si>
  <si>
    <r>
      <rPr>
        <b/>
        <sz val="12"/>
        <rFont val="標楷體"/>
        <family val="4"/>
        <charset val="136"/>
      </rPr>
      <t>業務活動之現金流量</t>
    </r>
  </si>
  <si>
    <r>
      <rPr>
        <sz val="12"/>
        <rFont val="標楷體"/>
        <family val="4"/>
        <charset val="136"/>
      </rPr>
      <t>千元</t>
    </r>
    <phoneticPr fontId="5" type="noConversion"/>
  </si>
  <si>
    <r>
      <rPr>
        <sz val="12"/>
        <rFont val="標楷體"/>
        <family val="4"/>
        <charset val="136"/>
      </rPr>
      <t>　　</t>
    </r>
    <phoneticPr fontId="5" type="noConversion"/>
  </si>
  <si>
    <r>
      <rPr>
        <b/>
        <sz val="12"/>
        <rFont val="標楷體"/>
        <family val="4"/>
        <charset val="136"/>
      </rPr>
      <t>投資活動之現金流量</t>
    </r>
    <phoneticPr fontId="5" type="noConversion"/>
  </si>
  <si>
    <r>
      <rPr>
        <sz val="12"/>
        <rFont val="標楷體"/>
        <family val="4"/>
        <charset val="136"/>
      </rPr>
      <t>　減少流動金融資產及短期貸墊款</t>
    </r>
    <phoneticPr fontId="5" type="noConversion"/>
  </si>
  <si>
    <r>
      <rPr>
        <sz val="12"/>
        <rFont val="標楷體"/>
        <family val="4"/>
        <charset val="136"/>
      </rPr>
      <t>　增加流動金融資產及短期貸墊款</t>
    </r>
    <phoneticPr fontId="5" type="noConversion"/>
  </si>
  <si>
    <r>
      <rPr>
        <sz val="12"/>
        <rFont val="標楷體"/>
        <family val="4"/>
        <charset val="136"/>
      </rPr>
      <t>　增加投資、長期應收款、貸墊款及準備金</t>
    </r>
    <phoneticPr fontId="5" type="noConversion"/>
  </si>
  <si>
    <r>
      <rPr>
        <sz val="12"/>
        <rFont val="標楷體"/>
        <family val="4"/>
        <charset val="136"/>
      </rPr>
      <t>　增加無形資產、遞延借項及其他資產</t>
    </r>
    <phoneticPr fontId="5" type="noConversion"/>
  </si>
  <si>
    <r>
      <rPr>
        <sz val="12"/>
        <rFont val="標楷體"/>
        <family val="4"/>
        <charset val="136"/>
      </rPr>
      <t>係增加無形資產。</t>
    </r>
    <phoneticPr fontId="5" type="noConversion"/>
  </si>
  <si>
    <r>
      <rPr>
        <b/>
        <sz val="12"/>
        <rFont val="標楷體"/>
        <family val="4"/>
        <charset val="136"/>
      </rPr>
      <t>期初現金及約當現金</t>
    </r>
  </si>
  <si>
    <r>
      <rPr>
        <b/>
        <sz val="12"/>
        <rFont val="標楷體"/>
        <family val="4"/>
        <charset val="136"/>
      </rPr>
      <t>期末現金及約當現金</t>
    </r>
  </si>
  <si>
    <r>
      <rPr>
        <sz val="13"/>
        <rFont val="標楷體"/>
        <family val="4"/>
        <charset val="136"/>
      </rPr>
      <t>三、</t>
    </r>
  </si>
  <si>
    <r>
      <rPr>
        <sz val="12"/>
        <rFont val="標楷體"/>
        <family val="4"/>
        <charset val="136"/>
      </rPr>
      <t>上年度預算數</t>
    </r>
  </si>
  <si>
    <r>
      <rPr>
        <sz val="12"/>
        <rFont val="標楷體"/>
        <family val="4"/>
        <charset val="136"/>
      </rPr>
      <t>本年度預算數</t>
    </r>
  </si>
  <si>
    <r>
      <rPr>
        <sz val="12"/>
        <rFont val="標楷體"/>
        <family val="4"/>
        <charset val="136"/>
      </rPr>
      <t>說　　　明</t>
    </r>
  </si>
  <si>
    <r>
      <rPr>
        <sz val="12"/>
        <rFont val="標楷體"/>
        <family val="4"/>
        <charset val="136"/>
      </rPr>
      <t>金　額</t>
    </r>
  </si>
  <si>
    <r>
      <rPr>
        <sz val="12"/>
        <rFont val="標楷體"/>
        <family val="4"/>
        <charset val="136"/>
      </rPr>
      <t>％</t>
    </r>
  </si>
  <si>
    <r>
      <rPr>
        <sz val="12"/>
        <rFont val="標楷體"/>
        <family val="4"/>
        <charset val="136"/>
      </rPr>
      <t>賸餘之部</t>
    </r>
  </si>
  <si>
    <r>
      <rPr>
        <sz val="12"/>
        <rFont val="標楷體"/>
        <family val="4"/>
        <charset val="136"/>
      </rPr>
      <t>未分配賸餘</t>
    </r>
  </si>
  <si>
    <r>
      <rPr>
        <sz val="12"/>
        <rFont val="標楷體"/>
        <family val="4"/>
        <charset val="136"/>
      </rPr>
      <t>　</t>
    </r>
    <r>
      <rPr>
        <sz val="12"/>
        <rFont val="Times New Roman"/>
        <family val="1"/>
      </rPr>
      <t xml:space="preserve"> </t>
    </r>
  </si>
  <si>
    <r>
      <rPr>
        <sz val="12"/>
        <rFont val="標楷體"/>
        <family val="4"/>
        <charset val="136"/>
      </rPr>
      <t>單位</t>
    </r>
  </si>
  <si>
    <r>
      <rPr>
        <sz val="12"/>
        <rFont val="標楷體"/>
        <family val="4"/>
        <charset val="136"/>
      </rPr>
      <t>預</t>
    </r>
    <r>
      <rPr>
        <sz val="12"/>
        <rFont val="Times New Roman"/>
        <family val="1"/>
      </rPr>
      <t xml:space="preserve"> </t>
    </r>
    <r>
      <rPr>
        <sz val="12"/>
        <rFont val="標楷體"/>
        <family val="4"/>
        <charset val="136"/>
      </rPr>
      <t>算</t>
    </r>
    <r>
      <rPr>
        <sz val="12"/>
        <rFont val="Times New Roman"/>
        <family val="1"/>
      </rPr>
      <t xml:space="preserve"> </t>
    </r>
    <r>
      <rPr>
        <sz val="12"/>
        <rFont val="標楷體"/>
        <family val="4"/>
        <charset val="136"/>
      </rPr>
      <t>數</t>
    </r>
    <phoneticPr fontId="5" type="noConversion"/>
  </si>
  <si>
    <r>
      <rPr>
        <sz val="12"/>
        <rFont val="標楷體"/>
        <family val="4"/>
        <charset val="136"/>
      </rPr>
      <t>數</t>
    </r>
    <r>
      <rPr>
        <sz val="12"/>
        <rFont val="Times New Roman"/>
        <family val="1"/>
      </rPr>
      <t xml:space="preserve">    </t>
    </r>
    <r>
      <rPr>
        <sz val="12"/>
        <rFont val="標楷體"/>
        <family val="4"/>
        <charset val="136"/>
      </rPr>
      <t xml:space="preserve">量
</t>
    </r>
    <r>
      <rPr>
        <sz val="12"/>
        <rFont val="Times New Roman"/>
        <family val="1"/>
      </rPr>
      <t>(</t>
    </r>
    <r>
      <rPr>
        <sz val="12"/>
        <rFont val="標楷體"/>
        <family val="4"/>
        <charset val="136"/>
      </rPr>
      <t>業務量</t>
    </r>
    <r>
      <rPr>
        <sz val="12"/>
        <rFont val="Times New Roman"/>
        <family val="1"/>
      </rPr>
      <t>)</t>
    </r>
    <phoneticPr fontId="5" type="noConversion"/>
  </si>
  <si>
    <r>
      <rPr>
        <sz val="12"/>
        <rFont val="標楷體"/>
        <family val="4"/>
        <charset val="136"/>
      </rPr>
      <t>利</t>
    </r>
    <r>
      <rPr>
        <sz val="12"/>
        <rFont val="Times New Roman"/>
        <family val="1"/>
      </rPr>
      <t>(</t>
    </r>
    <r>
      <rPr>
        <sz val="12"/>
        <rFont val="標楷體"/>
        <family val="4"/>
        <charset val="136"/>
      </rPr>
      <t>費</t>
    </r>
    <r>
      <rPr>
        <sz val="12"/>
        <rFont val="Times New Roman"/>
        <family val="1"/>
      </rPr>
      <t>)</t>
    </r>
    <r>
      <rPr>
        <sz val="12"/>
        <rFont val="標楷體"/>
        <family val="4"/>
        <charset val="136"/>
      </rPr>
      <t>率</t>
    </r>
    <phoneticPr fontId="5" type="noConversion"/>
  </si>
  <si>
    <r>
      <rPr>
        <sz val="12"/>
        <rFont val="標楷體"/>
        <family val="4"/>
        <charset val="136"/>
      </rPr>
      <t>金</t>
    </r>
    <r>
      <rPr>
        <sz val="12"/>
        <rFont val="Times New Roman"/>
        <family val="1"/>
      </rPr>
      <t xml:space="preserve">   </t>
    </r>
    <r>
      <rPr>
        <sz val="12"/>
        <rFont val="標楷體"/>
        <family val="4"/>
        <charset val="136"/>
      </rPr>
      <t>額</t>
    </r>
    <phoneticPr fontId="5" type="noConversion"/>
  </si>
  <si>
    <r>
      <rPr>
        <sz val="12"/>
        <rFont val="標楷體"/>
        <family val="4"/>
        <charset val="136"/>
      </rPr>
      <t>買賣股票、受益憑證等之利益。</t>
    </r>
    <phoneticPr fontId="5" type="noConversion"/>
  </si>
  <si>
    <r>
      <rPr>
        <sz val="12"/>
        <rFont val="標楷體"/>
        <family val="4"/>
        <charset val="136"/>
      </rPr>
      <t>台幣存款及外幣存款。</t>
    </r>
    <phoneticPr fontId="5" type="noConversion"/>
  </si>
  <si>
    <r>
      <rPr>
        <sz val="12"/>
        <rFont val="標楷體"/>
        <family val="4"/>
        <charset val="136"/>
      </rPr>
      <t>台幣存款。</t>
    </r>
    <phoneticPr fontId="5" type="noConversion"/>
  </si>
  <si>
    <r>
      <rPr>
        <sz val="12"/>
        <rFont val="標楷體"/>
        <family val="4"/>
        <charset val="136"/>
      </rPr>
      <t>投資商業票券。</t>
    </r>
    <phoneticPr fontId="5" type="noConversion"/>
  </si>
  <si>
    <r>
      <rPr>
        <sz val="12"/>
        <rFont val="標楷體"/>
        <family val="4"/>
        <charset val="136"/>
      </rPr>
      <t>投資公債、庫券、公司債及金融債券。</t>
    </r>
    <phoneticPr fontId="5" type="noConversion"/>
  </si>
  <si>
    <r>
      <rPr>
        <sz val="12"/>
        <rFont val="標楷體"/>
        <family val="4"/>
        <charset val="136"/>
      </rPr>
      <t>投資國外固定收益商品
。</t>
    </r>
    <phoneticPr fontId="5" type="noConversion"/>
  </si>
  <si>
    <r>
      <rPr>
        <sz val="12"/>
        <rFont val="標楷體"/>
        <family val="4"/>
        <charset val="136"/>
      </rPr>
      <t>係政府補助未加入勞工保險而遭遇職業災害勞工之各項補助。</t>
    </r>
    <phoneticPr fontId="5" type="noConversion"/>
  </si>
  <si>
    <r>
      <rPr>
        <sz val="12"/>
        <rFont val="標楷體"/>
        <family val="4"/>
        <charset val="136"/>
      </rPr>
      <t>本科目全數由勞動部勞工保險局辦理。</t>
    </r>
    <phoneticPr fontId="5" type="noConversion"/>
  </si>
  <si>
    <r>
      <rPr>
        <sz val="12"/>
        <rFont val="標楷體"/>
        <family val="4"/>
        <charset val="136"/>
      </rPr>
      <t>係預估呆帳收回。</t>
    </r>
    <phoneticPr fontId="5" type="noConversion"/>
  </si>
  <si>
    <r>
      <rPr>
        <sz val="12"/>
        <color indexed="8"/>
        <rFont val="標楷體"/>
        <family val="4"/>
        <charset val="136"/>
      </rPr>
      <t>係退保已久投保單位溢繳之保險費。</t>
    </r>
    <phoneticPr fontId="5" type="noConversion"/>
  </si>
  <si>
    <r>
      <rPr>
        <sz val="12"/>
        <rFont val="標楷體"/>
        <family val="4"/>
        <charset val="136"/>
      </rPr>
      <t>前年度決算數</t>
    </r>
  </si>
  <si>
    <r>
      <rPr>
        <sz val="14"/>
        <rFont val="標楷體"/>
        <family val="4"/>
        <charset val="136"/>
      </rPr>
      <t>科</t>
    </r>
    <r>
      <rPr>
        <sz val="14"/>
        <rFont val="Times New Roman"/>
        <family val="1"/>
      </rPr>
      <t xml:space="preserve">  </t>
    </r>
    <r>
      <rPr>
        <sz val="14"/>
        <rFont val="標楷體"/>
        <family val="4"/>
        <charset val="136"/>
      </rPr>
      <t>目</t>
    </r>
    <phoneticPr fontId="5" type="noConversion"/>
  </si>
  <si>
    <r>
      <rPr>
        <sz val="14"/>
        <rFont val="標楷體"/>
        <family val="4"/>
        <charset val="136"/>
      </rPr>
      <t>說</t>
    </r>
    <r>
      <rPr>
        <sz val="14"/>
        <rFont val="Times New Roman"/>
        <family val="1"/>
      </rPr>
      <t xml:space="preserve">   </t>
    </r>
    <r>
      <rPr>
        <sz val="14"/>
        <rFont val="標楷體"/>
        <family val="4"/>
        <charset val="136"/>
      </rPr>
      <t>明</t>
    </r>
    <phoneticPr fontId="5" type="noConversion"/>
  </si>
  <si>
    <r>
      <rPr>
        <sz val="12"/>
        <rFont val="標楷體"/>
        <family val="4"/>
        <charset val="136"/>
      </rPr>
      <t>編列</t>
    </r>
    <r>
      <rPr>
        <sz val="12"/>
        <rFont val="Times New Roman"/>
        <family val="1"/>
      </rPr>
      <t>7</t>
    </r>
    <r>
      <rPr>
        <sz val="12"/>
        <rFont val="標楷體"/>
        <family val="4"/>
        <charset val="136"/>
      </rPr>
      <t>千元，係基金投資之不動產，招租期間之基本水電費等。</t>
    </r>
    <phoneticPr fontId="5" type="noConversion"/>
  </si>
  <si>
    <r>
      <rPr>
        <sz val="12"/>
        <rFont val="標楷體"/>
        <family val="4"/>
        <charset val="136"/>
      </rPr>
      <t>編列</t>
    </r>
    <r>
      <rPr>
        <sz val="12"/>
        <rFont val="Times New Roman"/>
        <family val="1"/>
      </rPr>
      <t>121</t>
    </r>
    <r>
      <rPr>
        <sz val="12"/>
        <rFont val="標楷體"/>
        <family val="4"/>
        <charset val="136"/>
      </rPr>
      <t>千元，係基金投資不動產之保險費用。</t>
    </r>
    <phoneticPr fontId="5" type="noConversion"/>
  </si>
  <si>
    <r>
      <rPr>
        <sz val="12"/>
        <rFont val="標楷體"/>
        <family val="4"/>
        <charset val="136"/>
      </rPr>
      <t>說明</t>
    </r>
    <phoneticPr fontId="5" type="noConversion"/>
  </si>
  <si>
    <r>
      <rPr>
        <sz val="12"/>
        <rFont val="標楷體"/>
        <family val="4"/>
        <charset val="136"/>
      </rPr>
      <t>金額</t>
    </r>
    <phoneticPr fontId="5" type="noConversion"/>
  </si>
  <si>
    <r>
      <rPr>
        <sz val="12"/>
        <rFont val="標楷體"/>
        <family val="4"/>
        <charset val="136"/>
      </rPr>
      <t>科目</t>
    </r>
    <phoneticPr fontId="5" type="noConversion"/>
  </si>
  <si>
    <r>
      <rPr>
        <sz val="12"/>
        <rFont val="標楷體"/>
        <family val="4"/>
        <charset val="136"/>
      </rPr>
      <t>年</t>
    </r>
    <r>
      <rPr>
        <sz val="12"/>
        <rFont val="Times New Roman"/>
        <family val="1"/>
      </rPr>
      <t xml:space="preserve"> </t>
    </r>
    <r>
      <rPr>
        <sz val="12"/>
        <rFont val="標楷體"/>
        <family val="4"/>
        <charset val="136"/>
      </rPr>
      <t>度</t>
    </r>
    <r>
      <rPr>
        <sz val="12"/>
        <rFont val="Times New Roman"/>
        <family val="1"/>
      </rPr>
      <t xml:space="preserve"> </t>
    </r>
    <r>
      <rPr>
        <sz val="12"/>
        <rFont val="標楷體"/>
        <family val="4"/>
        <charset val="136"/>
      </rPr>
      <t>及</t>
    </r>
    <r>
      <rPr>
        <sz val="12"/>
        <rFont val="Times New Roman"/>
        <family val="1"/>
      </rPr>
      <t xml:space="preserve"> </t>
    </r>
    <r>
      <rPr>
        <sz val="12"/>
        <rFont val="標楷體"/>
        <family val="4"/>
        <charset val="136"/>
      </rPr>
      <t>項</t>
    </r>
    <r>
      <rPr>
        <sz val="12"/>
        <rFont val="Times New Roman"/>
        <family val="1"/>
      </rPr>
      <t xml:space="preserve"> </t>
    </r>
    <r>
      <rPr>
        <sz val="12"/>
        <rFont val="標楷體"/>
        <family val="4"/>
        <charset val="136"/>
      </rPr>
      <t>目</t>
    </r>
  </si>
  <si>
    <r>
      <rPr>
        <sz val="12"/>
        <rFont val="標楷體"/>
        <family val="4"/>
        <charset val="136"/>
      </rPr>
      <t>數量</t>
    </r>
    <phoneticPr fontId="5" type="noConversion"/>
  </si>
  <si>
    <r>
      <rPr>
        <sz val="12"/>
        <rFont val="標楷體"/>
        <family val="4"/>
        <charset val="136"/>
      </rPr>
      <t>單位成本
（元）或平
均利</t>
    </r>
    <r>
      <rPr>
        <sz val="12"/>
        <rFont val="Times New Roman"/>
        <family val="1"/>
      </rPr>
      <t>(</t>
    </r>
    <r>
      <rPr>
        <sz val="12"/>
        <rFont val="標楷體"/>
        <family val="4"/>
        <charset val="136"/>
      </rPr>
      <t>費</t>
    </r>
    <r>
      <rPr>
        <sz val="12"/>
        <rFont val="Times New Roman"/>
        <family val="1"/>
      </rPr>
      <t>)</t>
    </r>
    <r>
      <rPr>
        <sz val="12"/>
        <rFont val="標楷體"/>
        <family val="4"/>
        <charset val="136"/>
      </rPr>
      <t>率</t>
    </r>
    <phoneticPr fontId="5" type="noConversion"/>
  </si>
  <si>
    <r>
      <rPr>
        <sz val="12"/>
        <rFont val="標楷體"/>
        <family val="4"/>
        <charset val="136"/>
      </rPr>
      <t>科　　　　　　目</t>
    </r>
  </si>
  <si>
    <r>
      <rPr>
        <sz val="12"/>
        <rFont val="標楷體"/>
        <family val="4"/>
        <charset val="136"/>
      </rPr>
      <t>合計</t>
    </r>
    <phoneticPr fontId="5" type="noConversion"/>
  </si>
  <si>
    <r>
      <rPr>
        <sz val="11"/>
        <rFont val="標楷體"/>
        <family val="4"/>
        <charset val="136"/>
      </rPr>
      <t>投融資業
務成本</t>
    </r>
    <phoneticPr fontId="5" type="noConversion"/>
  </si>
  <si>
    <r>
      <rPr>
        <sz val="11"/>
        <rFont val="標楷體"/>
        <family val="4"/>
        <charset val="136"/>
      </rPr>
      <t>保險成本</t>
    </r>
    <phoneticPr fontId="5" type="noConversion"/>
  </si>
  <si>
    <r>
      <rPr>
        <sz val="11"/>
        <rFont val="標楷體"/>
        <family val="4"/>
        <charset val="136"/>
      </rPr>
      <t>其他業
務成本</t>
    </r>
    <phoneticPr fontId="5" type="noConversion"/>
  </si>
  <si>
    <r>
      <rPr>
        <sz val="11"/>
        <rFont val="標楷體"/>
        <family val="4"/>
        <charset val="136"/>
      </rPr>
      <t>其他業務
外費用</t>
    </r>
    <phoneticPr fontId="5" type="noConversion"/>
  </si>
  <si>
    <r>
      <t xml:space="preserve">      </t>
    </r>
    <r>
      <rPr>
        <sz val="18"/>
        <rFont val="標楷體"/>
        <family val="4"/>
        <charset val="136"/>
      </rPr>
      <t>各項費用</t>
    </r>
    <r>
      <rPr>
        <sz val="18"/>
        <rFont val="Times New Roman"/>
        <family val="1"/>
      </rPr>
      <t xml:space="preserve"> </t>
    </r>
    <r>
      <rPr>
        <sz val="18"/>
        <rFont val="標楷體"/>
        <family val="4"/>
        <charset val="136"/>
      </rPr>
      <t>彙計表</t>
    </r>
    <phoneticPr fontId="5" type="noConversion"/>
  </si>
  <si>
    <r>
      <rPr>
        <sz val="12"/>
        <rFont val="標楷體"/>
        <family val="4"/>
        <charset val="136"/>
      </rPr>
      <t>小計</t>
    </r>
    <phoneticPr fontId="5" type="noConversion"/>
  </si>
  <si>
    <r>
      <rPr>
        <sz val="12"/>
        <rFont val="標楷體"/>
        <family val="4"/>
        <charset val="136"/>
      </rPr>
      <t>投資名稱</t>
    </r>
    <phoneticPr fontId="5" type="noConversion"/>
  </si>
  <si>
    <r>
      <rPr>
        <sz val="12"/>
        <rFont val="標楷體"/>
        <family val="4"/>
        <charset val="136"/>
      </rPr>
      <t>投資金額</t>
    </r>
    <phoneticPr fontId="22" type="noConversion"/>
  </si>
  <si>
    <r>
      <rPr>
        <sz val="12"/>
        <rFont val="標楷體"/>
        <family val="4"/>
        <charset val="136"/>
      </rPr>
      <t>本年度
收入</t>
    </r>
    <phoneticPr fontId="22" type="noConversion"/>
  </si>
  <si>
    <r>
      <rPr>
        <sz val="12"/>
        <rFont val="標楷體"/>
        <family val="4"/>
        <charset val="136"/>
      </rPr>
      <t>以前年度
已投資額</t>
    </r>
    <phoneticPr fontId="22" type="noConversion"/>
  </si>
  <si>
    <r>
      <rPr>
        <sz val="12"/>
        <rFont val="標楷體"/>
        <family val="4"/>
        <charset val="136"/>
      </rPr>
      <t>本年度擬
投資金額</t>
    </r>
    <phoneticPr fontId="22" type="noConversion"/>
  </si>
  <si>
    <r>
      <rPr>
        <sz val="12"/>
        <rFont val="標楷體"/>
        <family val="4"/>
        <charset val="136"/>
      </rPr>
      <t>合計</t>
    </r>
    <phoneticPr fontId="22" type="noConversion"/>
  </si>
  <si>
    <r>
      <rPr>
        <sz val="12"/>
        <rFont val="標楷體"/>
        <family val="4"/>
        <charset val="136"/>
      </rPr>
      <t>普通事故保險費由被保險人負擔</t>
    </r>
    <r>
      <rPr>
        <sz val="12"/>
        <rFont val="Times New Roman"/>
        <family val="1"/>
      </rPr>
      <t>20%</t>
    </r>
    <r>
      <rPr>
        <sz val="12"/>
        <rFont val="標楷體"/>
        <family val="4"/>
        <charset val="136"/>
      </rPr>
      <t>，投保單位負擔</t>
    </r>
    <r>
      <rPr>
        <sz val="12"/>
        <rFont val="Times New Roman"/>
        <family val="1"/>
      </rPr>
      <t>70%</t>
    </r>
    <r>
      <rPr>
        <sz val="12"/>
        <rFont val="標楷體"/>
        <family val="4"/>
        <charset val="136"/>
      </rPr>
      <t>，政府補助</t>
    </r>
    <r>
      <rPr>
        <sz val="12"/>
        <rFont val="Times New Roman"/>
        <family val="1"/>
      </rPr>
      <t>10%</t>
    </r>
    <r>
      <rPr>
        <sz val="12"/>
        <rFont val="標楷體"/>
        <family val="4"/>
        <charset val="136"/>
      </rPr>
      <t>；職業災害保險費全部由投保單位負擔。</t>
    </r>
  </si>
  <si>
    <r>
      <rPr>
        <sz val="12"/>
        <rFont val="標楷體"/>
        <family val="4"/>
        <charset val="136"/>
      </rPr>
      <t>普通事故及職業災害保險費由被保險人負擔</t>
    </r>
    <r>
      <rPr>
        <sz val="12"/>
        <rFont val="Times New Roman"/>
        <family val="1"/>
      </rPr>
      <t>20%</t>
    </r>
    <r>
      <rPr>
        <sz val="12"/>
        <rFont val="標楷體"/>
        <family val="4"/>
        <charset val="136"/>
      </rPr>
      <t>，政府補助</t>
    </r>
    <r>
      <rPr>
        <sz val="12"/>
        <rFont val="Times New Roman"/>
        <family val="1"/>
      </rPr>
      <t>80%</t>
    </r>
    <r>
      <rPr>
        <sz val="12"/>
        <rFont val="標楷體"/>
        <family val="4"/>
        <charset val="136"/>
      </rPr>
      <t>。</t>
    </r>
    <phoneticPr fontId="22" type="noConversion"/>
  </si>
  <si>
    <r>
      <rPr>
        <sz val="12"/>
        <rFont val="標楷體"/>
        <family val="4"/>
        <charset val="136"/>
      </rPr>
      <t>普通事故及職業災害保險費由被保險人負擔</t>
    </r>
    <r>
      <rPr>
        <sz val="12"/>
        <rFont val="Times New Roman"/>
        <family val="1"/>
      </rPr>
      <t>60%</t>
    </r>
    <r>
      <rPr>
        <sz val="12"/>
        <rFont val="標楷體"/>
        <family val="4"/>
        <charset val="136"/>
      </rPr>
      <t>，政府補助</t>
    </r>
    <r>
      <rPr>
        <sz val="12"/>
        <rFont val="Times New Roman"/>
        <family val="1"/>
      </rPr>
      <t>40%</t>
    </r>
    <r>
      <rPr>
        <sz val="12"/>
        <rFont val="標楷體"/>
        <family val="4"/>
        <charset val="136"/>
      </rPr>
      <t>。</t>
    </r>
    <phoneticPr fontId="22" type="noConversion"/>
  </si>
  <si>
    <r>
      <rPr>
        <sz val="12"/>
        <rFont val="標楷體"/>
        <family val="4"/>
        <charset val="136"/>
      </rPr>
      <t>普通事故及職業災害保險費由被保險人負擔</t>
    </r>
    <r>
      <rPr>
        <sz val="12"/>
        <rFont val="Times New Roman"/>
        <family val="1"/>
      </rPr>
      <t>80%</t>
    </r>
    <r>
      <rPr>
        <sz val="12"/>
        <rFont val="標楷體"/>
        <family val="4"/>
        <charset val="136"/>
      </rPr>
      <t>，政府補助</t>
    </r>
    <r>
      <rPr>
        <sz val="12"/>
        <rFont val="Times New Roman"/>
        <family val="1"/>
      </rPr>
      <t>20%</t>
    </r>
    <r>
      <rPr>
        <sz val="12"/>
        <rFont val="標楷體"/>
        <family val="4"/>
        <charset val="136"/>
      </rPr>
      <t>。</t>
    </r>
    <phoneticPr fontId="22" type="noConversion"/>
  </si>
  <si>
    <r>
      <rPr>
        <sz val="12"/>
        <rFont val="標楷體"/>
        <family val="4"/>
        <charset val="136"/>
      </rPr>
      <t>職業災害保險費全部由投保單位負擔。</t>
    </r>
    <phoneticPr fontId="22" type="noConversion"/>
  </si>
  <si>
    <r>
      <rPr>
        <sz val="12"/>
        <rFont val="標楷體"/>
        <family val="4"/>
        <charset val="136"/>
      </rPr>
      <t>保險費由被保險人負擔</t>
    </r>
    <r>
      <rPr>
        <sz val="12"/>
        <rFont val="Times New Roman"/>
        <family val="1"/>
      </rPr>
      <t>20%</t>
    </r>
    <r>
      <rPr>
        <sz val="12"/>
        <rFont val="標楷體"/>
        <family val="4"/>
        <charset val="136"/>
      </rPr>
      <t>，投保單位負擔</t>
    </r>
    <r>
      <rPr>
        <sz val="12"/>
        <rFont val="Times New Roman"/>
        <family val="1"/>
      </rPr>
      <t>70%</t>
    </r>
    <r>
      <rPr>
        <sz val="12"/>
        <rFont val="標楷體"/>
        <family val="4"/>
        <charset val="136"/>
      </rPr>
      <t>，政府補助</t>
    </r>
    <r>
      <rPr>
        <sz val="12"/>
        <rFont val="Times New Roman"/>
        <family val="1"/>
      </rPr>
      <t>10%</t>
    </r>
    <r>
      <rPr>
        <sz val="12"/>
        <rFont val="標楷體"/>
        <family val="4"/>
        <charset val="136"/>
      </rPr>
      <t>。</t>
    </r>
  </si>
  <si>
    <r>
      <rPr>
        <sz val="12"/>
        <rFont val="標楷體"/>
        <family val="4"/>
        <charset val="136"/>
      </rPr>
      <t>科目及業務項目</t>
    </r>
    <phoneticPr fontId="22" type="noConversion"/>
  </si>
  <si>
    <r>
      <rPr>
        <sz val="10.5"/>
        <rFont val="標楷體"/>
        <family val="4"/>
        <charset val="136"/>
      </rPr>
      <t>人次、人日、件數或給付次數</t>
    </r>
    <phoneticPr fontId="22" type="noConversion"/>
  </si>
  <si>
    <r>
      <rPr>
        <sz val="12"/>
        <rFont val="標楷體"/>
        <family val="4"/>
        <charset val="136"/>
      </rPr>
      <t>每單位金額</t>
    </r>
    <r>
      <rPr>
        <sz val="12"/>
        <rFont val="Times New Roman"/>
        <family val="1"/>
      </rPr>
      <t xml:space="preserve">      </t>
    </r>
    <r>
      <rPr>
        <sz val="12"/>
        <rFont val="標楷體"/>
        <family val="4"/>
        <charset val="136"/>
      </rPr>
      <t>（元）</t>
    </r>
    <phoneticPr fontId="22" type="noConversion"/>
  </si>
  <si>
    <r>
      <rPr>
        <sz val="12"/>
        <rFont val="標楷體"/>
        <family val="4"/>
        <charset val="136"/>
      </rPr>
      <t>預算數</t>
    </r>
    <phoneticPr fontId="22" type="noConversion"/>
  </si>
  <si>
    <r>
      <rPr>
        <sz val="12"/>
        <rFont val="標楷體"/>
        <family val="4"/>
        <charset val="136"/>
      </rPr>
      <t>說明</t>
    </r>
    <phoneticPr fontId="22" type="noConversion"/>
  </si>
  <si>
    <t>　投融資業務收入</t>
    <phoneticPr fontId="5" type="noConversion"/>
  </si>
  <si>
    <t>　　存款利息收入</t>
    <phoneticPr fontId="5" type="noConversion"/>
  </si>
  <si>
    <t>　保險收入</t>
    <phoneticPr fontId="5" type="noConversion"/>
  </si>
  <si>
    <t>　　保費收入</t>
    <phoneticPr fontId="5" type="noConversion"/>
  </si>
  <si>
    <t>　其他業務收入</t>
    <phoneticPr fontId="5" type="noConversion"/>
  </si>
  <si>
    <t>　　其他補助收入</t>
    <phoneticPr fontId="5" type="noConversion"/>
  </si>
  <si>
    <t>業務成本與費用</t>
    <phoneticPr fontId="5" type="noConversion"/>
  </si>
  <si>
    <t>　保險成本</t>
    <phoneticPr fontId="5" type="noConversion"/>
  </si>
  <si>
    <t>　　保險給付</t>
    <phoneticPr fontId="5" type="noConversion"/>
  </si>
  <si>
    <t>　　提存責任準備</t>
    <phoneticPr fontId="5" type="noConversion"/>
  </si>
  <si>
    <t>　　呆帳</t>
    <phoneticPr fontId="5" type="noConversion"/>
  </si>
  <si>
    <t>　其他業務成本</t>
    <phoneticPr fontId="5" type="noConversion"/>
  </si>
  <si>
    <t>　　雜項業務成本</t>
    <phoneticPr fontId="5" type="noConversion"/>
  </si>
  <si>
    <t>業務外收入</t>
    <phoneticPr fontId="5" type="noConversion"/>
  </si>
  <si>
    <t>　財務收入</t>
    <phoneticPr fontId="5" type="noConversion"/>
  </si>
  <si>
    <t>　　利息收入</t>
    <phoneticPr fontId="5" type="noConversion"/>
  </si>
  <si>
    <t>　其他業務外收入</t>
    <phoneticPr fontId="5" type="noConversion"/>
  </si>
  <si>
    <t>　　收回呆帳</t>
    <phoneticPr fontId="5" type="noConversion"/>
  </si>
  <si>
    <r>
      <rPr>
        <sz val="12"/>
        <rFont val="標楷體"/>
        <family val="4"/>
        <charset val="136"/>
      </rPr>
      <t>　本期賸餘</t>
    </r>
    <phoneticPr fontId="5" type="noConversion"/>
  </si>
  <si>
    <t>預算數</t>
    <phoneticPr fontId="5" type="noConversion"/>
  </si>
  <si>
    <t>說明</t>
  </si>
  <si>
    <t>科目及業務項目</t>
    <phoneticPr fontId="5" type="noConversion"/>
  </si>
  <si>
    <t>單位</t>
  </si>
  <si>
    <t>投融資業務收入</t>
    <phoneticPr fontId="5" type="noConversion"/>
  </si>
  <si>
    <t>年</t>
    <phoneticPr fontId="5" type="noConversion"/>
  </si>
  <si>
    <t xml:space="preserve">  勞工保險</t>
    <phoneticPr fontId="5" type="noConversion"/>
  </si>
  <si>
    <t>　  融資業務收入</t>
    <phoneticPr fontId="5" type="noConversion"/>
  </si>
  <si>
    <t xml:space="preserve">        普通事故</t>
    <phoneticPr fontId="5" type="noConversion"/>
  </si>
  <si>
    <t xml:space="preserve">        職業災害</t>
    <phoneticPr fontId="5" type="noConversion"/>
  </si>
  <si>
    <t xml:space="preserve">      普通事故</t>
    <phoneticPr fontId="5" type="noConversion"/>
  </si>
  <si>
    <t xml:space="preserve">  　存款利息收入</t>
    <phoneticPr fontId="5" type="noConversion"/>
  </si>
  <si>
    <t xml:space="preserve">        國內</t>
    <phoneticPr fontId="5" type="noConversion"/>
  </si>
  <si>
    <t xml:space="preserve">        國外</t>
    <phoneticPr fontId="5" type="noConversion"/>
  </si>
  <si>
    <t xml:space="preserve">      職業災害</t>
    <phoneticPr fontId="5" type="noConversion"/>
  </si>
  <si>
    <t xml:space="preserve">  就業保險</t>
    <phoneticPr fontId="5" type="noConversion"/>
  </si>
  <si>
    <t>　  存款利息收入</t>
    <phoneticPr fontId="5" type="noConversion"/>
  </si>
  <si>
    <t xml:space="preserve">  職業災害勞工保護</t>
    <phoneticPr fontId="5" type="noConversion"/>
  </si>
  <si>
    <t xml:space="preserve">      未加保勞工</t>
    <phoneticPr fontId="5" type="noConversion"/>
  </si>
  <si>
    <t xml:space="preserve">      票券</t>
    <phoneticPr fontId="5" type="noConversion"/>
  </si>
  <si>
    <t>　　  債券</t>
    <phoneticPr fontId="5" type="noConversion"/>
  </si>
  <si>
    <t xml:space="preserve"> 　   國外投資</t>
    <phoneticPr fontId="5" type="noConversion"/>
  </si>
  <si>
    <t>　    國內</t>
    <phoneticPr fontId="5" type="noConversion"/>
  </si>
  <si>
    <t>　    國外</t>
    <phoneticPr fontId="5" type="noConversion"/>
  </si>
  <si>
    <t>保險收入</t>
  </si>
  <si>
    <t>　  保費收入</t>
    <phoneticPr fontId="5" type="noConversion"/>
  </si>
  <si>
    <t>　    保費收入</t>
    <phoneticPr fontId="5" type="noConversion"/>
  </si>
  <si>
    <t>　    滯納金收入</t>
    <phoneticPr fontId="5" type="noConversion"/>
  </si>
  <si>
    <t>　  收回責任準備</t>
    <phoneticPr fontId="5" type="noConversion"/>
  </si>
  <si>
    <t>其他業務收入</t>
    <phoneticPr fontId="5" type="noConversion"/>
  </si>
  <si>
    <t>　  其他補助收入</t>
    <phoneticPr fontId="5" type="noConversion"/>
  </si>
  <si>
    <t>　  雜項業務收入</t>
    <phoneticPr fontId="5" type="noConversion"/>
  </si>
  <si>
    <t>投融資業務成本</t>
    <phoneticPr fontId="5" type="noConversion"/>
  </si>
  <si>
    <t>科  目</t>
    <phoneticPr fontId="5" type="noConversion"/>
  </si>
  <si>
    <t xml:space="preserve">      租金與利息</t>
    <phoneticPr fontId="5" type="noConversion"/>
  </si>
  <si>
    <t xml:space="preserve">      其他</t>
    <phoneticPr fontId="5" type="noConversion"/>
  </si>
  <si>
    <t>　    其他</t>
    <phoneticPr fontId="5" type="noConversion"/>
  </si>
  <si>
    <t>　      保險給付</t>
    <phoneticPr fontId="5" type="noConversion"/>
  </si>
  <si>
    <t xml:space="preserve">    其他業務外費用</t>
    <phoneticPr fontId="5" type="noConversion"/>
  </si>
  <si>
    <t xml:space="preserve">      雜項費用</t>
    <phoneticPr fontId="5" type="noConversion"/>
  </si>
  <si>
    <t xml:space="preserve">    財務收入</t>
    <phoneticPr fontId="5" type="noConversion"/>
  </si>
  <si>
    <t xml:space="preserve">      利息收入</t>
    <phoneticPr fontId="5" type="noConversion"/>
  </si>
  <si>
    <t xml:space="preserve">    其他業務外收入</t>
    <phoneticPr fontId="5" type="noConversion"/>
  </si>
  <si>
    <t>　    服務費用</t>
    <phoneticPr fontId="5" type="noConversion"/>
  </si>
  <si>
    <t>　　    水電費</t>
    <phoneticPr fontId="5" type="noConversion"/>
  </si>
  <si>
    <t>　　    修理保養及保固費</t>
    <phoneticPr fontId="5" type="noConversion"/>
  </si>
  <si>
    <t>　　    保險費</t>
    <phoneticPr fontId="5" type="noConversion"/>
  </si>
  <si>
    <t>　　    一般服務費</t>
    <phoneticPr fontId="5" type="noConversion"/>
  </si>
  <si>
    <t>　　    專業服務費</t>
    <phoneticPr fontId="5" type="noConversion"/>
  </si>
  <si>
    <t>　　    土地稅</t>
    <phoneticPr fontId="5" type="noConversion"/>
  </si>
  <si>
    <t>　　    規費</t>
    <phoneticPr fontId="5" type="noConversion"/>
  </si>
  <si>
    <t>　      房屋稅</t>
    <phoneticPr fontId="5" type="noConversion"/>
  </si>
  <si>
    <t>　    其他</t>
    <phoneticPr fontId="5" type="noConversion"/>
  </si>
  <si>
    <t>　      其他費用</t>
    <phoneticPr fontId="5" type="noConversion"/>
  </si>
  <si>
    <t>　        普通事故</t>
    <phoneticPr fontId="5" type="noConversion"/>
  </si>
  <si>
    <t>　      一般服務費</t>
    <phoneticPr fontId="5" type="noConversion"/>
  </si>
  <si>
    <t>　    租金與利息</t>
    <phoneticPr fontId="5" type="noConversion"/>
  </si>
  <si>
    <t>　　    利息</t>
    <phoneticPr fontId="5" type="noConversion"/>
  </si>
  <si>
    <t>　　　  攤銷</t>
    <phoneticPr fontId="5" type="noConversion"/>
  </si>
  <si>
    <t>　          普通事故</t>
    <phoneticPr fontId="5" type="noConversion"/>
  </si>
  <si>
    <t>　      　  職業災害</t>
    <phoneticPr fontId="5" type="noConversion"/>
  </si>
  <si>
    <t>　        其他費用</t>
    <phoneticPr fontId="5" type="noConversion"/>
  </si>
  <si>
    <t>保費收入</t>
    <phoneticPr fontId="5" type="noConversion"/>
  </si>
  <si>
    <t xml:space="preserve">  　保費收入</t>
    <phoneticPr fontId="5" type="noConversion"/>
  </si>
  <si>
    <t>　    產業勞工及交通公
      用事業之員工</t>
    <phoneticPr fontId="5" type="noConversion"/>
  </si>
  <si>
    <t xml:space="preserve">　    公司、行號之員工 </t>
    <phoneticPr fontId="5" type="noConversion"/>
  </si>
  <si>
    <t>　    漁會之甲類會員</t>
    <phoneticPr fontId="5" type="noConversion"/>
  </si>
  <si>
    <t>　    職業勞工</t>
    <phoneticPr fontId="5" type="noConversion"/>
  </si>
  <si>
    <t>　    其他各業勞工</t>
    <phoneticPr fontId="5" type="noConversion"/>
  </si>
  <si>
    <t>　    被裁減資遣員工</t>
    <phoneticPr fontId="5" type="noConversion"/>
  </si>
  <si>
    <t>　    外僱船員</t>
    <phoneticPr fontId="5" type="noConversion"/>
  </si>
  <si>
    <t>　    育嬰續保人員</t>
    <phoneticPr fontId="5" type="noConversion"/>
  </si>
  <si>
    <t xml:space="preserve">　    新聞、文化、公益
      及合作事業之員工          </t>
    <phoneticPr fontId="5" type="noConversion"/>
  </si>
  <si>
    <t>　    政府機關及公、私
      立學校之員工</t>
    <phoneticPr fontId="5" type="noConversion"/>
  </si>
  <si>
    <t>　    受僱從事漁業生產
      之勞動者</t>
    <phoneticPr fontId="5" type="noConversion"/>
  </si>
  <si>
    <t>　    已領取老年給付勞
      工再參加職業災害
      保險者</t>
    <phoneticPr fontId="5" type="noConversion"/>
  </si>
  <si>
    <t xml:space="preserve">　    新聞、文化、公益
      及合作事業之員工  </t>
    <phoneticPr fontId="5" type="noConversion"/>
  </si>
  <si>
    <t>　　    政府補助</t>
    <phoneticPr fontId="22" type="noConversion"/>
  </si>
  <si>
    <t>　 　   被保險人負擔</t>
    <phoneticPr fontId="22" type="noConversion"/>
  </si>
  <si>
    <t>　　　  投保單位負擔</t>
    <phoneticPr fontId="22" type="noConversion"/>
  </si>
  <si>
    <t>　　    被保險人負擔</t>
    <phoneticPr fontId="22" type="noConversion"/>
  </si>
  <si>
    <t>　　    投保單位負擔</t>
    <phoneticPr fontId="22" type="noConversion"/>
  </si>
  <si>
    <t>　  　  政府補助</t>
    <phoneticPr fontId="22" type="noConversion"/>
  </si>
  <si>
    <t xml:space="preserve">      政府機關及公、私
      立學校之員工</t>
    <phoneticPr fontId="5" type="noConversion"/>
  </si>
  <si>
    <t xml:space="preserve"> 　   職災續保勞工</t>
    <phoneticPr fontId="5" type="noConversion"/>
  </si>
  <si>
    <t>　　 　 政府補助</t>
    <phoneticPr fontId="22" type="noConversion"/>
  </si>
  <si>
    <t>　 　   政府補助</t>
    <phoneticPr fontId="22" type="noConversion"/>
  </si>
  <si>
    <t xml:space="preserve"> 　 　  被保險人負擔</t>
    <phoneticPr fontId="22" type="noConversion"/>
  </si>
  <si>
    <t>　　　  政府補助</t>
    <phoneticPr fontId="22" type="noConversion"/>
  </si>
  <si>
    <t>　   　 政府補助</t>
    <phoneticPr fontId="22" type="noConversion"/>
  </si>
  <si>
    <t>　      被保險人負擔</t>
    <phoneticPr fontId="22" type="noConversion"/>
  </si>
  <si>
    <t xml:space="preserve"> 　  　 被保險人負擔</t>
    <phoneticPr fontId="22" type="noConversion"/>
  </si>
  <si>
    <t>　   　 專款補助</t>
    <phoneticPr fontId="22" type="noConversion"/>
  </si>
  <si>
    <t xml:space="preserve">  　    被保險人負擔</t>
    <phoneticPr fontId="22" type="noConversion"/>
  </si>
  <si>
    <t>　      投保單位負擔</t>
    <phoneticPr fontId="22" type="noConversion"/>
  </si>
  <si>
    <t xml:space="preserve">    融資業務成本</t>
    <phoneticPr fontId="5" type="noConversion"/>
  </si>
  <si>
    <t xml:space="preserve">      服務費用</t>
    <phoneticPr fontId="5" type="noConversion"/>
  </si>
  <si>
    <t xml:space="preserve">        保險費</t>
    <phoneticPr fontId="5" type="noConversion"/>
  </si>
  <si>
    <t xml:space="preserve">        專業服務費</t>
    <phoneticPr fontId="5" type="noConversion"/>
  </si>
  <si>
    <t xml:space="preserve">        土地稅</t>
    <phoneticPr fontId="5" type="noConversion"/>
  </si>
  <si>
    <t>　  滯納金收入</t>
    <phoneticPr fontId="5" type="noConversion"/>
  </si>
  <si>
    <t xml:space="preserve"> 　 滯納金收入</t>
    <phoneticPr fontId="5" type="noConversion"/>
  </si>
  <si>
    <t>　      各項短絀</t>
    <phoneticPr fontId="5" type="noConversion"/>
  </si>
  <si>
    <r>
      <rPr>
        <b/>
        <sz val="16"/>
        <rFont val="標楷體"/>
        <family val="4"/>
        <charset val="136"/>
      </rPr>
      <t>圖</t>
    </r>
    <r>
      <rPr>
        <b/>
        <sz val="16"/>
        <rFont val="Times New Roman"/>
        <family val="1"/>
      </rPr>
      <t>1</t>
    </r>
    <r>
      <rPr>
        <sz val="16"/>
        <rFont val="Times New Roman"/>
        <family val="1"/>
      </rPr>
      <t/>
    </r>
    <phoneticPr fontId="72" type="noConversion"/>
  </si>
  <si>
    <r>
      <rPr>
        <sz val="12"/>
        <rFont val="標楷體"/>
        <family val="4"/>
        <charset val="136"/>
      </rPr>
      <t>單位：新臺幣千元</t>
    </r>
  </si>
  <si>
    <t>收        入</t>
  </si>
  <si>
    <t>成本與費用及賸餘</t>
    <phoneticPr fontId="72" type="noConversion"/>
  </si>
  <si>
    <t>業務成本與費用</t>
  </si>
  <si>
    <t xml:space="preserve">  投融資業務收入</t>
    <phoneticPr fontId="72" type="noConversion"/>
  </si>
  <si>
    <t xml:space="preserve">  投融資業務成本</t>
    <phoneticPr fontId="72" type="noConversion"/>
  </si>
  <si>
    <t xml:space="preserve">  保險收入</t>
    <phoneticPr fontId="72" type="noConversion"/>
  </si>
  <si>
    <t xml:space="preserve">  保險成本</t>
    <phoneticPr fontId="72" type="noConversion"/>
  </si>
  <si>
    <t xml:space="preserve">  其他業務收入</t>
    <phoneticPr fontId="72" type="noConversion"/>
  </si>
  <si>
    <t xml:space="preserve">  其他業務成本</t>
    <phoneticPr fontId="72" type="noConversion"/>
  </si>
  <si>
    <t>業務外費用</t>
  </si>
  <si>
    <t>本期賸餘</t>
  </si>
  <si>
    <t>收入總額</t>
    <phoneticPr fontId="72" type="noConversion"/>
  </si>
  <si>
    <t>成本、費用及賸餘總額</t>
    <phoneticPr fontId="72" type="noConversion"/>
  </si>
  <si>
    <r>
      <rPr>
        <b/>
        <sz val="16"/>
        <rFont val="標楷體"/>
        <family val="4"/>
        <charset val="136"/>
      </rPr>
      <t>圖</t>
    </r>
    <r>
      <rPr>
        <b/>
        <sz val="16"/>
        <rFont val="Times New Roman"/>
        <family val="1"/>
      </rPr>
      <t>2</t>
    </r>
    <phoneticPr fontId="72" type="noConversion"/>
  </si>
  <si>
    <t>單位：新臺幣千元</t>
  </si>
  <si>
    <r>
      <t xml:space="preserve">                  </t>
    </r>
    <r>
      <rPr>
        <sz val="12"/>
        <rFont val="標楷體"/>
        <family val="4"/>
        <charset val="136"/>
      </rPr>
      <t xml:space="preserve">年度
</t>
    </r>
    <r>
      <rPr>
        <sz val="12"/>
        <rFont val="Times New Roman"/>
        <family val="1"/>
      </rPr>
      <t xml:space="preserve">   </t>
    </r>
    <r>
      <rPr>
        <sz val="12"/>
        <rFont val="標楷體"/>
        <family val="4"/>
        <charset val="136"/>
      </rPr>
      <t>項目　</t>
    </r>
    <phoneticPr fontId="72" type="noConversion"/>
  </si>
  <si>
    <t>收入</t>
  </si>
  <si>
    <t xml:space="preserve">  業務收入</t>
    <phoneticPr fontId="72" type="noConversion"/>
  </si>
  <si>
    <t xml:space="preserve">  業務外收入</t>
    <phoneticPr fontId="72" type="noConversion"/>
  </si>
  <si>
    <t>收入合計</t>
  </si>
  <si>
    <t>費用</t>
    <phoneticPr fontId="72" type="noConversion"/>
  </si>
  <si>
    <t xml:space="preserve">  業務成本與費用</t>
    <phoneticPr fontId="72" type="noConversion"/>
  </si>
  <si>
    <t xml:space="preserve">  業務外費用</t>
    <phoneticPr fontId="72" type="noConversion"/>
  </si>
  <si>
    <t>費用合計</t>
    <phoneticPr fontId="72" type="noConversion"/>
  </si>
  <si>
    <t>本期賸餘</t>
    <phoneticPr fontId="72" type="noConversion"/>
  </si>
  <si>
    <r>
      <t xml:space="preserve">              </t>
    </r>
    <r>
      <rPr>
        <sz val="12"/>
        <rFont val="標楷體"/>
        <family val="4"/>
        <charset val="136"/>
      </rPr>
      <t>年度
項目　</t>
    </r>
    <phoneticPr fontId="72" type="noConversion"/>
  </si>
  <si>
    <r>
      <rPr>
        <b/>
        <sz val="12"/>
        <rFont val="標楷體"/>
        <family val="4"/>
        <charset val="136"/>
      </rPr>
      <t>收入</t>
    </r>
  </si>
  <si>
    <r>
      <rPr>
        <sz val="12"/>
        <rFont val="標楷體"/>
        <family val="4"/>
        <charset val="136"/>
      </rPr>
      <t>業務收入</t>
    </r>
  </si>
  <si>
    <r>
      <rPr>
        <sz val="12"/>
        <rFont val="標楷體"/>
        <family val="4"/>
        <charset val="136"/>
      </rPr>
      <t>業務外收入</t>
    </r>
  </si>
  <si>
    <r>
      <rPr>
        <b/>
        <sz val="12"/>
        <rFont val="標楷體"/>
        <family val="4"/>
        <charset val="136"/>
      </rPr>
      <t>收入合計</t>
    </r>
  </si>
  <si>
    <r>
      <rPr>
        <sz val="12"/>
        <rFont val="標楷體"/>
        <family val="4"/>
        <charset val="136"/>
      </rPr>
      <t>業務成本與費用</t>
    </r>
  </si>
  <si>
    <r>
      <rPr>
        <sz val="12"/>
        <rFont val="標楷體"/>
        <family val="4"/>
        <charset val="136"/>
      </rPr>
      <t>業務外費用</t>
    </r>
  </si>
  <si>
    <r>
      <rPr>
        <b/>
        <sz val="12"/>
        <rFont val="標楷體"/>
        <family val="4"/>
        <charset val="136"/>
      </rPr>
      <t>本期賸餘</t>
    </r>
    <phoneticPr fontId="72" type="noConversion"/>
  </si>
  <si>
    <r>
      <rPr>
        <sz val="11"/>
        <rFont val="標楷體"/>
        <family val="4"/>
        <charset val="136"/>
      </rPr>
      <t>前年度決算數</t>
    </r>
  </si>
  <si>
    <r>
      <rPr>
        <sz val="11"/>
        <rFont val="標楷體"/>
        <family val="4"/>
        <charset val="136"/>
      </rPr>
      <t>本年度預算數</t>
    </r>
  </si>
  <si>
    <r>
      <rPr>
        <sz val="11"/>
        <rFont val="標楷體"/>
        <family val="4"/>
        <charset val="136"/>
      </rPr>
      <t>上年度預算數</t>
    </r>
  </si>
  <si>
    <r>
      <rPr>
        <sz val="11"/>
        <rFont val="標楷體"/>
        <family val="4"/>
        <charset val="136"/>
      </rPr>
      <t>金</t>
    </r>
    <r>
      <rPr>
        <sz val="11"/>
        <rFont val="Times New Roman"/>
        <family val="1"/>
      </rPr>
      <t xml:space="preserve"> </t>
    </r>
    <r>
      <rPr>
        <sz val="11"/>
        <rFont val="標楷體"/>
        <family val="4"/>
        <charset val="136"/>
      </rPr>
      <t>額</t>
    </r>
    <phoneticPr fontId="5" type="noConversion"/>
  </si>
  <si>
    <r>
      <rPr>
        <sz val="11"/>
        <rFont val="標楷體"/>
        <family val="4"/>
        <charset val="136"/>
      </rPr>
      <t>％</t>
    </r>
  </si>
  <si>
    <t>科目</t>
    <phoneticPr fontId="5" type="noConversion"/>
  </si>
  <si>
    <t>資產</t>
    <phoneticPr fontId="5" type="noConversion"/>
  </si>
  <si>
    <t>流動資產</t>
    <phoneticPr fontId="5" type="noConversion"/>
  </si>
  <si>
    <t>　現金</t>
    <phoneticPr fontId="5" type="noConversion"/>
  </si>
  <si>
    <t>　流動金融資產</t>
    <phoneticPr fontId="5" type="noConversion"/>
  </si>
  <si>
    <t>　應收款項</t>
    <phoneticPr fontId="5" type="noConversion"/>
  </si>
  <si>
    <t>　預付款項</t>
    <phoneticPr fontId="5" type="noConversion"/>
  </si>
  <si>
    <t>　短期貸墊款</t>
    <phoneticPr fontId="5" type="noConversion"/>
  </si>
  <si>
    <t>投資、長期應收款、貸墊款及準備金</t>
    <phoneticPr fontId="5" type="noConversion"/>
  </si>
  <si>
    <t>　長期貸款</t>
    <phoneticPr fontId="5" type="noConversion"/>
  </si>
  <si>
    <t>其他資產</t>
    <phoneticPr fontId="5" type="noConversion"/>
  </si>
  <si>
    <t>　什項資產</t>
    <phoneticPr fontId="5" type="noConversion"/>
  </si>
  <si>
    <t>合計</t>
    <phoneticPr fontId="5" type="noConversion"/>
  </si>
  <si>
    <t>負債</t>
    <phoneticPr fontId="5" type="noConversion"/>
  </si>
  <si>
    <t>流動負債</t>
    <phoneticPr fontId="5" type="noConversion"/>
  </si>
  <si>
    <t>　應付款項</t>
    <phoneticPr fontId="5" type="noConversion"/>
  </si>
  <si>
    <t>　預收款項</t>
    <phoneticPr fontId="5" type="noConversion"/>
  </si>
  <si>
    <t>　流動金融負債</t>
    <phoneticPr fontId="5" type="noConversion"/>
  </si>
  <si>
    <t>其他負債</t>
    <phoneticPr fontId="5" type="noConversion"/>
  </si>
  <si>
    <t>　負債準備</t>
    <phoneticPr fontId="5" type="noConversion"/>
  </si>
  <si>
    <t>　什項負債</t>
    <phoneticPr fontId="5" type="noConversion"/>
  </si>
  <si>
    <t>淨值</t>
    <phoneticPr fontId="5" type="noConversion"/>
  </si>
  <si>
    <t>基金</t>
    <phoneticPr fontId="5" type="noConversion"/>
  </si>
  <si>
    <t>　資本公積</t>
    <phoneticPr fontId="5" type="noConversion"/>
  </si>
  <si>
    <t>　累積賸餘</t>
    <phoneticPr fontId="5" type="noConversion"/>
  </si>
  <si>
    <t>　流動金融資產</t>
    <phoneticPr fontId="5" type="noConversion"/>
  </si>
  <si>
    <t>　應收款項</t>
    <phoneticPr fontId="5" type="noConversion"/>
  </si>
  <si>
    <t>其他資產</t>
    <phoneticPr fontId="5" type="noConversion"/>
  </si>
  <si>
    <t>流動負債</t>
    <phoneticPr fontId="5" type="noConversion"/>
  </si>
  <si>
    <t>　短期債務</t>
    <phoneticPr fontId="5" type="noConversion"/>
  </si>
  <si>
    <t>　　  未加保勞工</t>
    <phoneticPr fontId="5" type="noConversion"/>
  </si>
  <si>
    <r>
      <rPr>
        <sz val="12"/>
        <rFont val="標楷體"/>
        <family val="4"/>
        <charset val="136"/>
      </rPr>
      <t>　本期賸餘（短絀）</t>
    </r>
    <phoneticPr fontId="5" type="noConversion"/>
  </si>
  <si>
    <r>
      <t>2.</t>
    </r>
    <r>
      <rPr>
        <sz val="12"/>
        <rFont val="標楷體"/>
        <family val="4"/>
        <charset val="136"/>
      </rPr>
      <t>利息費用</t>
    </r>
    <phoneticPr fontId="5" type="noConversion"/>
  </si>
  <si>
    <r>
      <t>1.</t>
    </r>
    <r>
      <rPr>
        <sz val="12"/>
        <rFont val="標楷體"/>
        <family val="4"/>
        <charset val="136"/>
      </rPr>
      <t xml:space="preserve">提存呆帳
</t>
    </r>
    <r>
      <rPr>
        <sz val="12"/>
        <rFont val="Times New Roman"/>
        <family val="1"/>
      </rPr>
      <t xml:space="preserve">   
   </t>
    </r>
    <phoneticPr fontId="5" type="noConversion"/>
  </si>
  <si>
    <r>
      <t>2.</t>
    </r>
    <r>
      <rPr>
        <sz val="12"/>
        <rFont val="標楷體"/>
        <family val="4"/>
        <charset val="136"/>
      </rPr>
      <t>折舊</t>
    </r>
    <phoneticPr fontId="5" type="noConversion"/>
  </si>
  <si>
    <r>
      <t>3.</t>
    </r>
    <r>
      <rPr>
        <sz val="12"/>
        <rFont val="標楷體"/>
        <family val="4"/>
        <charset val="136"/>
      </rPr>
      <t>攤銷</t>
    </r>
    <phoneticPr fontId="5" type="noConversion"/>
  </si>
  <si>
    <r>
      <rPr>
        <b/>
        <sz val="12"/>
        <rFont val="標楷體"/>
        <family val="4"/>
        <charset val="136"/>
      </rPr>
      <t>　　業務活動之淨現金流入（流出）</t>
    </r>
    <phoneticPr fontId="5" type="noConversion"/>
  </si>
  <si>
    <t>籌資活動之現金流量</t>
    <phoneticPr fontId="5" type="noConversion"/>
  </si>
  <si>
    <r>
      <rPr>
        <sz val="12"/>
        <rFont val="標楷體"/>
        <family val="4"/>
        <charset val="136"/>
      </rPr>
      <t xml:space="preserve">　增加短期債務、流動金融負債及其他負債
</t>
    </r>
    <r>
      <rPr>
        <sz val="12"/>
        <rFont val="Times New Roman"/>
        <family val="1"/>
      </rPr>
      <t xml:space="preserve">    </t>
    </r>
    <phoneticPr fontId="5" type="noConversion"/>
  </si>
  <si>
    <r>
      <rPr>
        <sz val="12"/>
        <rFont val="標楷體"/>
        <family val="4"/>
        <charset val="136"/>
      </rPr>
      <t xml:space="preserve">　減少短期債務、流動金融負債及其他負債
</t>
    </r>
    <r>
      <rPr>
        <sz val="12"/>
        <rFont val="Times New Roman"/>
        <family val="1"/>
      </rPr>
      <t xml:space="preserve">    </t>
    </r>
    <phoneticPr fontId="5" type="noConversion"/>
  </si>
  <si>
    <r>
      <t xml:space="preserve">   </t>
    </r>
    <r>
      <rPr>
        <sz val="12"/>
        <rFont val="標楷體"/>
        <family val="4"/>
        <charset val="136"/>
      </rPr>
      <t>支付利息</t>
    </r>
    <phoneticPr fontId="5" type="noConversion"/>
  </si>
  <si>
    <t xml:space="preserve">  收取利息</t>
    <phoneticPr fontId="5" type="noConversion"/>
  </si>
  <si>
    <r>
      <t xml:space="preserve">    </t>
    </r>
    <r>
      <rPr>
        <sz val="12"/>
        <rFont val="標楷體"/>
        <family val="4"/>
        <charset val="136"/>
      </rPr>
      <t>利息股利之調整</t>
    </r>
    <phoneticPr fontId="5" type="noConversion"/>
  </si>
  <si>
    <t xml:space="preserve">          國內投資</t>
    <phoneticPr fontId="5" type="noConversion"/>
  </si>
  <si>
    <t>租金及權利金收入明細表</t>
    <phoneticPr fontId="5" type="noConversion"/>
  </si>
  <si>
    <r>
      <rPr>
        <sz val="12"/>
        <rFont val="標楷體"/>
        <family val="4"/>
        <charset val="136"/>
      </rPr>
      <t>科目及業務項目</t>
    </r>
    <phoneticPr fontId="5" type="noConversion"/>
  </si>
  <si>
    <r>
      <rPr>
        <sz val="12"/>
        <rFont val="標楷體"/>
        <family val="4"/>
        <charset val="136"/>
      </rPr>
      <t>預</t>
    </r>
    <r>
      <rPr>
        <sz val="12"/>
        <rFont val="Times New Roman"/>
        <family val="1"/>
      </rPr>
      <t xml:space="preserve"> </t>
    </r>
    <r>
      <rPr>
        <sz val="12"/>
        <rFont val="標楷體"/>
        <family val="4"/>
        <charset val="136"/>
      </rPr>
      <t>算</t>
    </r>
    <r>
      <rPr>
        <sz val="12"/>
        <rFont val="Times New Roman"/>
        <family val="1"/>
      </rPr>
      <t xml:space="preserve"> </t>
    </r>
    <r>
      <rPr>
        <sz val="12"/>
        <rFont val="標楷體"/>
        <family val="4"/>
        <charset val="136"/>
      </rPr>
      <t>數</t>
    </r>
    <phoneticPr fontId="5" type="noConversion"/>
  </si>
  <si>
    <r>
      <rPr>
        <sz val="12"/>
        <rFont val="標楷體"/>
        <family val="4"/>
        <charset val="136"/>
      </rPr>
      <t>說</t>
    </r>
    <r>
      <rPr>
        <sz val="12"/>
        <rFont val="Times New Roman"/>
        <family val="1"/>
      </rPr>
      <t xml:space="preserve">  </t>
    </r>
    <r>
      <rPr>
        <sz val="12"/>
        <rFont val="標楷體"/>
        <family val="4"/>
        <charset val="136"/>
      </rPr>
      <t>明</t>
    </r>
    <phoneticPr fontId="5" type="noConversion"/>
  </si>
  <si>
    <t>出租資產成本明細表</t>
    <phoneticPr fontId="5" type="noConversion"/>
  </si>
  <si>
    <t>　  投資業務成本</t>
    <phoneticPr fontId="5" type="noConversion"/>
  </si>
  <si>
    <t xml:space="preserve">      折舊、折耗及攤銷</t>
    <phoneticPr fontId="5" type="noConversion"/>
  </si>
  <si>
    <t xml:space="preserve">        投資性不動產折舊</t>
    <phoneticPr fontId="5" type="noConversion"/>
  </si>
  <si>
    <t xml:space="preserve">    投資業務成本</t>
    <phoneticPr fontId="5" type="noConversion"/>
  </si>
  <si>
    <t>投資性不動產</t>
    <phoneticPr fontId="5" type="noConversion"/>
  </si>
  <si>
    <t>出租資
產成本</t>
    <phoneticPr fontId="5" type="noConversion"/>
  </si>
  <si>
    <t>說明</t>
    <phoneticPr fontId="5" type="noConversion"/>
  </si>
  <si>
    <r>
      <rPr>
        <b/>
        <sz val="12"/>
        <rFont val="標楷體"/>
        <family val="4"/>
        <charset val="136"/>
      </rPr>
      <t>籌資活動之現金流量</t>
    </r>
    <phoneticPr fontId="5" type="noConversion"/>
  </si>
  <si>
    <r>
      <t>3.</t>
    </r>
    <r>
      <rPr>
        <sz val="12"/>
        <rFont val="標楷體"/>
        <family val="4"/>
        <charset val="136"/>
      </rPr>
      <t>流動負債淨減</t>
    </r>
    <r>
      <rPr>
        <sz val="12"/>
        <rFont val="Times New Roman"/>
        <family val="1"/>
      </rPr>
      <t xml:space="preserve"> </t>
    </r>
    <phoneticPr fontId="5" type="noConversion"/>
  </si>
  <si>
    <r>
      <rPr>
        <sz val="12"/>
        <rFont val="標楷體"/>
        <family val="4"/>
        <charset val="136"/>
      </rPr>
      <t>係增加長期投資</t>
    </r>
    <r>
      <rPr>
        <sz val="12"/>
        <rFont val="Times New Roman"/>
        <family val="1"/>
      </rPr>
      <t xml:space="preserve">    </t>
    </r>
    <r>
      <rPr>
        <sz val="12"/>
        <rFont val="標楷體"/>
        <family val="4"/>
        <charset val="136"/>
      </rPr>
      <t>千元及長期貸款</t>
    </r>
    <r>
      <rPr>
        <sz val="12"/>
        <rFont val="Times New Roman"/>
        <family val="1"/>
      </rPr>
      <t xml:space="preserve">    </t>
    </r>
    <r>
      <rPr>
        <sz val="12"/>
        <rFont val="標楷體"/>
        <family val="4"/>
        <charset val="136"/>
      </rPr>
      <t>千元。</t>
    </r>
    <phoneticPr fontId="5" type="noConversion"/>
  </si>
  <si>
    <r>
      <rPr>
        <sz val="12"/>
        <rFont val="標楷體"/>
        <family val="4"/>
        <charset val="136"/>
      </rPr>
      <t>係增加流動金融資產</t>
    </r>
    <r>
      <rPr>
        <sz val="12"/>
        <rFont val="Times New Roman"/>
        <family val="1"/>
      </rPr>
      <t xml:space="preserve">    </t>
    </r>
    <r>
      <rPr>
        <sz val="12"/>
        <rFont val="標楷體"/>
        <family val="4"/>
        <charset val="136"/>
      </rPr>
      <t>千元及短期貸款</t>
    </r>
    <r>
      <rPr>
        <sz val="12"/>
        <rFont val="Times New Roman"/>
        <family val="1"/>
      </rPr>
      <t xml:space="preserve">    </t>
    </r>
    <r>
      <rPr>
        <sz val="12"/>
        <rFont val="標楷體"/>
        <family val="4"/>
        <charset val="136"/>
      </rPr>
      <t>千元。</t>
    </r>
    <phoneticPr fontId="5" type="noConversion"/>
  </si>
  <si>
    <t>　非流動金融資產</t>
    <phoneticPr fontId="5" type="noConversion"/>
  </si>
  <si>
    <t xml:space="preserve">  流動金融資產</t>
    <phoneticPr fontId="5" type="noConversion"/>
  </si>
  <si>
    <t xml:space="preserve">  租金及權利金收入</t>
    <phoneticPr fontId="5" type="noConversion"/>
  </si>
  <si>
    <t xml:space="preserve">  出租資產成本</t>
    <phoneticPr fontId="5" type="noConversion"/>
  </si>
  <si>
    <r>
      <t>5.</t>
    </r>
    <r>
      <rPr>
        <sz val="12"/>
        <rFont val="標楷體"/>
        <family val="4"/>
        <charset val="136"/>
      </rPr>
      <t>流動負債淨增</t>
    </r>
    <r>
      <rPr>
        <sz val="12"/>
        <rFont val="Times New Roman"/>
        <family val="1"/>
      </rPr>
      <t xml:space="preserve"> </t>
    </r>
    <phoneticPr fontId="5" type="noConversion"/>
  </si>
  <si>
    <t>　    折舊、折耗及攤銷</t>
    <phoneticPr fontId="5" type="noConversion"/>
  </si>
  <si>
    <t>　　    投資性不動產折舊</t>
    <phoneticPr fontId="5" type="noConversion"/>
  </si>
  <si>
    <r>
      <rPr>
        <sz val="12"/>
        <rFont val="標楷體"/>
        <family val="4"/>
        <charset val="136"/>
      </rPr>
      <t>利息收入</t>
    </r>
    <phoneticPr fontId="5" type="noConversion"/>
  </si>
  <si>
    <r>
      <t>2.</t>
    </r>
    <r>
      <rPr>
        <sz val="12"/>
        <rFont val="標楷體"/>
        <family val="4"/>
        <charset val="136"/>
      </rPr>
      <t>收回責任準備</t>
    </r>
    <r>
      <rPr>
        <sz val="12"/>
        <rFont val="Times New Roman"/>
        <family val="1"/>
      </rPr>
      <t/>
    </r>
    <phoneticPr fontId="5" type="noConversion"/>
  </si>
  <si>
    <r>
      <t xml:space="preserve">    </t>
    </r>
    <r>
      <rPr>
        <sz val="12"/>
        <rFont val="標楷體"/>
        <family val="4"/>
        <charset val="136"/>
      </rPr>
      <t>收取利息</t>
    </r>
    <phoneticPr fontId="5" type="noConversion"/>
  </si>
  <si>
    <r>
      <t xml:space="preserve">    </t>
    </r>
    <r>
      <rPr>
        <sz val="12"/>
        <rFont val="標楷體"/>
        <family val="4"/>
        <charset val="136"/>
      </rPr>
      <t>未計利息股利之本期賸餘（短絀）</t>
    </r>
    <phoneticPr fontId="5" type="noConversion"/>
  </si>
  <si>
    <r>
      <t xml:space="preserve">    </t>
    </r>
    <r>
      <rPr>
        <sz val="12"/>
        <rFont val="標楷體"/>
        <family val="4"/>
        <charset val="136"/>
      </rPr>
      <t>未計利息股利之現金流入（流出）</t>
    </r>
    <phoneticPr fontId="5" type="noConversion"/>
  </si>
  <si>
    <t>　　業務活動之淨現金流入（流出）</t>
    <phoneticPr fontId="5" type="noConversion"/>
  </si>
  <si>
    <t>　　投資活動之淨現金流入（流出）</t>
    <phoneticPr fontId="5" type="noConversion"/>
  </si>
  <si>
    <t>　　籌資活動之淨現金流入（流出）</t>
    <phoneticPr fontId="5" type="noConversion"/>
  </si>
  <si>
    <t>現金及約當現金之淨增（淨減）</t>
    <phoneticPr fontId="5" type="noConversion"/>
  </si>
  <si>
    <t>累積餘絀</t>
    <phoneticPr fontId="5" type="noConversion"/>
  </si>
  <si>
    <t>業務賸餘（短絀）</t>
    <phoneticPr fontId="5" type="noConversion"/>
  </si>
  <si>
    <t>業務外賸餘（短絀）</t>
    <phoneticPr fontId="5" type="noConversion"/>
  </si>
  <si>
    <t>本期賸餘（短絀）</t>
    <phoneticPr fontId="5" type="noConversion"/>
  </si>
  <si>
    <t>　本期賸餘（短絀）</t>
    <phoneticPr fontId="5" type="noConversion"/>
  </si>
  <si>
    <r>
      <t xml:space="preserve">    </t>
    </r>
    <r>
      <rPr>
        <sz val="12"/>
        <rFont val="標楷體"/>
        <family val="4"/>
        <charset val="136"/>
      </rPr>
      <t>未計利息股利之本期賸餘</t>
    </r>
    <r>
      <rPr>
        <sz val="12"/>
        <rFont val="標楷體"/>
        <family val="4"/>
        <charset val="136"/>
      </rPr>
      <t>（短絀）</t>
    </r>
    <phoneticPr fontId="5" type="noConversion"/>
  </si>
  <si>
    <r>
      <t xml:space="preserve">    </t>
    </r>
    <r>
      <rPr>
        <sz val="12"/>
        <rFont val="標楷體"/>
        <family val="4"/>
        <charset val="136"/>
      </rPr>
      <t>未計利息股利之現金流入</t>
    </r>
    <r>
      <rPr>
        <sz val="12"/>
        <rFont val="標楷體"/>
        <family val="4"/>
        <charset val="136"/>
      </rPr>
      <t>（流出）</t>
    </r>
    <phoneticPr fontId="5" type="noConversion"/>
  </si>
  <si>
    <r>
      <t>2.</t>
    </r>
    <r>
      <rPr>
        <sz val="12"/>
        <rFont val="標楷體"/>
        <family val="4"/>
        <charset val="136"/>
      </rPr>
      <t>提存責任準備</t>
    </r>
    <r>
      <rPr>
        <sz val="12"/>
        <rFont val="Times New Roman"/>
        <family val="1"/>
      </rPr>
      <t/>
    </r>
    <phoneticPr fontId="5" type="noConversion"/>
  </si>
  <si>
    <r>
      <t>3.</t>
    </r>
    <r>
      <rPr>
        <sz val="12"/>
        <rFont val="標楷體"/>
        <family val="4"/>
        <charset val="136"/>
      </rPr>
      <t>折舊</t>
    </r>
    <phoneticPr fontId="5" type="noConversion"/>
  </si>
  <si>
    <t>出租資產成本</t>
    <phoneticPr fontId="5" type="noConversion"/>
  </si>
  <si>
    <t xml:space="preserve">    投資性不動產成本
     （普通事故）</t>
    <phoneticPr fontId="5" type="noConversion"/>
  </si>
  <si>
    <t xml:space="preserve">    投資性不動產成本
    （普通事故）</t>
    <phoneticPr fontId="5" type="noConversion"/>
  </si>
  <si>
    <t>　    稅捐與規費（強制費）</t>
    <phoneticPr fontId="5" type="noConversion"/>
  </si>
  <si>
    <t xml:space="preserve">  　融資業務成本（普通事故）</t>
    <phoneticPr fontId="5" type="noConversion"/>
  </si>
  <si>
    <t>累積餘絀</t>
    <phoneticPr fontId="5" type="noConversion"/>
  </si>
  <si>
    <r>
      <rPr>
        <b/>
        <sz val="12"/>
        <rFont val="標楷體"/>
        <family val="4"/>
        <charset val="136"/>
      </rPr>
      <t>　　投資活動之淨現金流入（流出）</t>
    </r>
    <phoneticPr fontId="5" type="noConversion"/>
  </si>
  <si>
    <r>
      <rPr>
        <b/>
        <sz val="12"/>
        <rFont val="標楷體"/>
        <family val="4"/>
        <charset val="136"/>
      </rPr>
      <t>　　籌資活動之淨現金流入（流出）</t>
    </r>
    <phoneticPr fontId="5" type="noConversion"/>
  </si>
  <si>
    <r>
      <rPr>
        <b/>
        <sz val="12"/>
        <rFont val="標楷體"/>
        <family val="4"/>
        <charset val="136"/>
      </rPr>
      <t>現金及約當現金之淨增（淨減）</t>
    </r>
    <phoneticPr fontId="5" type="noConversion"/>
  </si>
  <si>
    <r>
      <rPr>
        <sz val="12"/>
        <rFont val="標楷體"/>
        <family val="4"/>
        <charset val="136"/>
      </rPr>
      <t>編列</t>
    </r>
    <r>
      <rPr>
        <sz val="12"/>
        <rFont val="Times New Roman"/>
        <family val="1"/>
      </rPr>
      <t>0</t>
    </r>
    <r>
      <rPr>
        <sz val="12"/>
        <rFont val="標楷體"/>
        <family val="4"/>
        <charset val="136"/>
      </rPr>
      <t>千元，係應付保管款滿</t>
    </r>
    <r>
      <rPr>
        <sz val="12"/>
        <rFont val="Times New Roman"/>
        <family val="1"/>
      </rPr>
      <t>4</t>
    </r>
    <r>
      <rPr>
        <sz val="12"/>
        <rFont val="標楷體"/>
        <family val="4"/>
        <charset val="136"/>
      </rPr>
      <t>年轉雜項收入後再提出申請。</t>
    </r>
    <phoneticPr fontId="5" type="noConversion"/>
  </si>
  <si>
    <t>　遞延資產</t>
    <phoneticPr fontId="5" type="noConversion"/>
  </si>
  <si>
    <t>　待處理資產</t>
    <phoneticPr fontId="5" type="noConversion"/>
  </si>
  <si>
    <t>　遞延負債</t>
    <phoneticPr fontId="5"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</si>
  <si>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5"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</si>
  <si>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5" type="noConversion"/>
  </si>
  <si>
    <r>
      <rPr>
        <sz val="12"/>
        <rFont val="標楷體"/>
        <family val="4"/>
        <charset val="136"/>
      </rPr>
      <t>項目</t>
    </r>
    <phoneticPr fontId="5" type="noConversion"/>
  </si>
  <si>
    <r>
      <rPr>
        <sz val="12"/>
        <rFont val="標楷體"/>
        <family val="4"/>
        <charset val="136"/>
      </rPr>
      <t>預算數</t>
    </r>
    <phoneticPr fontId="5" type="noConversion"/>
  </si>
  <si>
    <r>
      <rPr>
        <sz val="12"/>
        <rFont val="標楷體"/>
        <family val="4"/>
        <charset val="136"/>
      </rPr>
      <t>　減少投資、長期應收款、貸墊款及準備金</t>
    </r>
    <phoneticPr fontId="5" type="noConversion"/>
  </si>
  <si>
    <r>
      <rPr>
        <sz val="12"/>
        <rFont val="標楷體"/>
        <family val="4"/>
        <charset val="136"/>
      </rPr>
      <t>係減少其他負債千元。</t>
    </r>
    <phoneticPr fontId="5" type="noConversion"/>
  </si>
  <si>
    <t xml:space="preserve">        旅運費</t>
    <phoneticPr fontId="5" type="noConversion"/>
  </si>
  <si>
    <t>　　 　 旅運費</t>
    <phoneticPr fontId="5" type="noConversion"/>
  </si>
  <si>
    <t>　　 　 郵電費</t>
    <phoneticPr fontId="5" type="noConversion"/>
  </si>
  <si>
    <t>　    材料及用品費</t>
    <phoneticPr fontId="5" type="noConversion"/>
  </si>
  <si>
    <t xml:space="preserve">         旅運費</t>
    <phoneticPr fontId="5" type="noConversion"/>
  </si>
  <si>
    <t xml:space="preserve">       材料及用品費</t>
    <phoneticPr fontId="5" type="noConversion"/>
  </si>
  <si>
    <t xml:space="preserve">       折舊、折耗及攤銷</t>
    <phoneticPr fontId="5" type="noConversion"/>
  </si>
  <si>
    <t>材料及用品費</t>
    <phoneticPr fontId="5" type="noConversion"/>
  </si>
  <si>
    <t>　郵電費</t>
    <phoneticPr fontId="5" type="noConversion"/>
  </si>
  <si>
    <r>
      <rPr>
        <b/>
        <sz val="12"/>
        <rFont val="標楷體"/>
        <family val="4"/>
        <charset val="136"/>
      </rPr>
      <t>投資性不動產收入</t>
    </r>
    <phoneticPr fontId="22" type="noConversion"/>
  </si>
  <si>
    <r>
      <rPr>
        <sz val="12"/>
        <rFont val="標楷體"/>
        <family val="4"/>
        <charset val="136"/>
      </rPr>
      <t>宜蘭市和睦路</t>
    </r>
    <r>
      <rPr>
        <sz val="12"/>
        <rFont val="Times New Roman"/>
        <family val="1"/>
      </rPr>
      <t>1-10</t>
    </r>
    <r>
      <rPr>
        <sz val="12"/>
        <rFont val="標楷體"/>
        <family val="4"/>
        <charset val="136"/>
      </rPr>
      <t>號</t>
    </r>
    <phoneticPr fontId="22" type="noConversion"/>
  </si>
  <si>
    <r>
      <rPr>
        <sz val="12"/>
        <rFont val="標楷體"/>
        <family val="4"/>
        <charset val="136"/>
      </rPr>
      <t>澎湖縣馬公市三民路</t>
    </r>
    <r>
      <rPr>
        <sz val="12"/>
        <rFont val="Times New Roman"/>
        <family val="1"/>
      </rPr>
      <t>36</t>
    </r>
    <r>
      <rPr>
        <sz val="12"/>
        <rFont val="標楷體"/>
        <family val="4"/>
        <charset val="136"/>
      </rPr>
      <t>號</t>
    </r>
    <phoneticPr fontId="22" type="noConversion"/>
  </si>
  <si>
    <t>勞動部勞動基金運用局</t>
    <phoneticPr fontId="5" type="noConversion"/>
  </si>
  <si>
    <t>勞動部職業安全衛生署</t>
    <phoneticPr fontId="5" type="noConversion"/>
  </si>
  <si>
    <r>
      <rPr>
        <sz val="12"/>
        <rFont val="標楷體"/>
        <family val="4"/>
        <charset val="136"/>
      </rPr>
      <t>普通事故保險費由被保險人負擔</t>
    </r>
    <r>
      <rPr>
        <sz val="12"/>
        <rFont val="Times New Roman"/>
        <family val="1"/>
      </rPr>
      <t>80%</t>
    </r>
    <r>
      <rPr>
        <sz val="12"/>
        <rFont val="標楷體"/>
        <family val="4"/>
        <charset val="136"/>
      </rPr>
      <t>，政府補助</t>
    </r>
    <r>
      <rPr>
        <sz val="12"/>
        <rFont val="Times New Roman"/>
        <family val="1"/>
      </rPr>
      <t>20%</t>
    </r>
    <r>
      <rPr>
        <sz val="12"/>
        <rFont val="標楷體"/>
        <family val="4"/>
        <charset val="136"/>
      </rPr>
      <t>；無職業災害保險費。</t>
    </r>
    <phoneticPr fontId="22" type="noConversion"/>
  </si>
  <si>
    <t>業務活動之現金流量</t>
  </si>
  <si>
    <t>　　</t>
    <phoneticPr fontId="5" type="noConversion"/>
  </si>
  <si>
    <t>期初現金及約當現金</t>
  </si>
  <si>
    <t>　　業務活動之淨現金流入（流出）</t>
    <phoneticPr fontId="5" type="noConversion"/>
  </si>
  <si>
    <t>投資活動之現金流量</t>
    <phoneticPr fontId="5" type="noConversion"/>
  </si>
  <si>
    <t>　減少流動金融資產及短期貸墊款</t>
    <phoneticPr fontId="5" type="noConversion"/>
  </si>
  <si>
    <t>　減少投資、長期應收款、貸墊款及準備金</t>
    <phoneticPr fontId="5" type="noConversion"/>
  </si>
  <si>
    <t>　減少無形資產及其他資產</t>
    <phoneticPr fontId="5" type="noConversion"/>
  </si>
  <si>
    <t>　增加流動金融資產及短期貸墊款</t>
    <phoneticPr fontId="5" type="noConversion"/>
  </si>
  <si>
    <t>　增加投資、長期應收款、貸墊款及準備金</t>
    <phoneticPr fontId="5" type="noConversion"/>
  </si>
  <si>
    <t>　增加無形資產及其他資產</t>
    <phoneticPr fontId="5" type="noConversion"/>
  </si>
  <si>
    <t>　　投資活動之淨現金流入（流出）</t>
    <phoneticPr fontId="5" type="noConversion"/>
  </si>
  <si>
    <t>籌資活動之現金流量</t>
    <phoneticPr fontId="5" type="noConversion"/>
  </si>
  <si>
    <t xml:space="preserve">　增加短期債務、流動金融負債及其他負債
    </t>
    <phoneticPr fontId="5" type="noConversion"/>
  </si>
  <si>
    <t xml:space="preserve">　減少短期債務、流動金融負債及其他負債
    </t>
    <phoneticPr fontId="5" type="noConversion"/>
  </si>
  <si>
    <r>
      <t>1.</t>
    </r>
    <r>
      <rPr>
        <sz val="12"/>
        <rFont val="標楷體"/>
        <family val="4"/>
        <charset val="136"/>
      </rPr>
      <t>利息收入</t>
    </r>
    <phoneticPr fontId="5" type="noConversion"/>
  </si>
  <si>
    <t>期末現金及約當現金</t>
    <phoneticPr fontId="5" type="noConversion"/>
  </si>
  <si>
    <t>租金及權利金收入</t>
    <phoneticPr fontId="5" type="noConversion"/>
  </si>
  <si>
    <t xml:space="preserve">  勞工保險</t>
    <phoneticPr fontId="5" type="noConversion"/>
  </si>
  <si>
    <t>　  投資性不動產收入</t>
    <phoneticPr fontId="5" type="noConversion"/>
  </si>
  <si>
    <t>年</t>
    <phoneticPr fontId="5" type="noConversion"/>
  </si>
  <si>
    <t xml:space="preserve">      普通事故</t>
    <phoneticPr fontId="5" type="noConversion"/>
  </si>
  <si>
    <t xml:space="preserve">        職業災害</t>
    <phoneticPr fontId="5" type="noConversion"/>
  </si>
  <si>
    <t xml:space="preserve">        普通事故</t>
    <phoneticPr fontId="5" type="noConversion"/>
  </si>
  <si>
    <t xml:space="preserve">  就業保險</t>
    <phoneticPr fontId="5" type="noConversion"/>
  </si>
  <si>
    <t xml:space="preserve">  　投資業務收入</t>
    <phoneticPr fontId="5" type="noConversion"/>
  </si>
  <si>
    <t xml:space="preserve">  　  權益證券</t>
    <phoneticPr fontId="5" type="noConversion"/>
  </si>
  <si>
    <t xml:space="preserve"> 　　   普通事故</t>
    <phoneticPr fontId="5" type="noConversion"/>
  </si>
  <si>
    <t xml:space="preserve"> 　　     國外投資</t>
    <phoneticPr fontId="5" type="noConversion"/>
  </si>
  <si>
    <t>　  投資業務收入</t>
    <phoneticPr fontId="5" type="noConversion"/>
  </si>
  <si>
    <t xml:space="preserve">      已加保勞工</t>
    <phoneticPr fontId="5" type="noConversion"/>
  </si>
  <si>
    <t>　    已加保勞工</t>
    <phoneticPr fontId="5" type="noConversion"/>
  </si>
  <si>
    <r>
      <rPr>
        <sz val="12"/>
        <rFont val="標楷體"/>
        <family val="4"/>
        <charset val="136"/>
      </rPr>
      <t>本項目全數由勞動部職業安全衛生署辦理。</t>
    </r>
    <phoneticPr fontId="5" type="noConversion"/>
  </si>
  <si>
    <t xml:space="preserve">      違規罰款收入</t>
    <phoneticPr fontId="5" type="noConversion"/>
  </si>
  <si>
    <t xml:space="preserve">      收回呆帳</t>
    <phoneticPr fontId="5" type="noConversion"/>
  </si>
  <si>
    <t xml:space="preserve">      雜項收入</t>
    <phoneticPr fontId="5" type="noConversion"/>
  </si>
  <si>
    <t xml:space="preserve">    財務收入</t>
    <phoneticPr fontId="5" type="noConversion"/>
  </si>
  <si>
    <t xml:space="preserve">      利息收入</t>
    <phoneticPr fontId="5" type="noConversion"/>
  </si>
  <si>
    <t xml:space="preserve">    其他業務外收入</t>
    <phoneticPr fontId="5" type="noConversion"/>
  </si>
  <si>
    <t xml:space="preserve">      收回呆帳</t>
    <phoneticPr fontId="5" type="noConversion"/>
  </si>
  <si>
    <t>出租資產成本</t>
    <phoneticPr fontId="5" type="noConversion"/>
  </si>
  <si>
    <t xml:space="preserve">        水電費</t>
    <phoneticPr fontId="5" type="noConversion"/>
  </si>
  <si>
    <t xml:space="preserve">        修理保養及保固費</t>
    <phoneticPr fontId="5" type="noConversion"/>
  </si>
  <si>
    <t xml:space="preserve">        一般服務費</t>
    <phoneticPr fontId="5" type="noConversion"/>
  </si>
  <si>
    <t xml:space="preserve">      稅捐與規費（強制費）</t>
    <phoneticPr fontId="5" type="noConversion"/>
  </si>
  <si>
    <t xml:space="preserve">        房屋稅</t>
    <phoneticPr fontId="5" type="noConversion"/>
  </si>
  <si>
    <t xml:space="preserve">        規費</t>
    <phoneticPr fontId="5" type="noConversion"/>
  </si>
  <si>
    <t xml:space="preserve">        其他費用</t>
    <phoneticPr fontId="5" type="noConversion"/>
  </si>
  <si>
    <t>　    服務費用</t>
    <phoneticPr fontId="5" type="noConversion"/>
  </si>
  <si>
    <t>　　 　 印刷裝訂與廣告費</t>
    <phoneticPr fontId="5" type="noConversion"/>
  </si>
  <si>
    <t>　        職業災害</t>
    <phoneticPr fontId="5" type="noConversion"/>
  </si>
  <si>
    <t>　　    用品消耗</t>
    <phoneticPr fontId="5" type="noConversion"/>
  </si>
  <si>
    <t>　    短絀、賠償與保險給付</t>
    <phoneticPr fontId="5" type="noConversion"/>
  </si>
  <si>
    <t>　　    各項短絀</t>
    <phoneticPr fontId="5" type="noConversion"/>
  </si>
  <si>
    <t>　  兌換短絀（普通事故）</t>
    <phoneticPr fontId="5" type="noConversion"/>
  </si>
  <si>
    <t>　  兌換短絀</t>
    <phoneticPr fontId="5" type="noConversion"/>
  </si>
  <si>
    <t xml:space="preserve">       服務費用</t>
    <phoneticPr fontId="5" type="noConversion"/>
  </si>
  <si>
    <t xml:space="preserve">         郵電費</t>
    <phoneticPr fontId="5" type="noConversion"/>
  </si>
  <si>
    <t xml:space="preserve">         印刷裝訂與廣告費</t>
    <phoneticPr fontId="5" type="noConversion"/>
  </si>
  <si>
    <t xml:space="preserve">         一般服務費</t>
    <phoneticPr fontId="5" type="noConversion"/>
  </si>
  <si>
    <t xml:space="preserve">         專業服務費</t>
    <phoneticPr fontId="5" type="noConversion"/>
  </si>
  <si>
    <t xml:space="preserve">         用品消耗</t>
    <phoneticPr fontId="5" type="noConversion"/>
  </si>
  <si>
    <t xml:space="preserve">         攤銷</t>
    <phoneticPr fontId="5" type="noConversion"/>
  </si>
  <si>
    <t>其他業務成本</t>
    <phoneticPr fontId="5" type="noConversion"/>
  </si>
  <si>
    <t>　  雜項業務成本</t>
    <phoneticPr fontId="5" type="noConversion"/>
  </si>
  <si>
    <t>　      利息</t>
    <phoneticPr fontId="5" type="noConversion"/>
  </si>
  <si>
    <t xml:space="preserve">        其他</t>
    <phoneticPr fontId="5" type="noConversion"/>
  </si>
  <si>
    <t xml:space="preserve">   　   其他</t>
    <phoneticPr fontId="5" type="noConversion"/>
  </si>
  <si>
    <t>　        其他費用</t>
    <phoneticPr fontId="5" type="noConversion"/>
  </si>
  <si>
    <t xml:space="preserve">          其他費用 </t>
    <phoneticPr fontId="5" type="noConversion"/>
  </si>
  <si>
    <t>期初基金數額</t>
    <phoneticPr fontId="5" type="noConversion"/>
  </si>
  <si>
    <t>　加：</t>
    <phoneticPr fontId="5" type="noConversion"/>
  </si>
  <si>
    <t>　　以前年度公積撥充</t>
    <phoneticPr fontId="5" type="noConversion"/>
  </si>
  <si>
    <t>　　賸餘撥充</t>
    <phoneticPr fontId="5" type="noConversion"/>
  </si>
  <si>
    <t>　　其他</t>
    <phoneticPr fontId="5" type="noConversion"/>
  </si>
  <si>
    <t>　減：</t>
    <phoneticPr fontId="5" type="noConversion"/>
  </si>
  <si>
    <t>　　填補短絀</t>
    <phoneticPr fontId="5" type="noConversion"/>
  </si>
  <si>
    <t>期末基金數額</t>
    <phoneticPr fontId="5" type="noConversion"/>
  </si>
  <si>
    <t>　投資性不動產</t>
    <phoneticPr fontId="5" type="noConversion"/>
  </si>
  <si>
    <t>　短期債務</t>
    <phoneticPr fontId="5" type="noConversion"/>
  </si>
  <si>
    <t>　基金</t>
    <phoneticPr fontId="5" type="noConversion"/>
  </si>
  <si>
    <t>公積</t>
    <phoneticPr fontId="5" type="noConversion"/>
  </si>
  <si>
    <t xml:space="preserve">  保險給付</t>
    <phoneticPr fontId="5" type="noConversion"/>
  </si>
  <si>
    <t>　  勞工保險</t>
    <phoneticPr fontId="5" type="noConversion"/>
  </si>
  <si>
    <t>　  就業保險</t>
    <phoneticPr fontId="5" type="noConversion"/>
  </si>
  <si>
    <t>　  農民健康保險</t>
    <phoneticPr fontId="5" type="noConversion"/>
  </si>
  <si>
    <t>　  職業災害勞工保護</t>
    <phoneticPr fontId="5" type="noConversion"/>
  </si>
  <si>
    <t>服務費用</t>
  </si>
  <si>
    <t>　水電費</t>
    <phoneticPr fontId="5" type="noConversion"/>
  </si>
  <si>
    <t>　修理保養及保固費</t>
    <phoneticPr fontId="5" type="noConversion"/>
  </si>
  <si>
    <t>　保險費</t>
    <phoneticPr fontId="5" type="noConversion"/>
  </si>
  <si>
    <t>　一般服務費</t>
    <phoneticPr fontId="5" type="noConversion"/>
  </si>
  <si>
    <t>　專業服務費</t>
    <phoneticPr fontId="5" type="noConversion"/>
  </si>
  <si>
    <t>　用品消耗</t>
    <phoneticPr fontId="5" type="noConversion"/>
  </si>
  <si>
    <t>租金與利息</t>
    <phoneticPr fontId="5" type="noConversion"/>
  </si>
  <si>
    <t>　土地稅</t>
    <phoneticPr fontId="5" type="noConversion"/>
  </si>
  <si>
    <t>　房屋稅</t>
    <phoneticPr fontId="5" type="noConversion"/>
  </si>
  <si>
    <t>　規費</t>
    <phoneticPr fontId="5" type="noConversion"/>
  </si>
  <si>
    <t>　提存</t>
    <phoneticPr fontId="5" type="noConversion"/>
  </si>
  <si>
    <t>　其他費用</t>
    <phoneticPr fontId="5" type="noConversion"/>
  </si>
  <si>
    <t>總　　　　　計</t>
    <phoneticPr fontId="5" type="noConversion"/>
  </si>
  <si>
    <t>折舊、折耗及攤銷</t>
    <phoneticPr fontId="5" type="noConversion"/>
  </si>
  <si>
    <t>　攤銷</t>
    <phoneticPr fontId="5" type="noConversion"/>
  </si>
  <si>
    <t>稅捐與規費(強制費)</t>
    <phoneticPr fontId="5" type="noConversion"/>
  </si>
  <si>
    <t>短絀、賠償與保險給付</t>
    <phoneticPr fontId="5" type="noConversion"/>
  </si>
  <si>
    <r>
      <rPr>
        <sz val="12"/>
        <rFont val="標楷體"/>
        <family val="4"/>
        <charset val="136"/>
      </rPr>
      <t>台北市羅斯福路</t>
    </r>
    <r>
      <rPr>
        <sz val="12"/>
        <rFont val="Times New Roman"/>
        <family val="1"/>
      </rPr>
      <t>1</t>
    </r>
    <r>
      <rPr>
        <sz val="12"/>
        <rFont val="標楷體"/>
        <family val="4"/>
        <charset val="136"/>
      </rPr>
      <t>段</t>
    </r>
    <r>
      <rPr>
        <sz val="12"/>
        <rFont val="Times New Roman"/>
        <family val="1"/>
      </rPr>
      <t>4</t>
    </r>
    <r>
      <rPr>
        <sz val="12"/>
        <rFont val="標楷體"/>
        <family val="4"/>
        <charset val="136"/>
      </rPr>
      <t>、</t>
    </r>
    <r>
      <rPr>
        <sz val="12"/>
        <rFont val="Times New Roman"/>
        <family val="1"/>
      </rPr>
      <t>6</t>
    </r>
    <r>
      <rPr>
        <sz val="12"/>
        <rFont val="標楷體"/>
        <family val="4"/>
        <charset val="136"/>
      </rPr>
      <t>號、南海路</t>
    </r>
    <r>
      <rPr>
        <sz val="12"/>
        <rFont val="Times New Roman"/>
        <family val="1"/>
      </rPr>
      <t>1</t>
    </r>
    <r>
      <rPr>
        <sz val="12"/>
        <rFont val="標楷體"/>
        <family val="4"/>
        <charset val="136"/>
      </rPr>
      <t>號</t>
    </r>
    <r>
      <rPr>
        <sz val="12"/>
        <rFont val="Times New Roman"/>
        <family val="1"/>
      </rPr>
      <t>9</t>
    </r>
    <r>
      <rPr>
        <sz val="12"/>
        <rFont val="標楷體"/>
        <family val="4"/>
        <charset val="136"/>
      </rPr>
      <t>樓</t>
    </r>
    <phoneticPr fontId="22" type="noConversion"/>
  </si>
  <si>
    <r>
      <rPr>
        <sz val="12"/>
        <rFont val="標楷體"/>
        <family val="4"/>
        <charset val="136"/>
      </rPr>
      <t>台北市南昌路</t>
    </r>
    <r>
      <rPr>
        <sz val="12"/>
        <rFont val="Times New Roman"/>
        <family val="1"/>
      </rPr>
      <t>1</t>
    </r>
    <r>
      <rPr>
        <sz val="12"/>
        <rFont val="標楷體"/>
        <family val="4"/>
        <charset val="136"/>
      </rPr>
      <t>段</t>
    </r>
    <r>
      <rPr>
        <sz val="12"/>
        <rFont val="Times New Roman"/>
        <family val="1"/>
      </rPr>
      <t>5</t>
    </r>
    <r>
      <rPr>
        <sz val="12"/>
        <rFont val="標楷體"/>
        <family val="4"/>
        <charset val="136"/>
      </rPr>
      <t>號</t>
    </r>
    <r>
      <rPr>
        <sz val="12"/>
        <rFont val="Times New Roman"/>
        <family val="1"/>
      </rPr>
      <t>(</t>
    </r>
    <r>
      <rPr>
        <sz val="12"/>
        <rFont val="標楷體"/>
        <family val="4"/>
        <charset val="136"/>
      </rPr>
      <t>停車場</t>
    </r>
    <r>
      <rPr>
        <sz val="12"/>
        <rFont val="Times New Roman"/>
        <family val="1"/>
      </rPr>
      <t>)</t>
    </r>
    <phoneticPr fontId="22" type="noConversion"/>
  </si>
  <si>
    <r>
      <rPr>
        <sz val="12"/>
        <rFont val="標楷體"/>
        <family val="4"/>
        <charset val="136"/>
      </rPr>
      <t>台北市濟南路</t>
    </r>
    <r>
      <rPr>
        <sz val="12"/>
        <rFont val="Times New Roman"/>
        <family val="1"/>
      </rPr>
      <t>2</t>
    </r>
    <r>
      <rPr>
        <sz val="12"/>
        <rFont val="標楷體"/>
        <family val="4"/>
        <charset val="136"/>
      </rPr>
      <t>段</t>
    </r>
    <r>
      <rPr>
        <sz val="12"/>
        <rFont val="Times New Roman"/>
        <family val="1"/>
      </rPr>
      <t>42</t>
    </r>
    <r>
      <rPr>
        <sz val="12"/>
        <rFont val="標楷體"/>
        <family val="4"/>
        <charset val="136"/>
      </rPr>
      <t>號</t>
    </r>
    <phoneticPr fontId="22" type="noConversion"/>
  </si>
  <si>
    <r>
      <rPr>
        <sz val="12"/>
        <rFont val="標楷體"/>
        <family val="4"/>
        <charset val="136"/>
      </rPr>
      <t>台北市興隆路</t>
    </r>
    <r>
      <rPr>
        <sz val="12"/>
        <rFont val="Times New Roman"/>
        <family val="1"/>
      </rPr>
      <t>3</t>
    </r>
    <r>
      <rPr>
        <sz val="12"/>
        <rFont val="標楷體"/>
        <family val="4"/>
        <charset val="136"/>
      </rPr>
      <t>段</t>
    </r>
    <r>
      <rPr>
        <sz val="12"/>
        <rFont val="Times New Roman"/>
        <family val="1"/>
      </rPr>
      <t>304</t>
    </r>
    <r>
      <rPr>
        <sz val="12"/>
        <rFont val="標楷體"/>
        <family val="4"/>
        <charset val="136"/>
      </rPr>
      <t>巷</t>
    </r>
    <r>
      <rPr>
        <sz val="12"/>
        <rFont val="Times New Roman"/>
        <family val="1"/>
      </rPr>
      <t>27</t>
    </r>
    <r>
      <rPr>
        <sz val="12"/>
        <rFont val="標楷體"/>
        <family val="4"/>
        <charset val="136"/>
      </rPr>
      <t>、</t>
    </r>
    <r>
      <rPr>
        <sz val="12"/>
        <rFont val="Times New Roman"/>
        <family val="1"/>
      </rPr>
      <t>27-1</t>
    </r>
    <r>
      <rPr>
        <sz val="12"/>
        <rFont val="標楷體"/>
        <family val="4"/>
        <charset val="136"/>
      </rPr>
      <t>、</t>
    </r>
    <r>
      <rPr>
        <sz val="12"/>
        <rFont val="Times New Roman"/>
        <family val="1"/>
      </rPr>
      <t>29</t>
    </r>
    <r>
      <rPr>
        <sz val="12"/>
        <rFont val="標楷體"/>
        <family val="4"/>
        <charset val="136"/>
      </rPr>
      <t>、</t>
    </r>
    <r>
      <rPr>
        <sz val="12"/>
        <rFont val="Times New Roman"/>
        <family val="1"/>
      </rPr>
      <t>31</t>
    </r>
    <r>
      <rPr>
        <sz val="12"/>
        <rFont val="標楷體"/>
        <family val="4"/>
        <charset val="136"/>
      </rPr>
      <t>、</t>
    </r>
    <r>
      <rPr>
        <sz val="12"/>
        <rFont val="Times New Roman"/>
        <family val="1"/>
      </rPr>
      <t>33</t>
    </r>
    <r>
      <rPr>
        <sz val="12"/>
        <rFont val="標楷體"/>
        <family val="4"/>
        <charset val="136"/>
      </rPr>
      <t>號</t>
    </r>
    <phoneticPr fontId="22" type="noConversion"/>
  </si>
  <si>
    <r>
      <rPr>
        <sz val="12"/>
        <rFont val="標楷體"/>
        <family val="4"/>
        <charset val="136"/>
      </rPr>
      <t>花蓮市自由街</t>
    </r>
    <r>
      <rPr>
        <sz val="12"/>
        <rFont val="Times New Roman"/>
        <family val="1"/>
      </rPr>
      <t>140</t>
    </r>
    <r>
      <rPr>
        <sz val="12"/>
        <rFont val="標楷體"/>
        <family val="4"/>
        <charset val="136"/>
      </rPr>
      <t>號</t>
    </r>
    <phoneticPr fontId="22" type="noConversion"/>
  </si>
  <si>
    <r>
      <rPr>
        <sz val="12"/>
        <rFont val="標楷體"/>
        <family val="4"/>
        <charset val="136"/>
      </rPr>
      <t>台北市杭州南路</t>
    </r>
    <r>
      <rPr>
        <sz val="12"/>
        <rFont val="Times New Roman"/>
        <family val="1"/>
      </rPr>
      <t>1</t>
    </r>
    <r>
      <rPr>
        <sz val="12"/>
        <rFont val="標楷體"/>
        <family val="4"/>
        <charset val="136"/>
      </rPr>
      <t>段</t>
    </r>
    <r>
      <rPr>
        <sz val="12"/>
        <rFont val="Times New Roman"/>
        <family val="1"/>
      </rPr>
      <t>111</t>
    </r>
    <r>
      <rPr>
        <sz val="12"/>
        <rFont val="標楷體"/>
        <family val="4"/>
        <charset val="136"/>
      </rPr>
      <t>巷</t>
    </r>
    <r>
      <rPr>
        <sz val="12"/>
        <rFont val="Times New Roman"/>
        <family val="1"/>
      </rPr>
      <t>13-1</t>
    </r>
    <r>
      <rPr>
        <sz val="12"/>
        <rFont val="標楷體"/>
        <family val="4"/>
        <charset val="136"/>
      </rPr>
      <t>、</t>
    </r>
    <r>
      <rPr>
        <sz val="12"/>
        <rFont val="Times New Roman"/>
        <family val="1"/>
      </rPr>
      <t>13-2</t>
    </r>
    <r>
      <rPr>
        <sz val="12"/>
        <rFont val="標楷體"/>
        <family val="4"/>
        <charset val="136"/>
      </rPr>
      <t>號</t>
    </r>
    <phoneticPr fontId="22" type="noConversion"/>
  </si>
  <si>
    <r>
      <rPr>
        <sz val="12"/>
        <rFont val="標楷體"/>
        <family val="4"/>
        <charset val="136"/>
      </rPr>
      <t>台北市中山區正義段</t>
    </r>
    <r>
      <rPr>
        <sz val="12"/>
        <rFont val="Times New Roman"/>
        <family val="1"/>
      </rPr>
      <t>3</t>
    </r>
    <r>
      <rPr>
        <sz val="12"/>
        <rFont val="標楷體"/>
        <family val="4"/>
        <charset val="136"/>
      </rPr>
      <t>小段</t>
    </r>
    <r>
      <rPr>
        <sz val="12"/>
        <rFont val="Times New Roman"/>
        <family val="1"/>
      </rPr>
      <t>217</t>
    </r>
    <r>
      <rPr>
        <sz val="12"/>
        <rFont val="標楷體"/>
        <family val="4"/>
        <charset val="136"/>
      </rPr>
      <t>地號</t>
    </r>
    <phoneticPr fontId="22" type="noConversion"/>
  </si>
  <si>
    <r>
      <rPr>
        <sz val="12"/>
        <rFont val="標楷體"/>
        <family val="4"/>
        <charset val="136"/>
      </rPr>
      <t>台北市中正區成功段</t>
    </r>
    <r>
      <rPr>
        <sz val="12"/>
        <rFont val="Times New Roman"/>
        <family val="1"/>
      </rPr>
      <t>1</t>
    </r>
    <r>
      <rPr>
        <sz val="12"/>
        <rFont val="標楷體"/>
        <family val="4"/>
        <charset val="136"/>
      </rPr>
      <t>小段</t>
    </r>
    <r>
      <rPr>
        <sz val="12"/>
        <rFont val="Times New Roman"/>
        <family val="1"/>
      </rPr>
      <t>10-1</t>
    </r>
    <r>
      <rPr>
        <sz val="12"/>
        <rFont val="標楷體"/>
        <family val="4"/>
        <charset val="136"/>
      </rPr>
      <t>等地號</t>
    </r>
    <r>
      <rPr>
        <sz val="12"/>
        <rFont val="Times New Roman"/>
        <family val="1"/>
      </rPr>
      <t>(</t>
    </r>
    <r>
      <rPr>
        <sz val="12"/>
        <rFont val="標楷體"/>
        <family val="4"/>
        <charset val="136"/>
      </rPr>
      <t>原希望廣場</t>
    </r>
    <r>
      <rPr>
        <sz val="12"/>
        <rFont val="Times New Roman"/>
        <family val="1"/>
      </rPr>
      <t>)</t>
    </r>
    <phoneticPr fontId="22" type="noConversion"/>
  </si>
  <si>
    <r>
      <rPr>
        <sz val="12"/>
        <rFont val="標楷體"/>
        <family val="4"/>
        <charset val="136"/>
      </rPr>
      <t>台北市林森北路</t>
    </r>
    <r>
      <rPr>
        <sz val="12"/>
        <rFont val="Times New Roman"/>
        <family val="1"/>
      </rPr>
      <t>85</t>
    </r>
    <r>
      <rPr>
        <sz val="12"/>
        <rFont val="標楷體"/>
        <family val="4"/>
        <charset val="136"/>
      </rPr>
      <t>巷</t>
    </r>
    <r>
      <rPr>
        <sz val="12"/>
        <rFont val="Times New Roman"/>
        <family val="1"/>
      </rPr>
      <t>46-1</t>
    </r>
    <r>
      <rPr>
        <sz val="12"/>
        <rFont val="標楷體"/>
        <family val="4"/>
        <charset val="136"/>
      </rPr>
      <t>、</t>
    </r>
    <r>
      <rPr>
        <sz val="12"/>
        <rFont val="Times New Roman"/>
        <family val="1"/>
      </rPr>
      <t>46-2</t>
    </r>
    <r>
      <rPr>
        <sz val="12"/>
        <rFont val="標楷體"/>
        <family val="4"/>
        <charset val="136"/>
      </rPr>
      <t>、</t>
    </r>
    <r>
      <rPr>
        <sz val="12"/>
        <rFont val="Times New Roman"/>
        <family val="1"/>
      </rPr>
      <t>46-3</t>
    </r>
    <r>
      <rPr>
        <sz val="12"/>
        <rFont val="標楷體"/>
        <family val="4"/>
        <charset val="136"/>
      </rPr>
      <t>號</t>
    </r>
    <phoneticPr fontId="5" type="noConversion"/>
  </si>
  <si>
    <r>
      <rPr>
        <sz val="12"/>
        <rFont val="標楷體"/>
        <family val="4"/>
        <charset val="136"/>
      </rPr>
      <t>台北市中正區中正段</t>
    </r>
    <r>
      <rPr>
        <sz val="12"/>
        <rFont val="Times New Roman"/>
        <family val="1"/>
      </rPr>
      <t>2</t>
    </r>
    <r>
      <rPr>
        <sz val="12"/>
        <rFont val="標楷體"/>
        <family val="4"/>
        <charset val="136"/>
      </rPr>
      <t>小段</t>
    </r>
    <r>
      <rPr>
        <sz val="12"/>
        <rFont val="Times New Roman"/>
        <family val="1"/>
      </rPr>
      <t>119</t>
    </r>
    <r>
      <rPr>
        <sz val="12"/>
        <rFont val="標楷體"/>
        <family val="4"/>
        <charset val="136"/>
      </rPr>
      <t>等地號</t>
    </r>
    <phoneticPr fontId="5" type="noConversion"/>
  </si>
  <si>
    <t>　  　  被保險人負擔</t>
    <phoneticPr fontId="22" type="noConversion"/>
  </si>
  <si>
    <t xml:space="preserve">      職業訓練機構接受
      訓練者</t>
    <phoneticPr fontId="5" type="noConversion"/>
  </si>
  <si>
    <t>　 　   投保單位負擔</t>
    <phoneticPr fontId="22" type="noConversion"/>
  </si>
  <si>
    <t>　　 　 被保險人負擔</t>
    <phoneticPr fontId="22" type="noConversion"/>
  </si>
  <si>
    <t xml:space="preserve">      公司、行號之員工          </t>
    <phoneticPr fontId="5" type="noConversion"/>
  </si>
  <si>
    <t xml:space="preserve"> 　     政府補助</t>
    <phoneticPr fontId="22" type="noConversion"/>
  </si>
  <si>
    <t>　　  　被保險人負擔</t>
    <phoneticPr fontId="22" type="noConversion"/>
  </si>
  <si>
    <t>　調整項目</t>
    <phoneticPr fontId="5" type="noConversion"/>
  </si>
  <si>
    <r>
      <rPr>
        <sz val="10"/>
        <rFont val="標楷體"/>
        <family val="4"/>
        <charset val="136"/>
      </rPr>
      <t>％</t>
    </r>
  </si>
  <si>
    <r>
      <t xml:space="preserve">      </t>
    </r>
    <r>
      <rPr>
        <sz val="10"/>
        <rFont val="標楷體"/>
        <family val="4"/>
        <charset val="136"/>
      </rPr>
      <t xml:space="preserve">
</t>
    </r>
    <r>
      <rPr>
        <sz val="10"/>
        <rFont val="Times New Roman"/>
        <family val="1"/>
      </rPr>
      <t xml:space="preserve">   
     </t>
    </r>
    <phoneticPr fontId="5" type="noConversion"/>
  </si>
  <si>
    <t xml:space="preserve">  收取利息</t>
    <phoneticPr fontId="5" type="noConversion"/>
  </si>
  <si>
    <t xml:space="preserve">  旅運費</t>
    <phoneticPr fontId="5" type="noConversion"/>
  </si>
  <si>
    <r>
      <t>4.</t>
    </r>
    <r>
      <rPr>
        <sz val="12"/>
        <rFont val="標楷體"/>
        <family val="4"/>
        <charset val="136"/>
      </rPr>
      <t>攤銷</t>
    </r>
    <phoneticPr fontId="5" type="noConversion"/>
  </si>
  <si>
    <r>
      <rPr>
        <sz val="12"/>
        <rFont val="標楷體"/>
        <family val="4"/>
        <charset val="136"/>
      </rPr>
      <t>係勞工保險業務減少其他資產千元。</t>
    </r>
    <phoneticPr fontId="5" type="noConversion"/>
  </si>
  <si>
    <t>期末現金及約當現金</t>
  </si>
  <si>
    <t xml:space="preserve">  利息股利之調整</t>
    <phoneticPr fontId="5" type="noConversion"/>
  </si>
  <si>
    <t xml:space="preserve">  未計利息股利之本期賸餘（短絀）</t>
    <phoneticPr fontId="5" type="noConversion"/>
  </si>
  <si>
    <t xml:space="preserve">  未計利息股利之現金流入（流出）</t>
    <phoneticPr fontId="5" type="noConversion"/>
  </si>
  <si>
    <t xml:space="preserve">  收取利息</t>
    <phoneticPr fontId="5" type="noConversion"/>
  </si>
  <si>
    <t xml:space="preserve">  支付利息</t>
    <phoneticPr fontId="5" type="noConversion"/>
  </si>
  <si>
    <t>　　折減基金繳庫</t>
    <phoneticPr fontId="5" type="noConversion"/>
  </si>
  <si>
    <r>
      <t xml:space="preserve">  </t>
    </r>
    <r>
      <rPr>
        <sz val="12"/>
        <rFont val="標楷體"/>
        <family val="4"/>
        <charset val="136"/>
      </rPr>
      <t>支付利息</t>
    </r>
    <phoneticPr fontId="5" type="noConversion"/>
  </si>
  <si>
    <t>　  籌資活動之淨現金流入（流出）</t>
    <phoneticPr fontId="5" type="noConversion"/>
  </si>
  <si>
    <r>
      <rPr>
        <sz val="12"/>
        <rFont val="標楷體"/>
        <family val="4"/>
        <charset val="136"/>
      </rPr>
      <t>編列千元，係基金委託評選案審查文件郵費等。</t>
    </r>
    <phoneticPr fontId="5" type="noConversion"/>
  </si>
  <si>
    <t xml:space="preserve">  就業保險</t>
    <phoneticPr fontId="5" type="noConversion"/>
  </si>
  <si>
    <r>
      <rPr>
        <b/>
        <sz val="12"/>
        <rFont val="標楷體"/>
        <family val="4"/>
        <charset val="136"/>
      </rPr>
      <t>保險給付</t>
    </r>
    <phoneticPr fontId="22" type="noConversion"/>
  </si>
  <si>
    <r>
      <t>3.</t>
    </r>
    <r>
      <rPr>
        <sz val="12"/>
        <rFont val="標楷體"/>
        <family val="4"/>
        <charset val="136"/>
      </rPr>
      <t>流動資產淨減</t>
    </r>
    <phoneticPr fontId="5" type="noConversion"/>
  </si>
  <si>
    <r>
      <rPr>
        <sz val="12"/>
        <rFont val="標楷體"/>
        <family val="4"/>
        <charset val="136"/>
      </rPr>
      <t>係減少投資</t>
    </r>
    <r>
      <rPr>
        <sz val="12"/>
        <rFont val="Times New Roman"/>
        <family val="1"/>
      </rPr>
      <t>-</t>
    </r>
    <r>
      <rPr>
        <sz val="12"/>
        <rFont val="標楷體"/>
        <family val="4"/>
        <charset val="136"/>
      </rPr>
      <t>非流動金融資產千元。</t>
    </r>
    <phoneticPr fontId="5" type="noConversion"/>
  </si>
  <si>
    <t>　  保費收入</t>
    <phoneticPr fontId="5" type="noConversion"/>
  </si>
  <si>
    <t>預(決)算數</t>
    <phoneticPr fontId="5" type="noConversion"/>
  </si>
  <si>
    <r>
      <t xml:space="preserve">           </t>
    </r>
    <r>
      <rPr>
        <sz val="12"/>
        <rFont val="標楷體"/>
        <family val="4"/>
        <charset val="136"/>
      </rPr>
      <t>職業災害預防與補助</t>
    </r>
    <phoneticPr fontId="22" type="noConversion"/>
  </si>
  <si>
    <r>
      <rPr>
        <sz val="12"/>
        <rFont val="標楷體"/>
        <family val="4"/>
        <charset val="136"/>
      </rPr>
      <t>　</t>
    </r>
    <r>
      <rPr>
        <sz val="12"/>
        <rFont val="Times New Roman"/>
        <family val="1"/>
      </rPr>
      <t xml:space="preserve">           </t>
    </r>
    <r>
      <rPr>
        <sz val="12"/>
        <rFont val="標楷體"/>
        <family val="4"/>
        <charset val="136"/>
      </rPr>
      <t xml:space="preserve">補助相關團體辦理職業災
</t>
    </r>
    <r>
      <rPr>
        <sz val="12"/>
        <rFont val="Times New Roman"/>
        <family val="1"/>
      </rPr>
      <t xml:space="preserve">               </t>
    </r>
    <r>
      <rPr>
        <sz val="12"/>
        <rFont val="標楷體"/>
        <family val="4"/>
        <charset val="136"/>
      </rPr>
      <t>害預防事項</t>
    </r>
    <phoneticPr fontId="22" type="noConversion"/>
  </si>
  <si>
    <r>
      <t xml:space="preserve">           </t>
    </r>
    <r>
      <rPr>
        <sz val="12"/>
        <rFont val="標楷體"/>
        <family val="4"/>
        <charset val="136"/>
      </rPr>
      <t>職業災害勞工職業重建補助</t>
    </r>
    <phoneticPr fontId="22" type="noConversion"/>
  </si>
  <si>
    <r>
      <t xml:space="preserve">           </t>
    </r>
    <r>
      <rPr>
        <sz val="12"/>
        <rFont val="標楷體"/>
        <family val="4"/>
        <charset val="136"/>
      </rPr>
      <t>輔助設施補助</t>
    </r>
    <phoneticPr fontId="22" type="noConversion"/>
  </si>
  <si>
    <r>
      <t xml:space="preserve">           </t>
    </r>
    <r>
      <rPr>
        <sz val="12"/>
        <rFont val="標楷體"/>
        <family val="4"/>
        <charset val="136"/>
      </rPr>
      <t xml:space="preserve">補助職業災害勞工醫療期間
</t>
    </r>
    <r>
      <rPr>
        <sz val="12"/>
        <rFont val="Times New Roman"/>
        <family val="1"/>
      </rPr>
      <t xml:space="preserve">           </t>
    </r>
    <r>
      <rPr>
        <sz val="12"/>
        <rFont val="標楷體"/>
        <family val="4"/>
        <charset val="136"/>
      </rPr>
      <t xml:space="preserve">退保自願參加勞保普通事故
</t>
    </r>
    <r>
      <rPr>
        <sz val="12"/>
        <rFont val="Times New Roman"/>
        <family val="1"/>
      </rPr>
      <t xml:space="preserve">           </t>
    </r>
    <r>
      <rPr>
        <sz val="12"/>
        <rFont val="標楷體"/>
        <family val="4"/>
        <charset val="136"/>
      </rPr>
      <t>保險者保費</t>
    </r>
    <phoneticPr fontId="22" type="noConversion"/>
  </si>
  <si>
    <r>
      <t xml:space="preserve">           </t>
    </r>
    <r>
      <rPr>
        <sz val="12"/>
        <rFont val="標楷體"/>
        <family val="4"/>
        <charset val="136"/>
      </rPr>
      <t>複檢費用</t>
    </r>
    <phoneticPr fontId="22" type="noConversion"/>
  </si>
  <si>
    <r>
      <t xml:space="preserve">       </t>
    </r>
    <r>
      <rPr>
        <sz val="12"/>
        <rFont val="標楷體"/>
        <family val="4"/>
        <charset val="136"/>
      </rPr>
      <t>失業給付</t>
    </r>
    <phoneticPr fontId="22" type="noConversion"/>
  </si>
  <si>
    <r>
      <t xml:space="preserve">       </t>
    </r>
    <r>
      <rPr>
        <sz val="12"/>
        <rFont val="標楷體"/>
        <family val="4"/>
        <charset val="136"/>
      </rPr>
      <t>提早就業獎助津貼</t>
    </r>
    <phoneticPr fontId="22" type="noConversion"/>
  </si>
  <si>
    <r>
      <t xml:space="preserve">       </t>
    </r>
    <r>
      <rPr>
        <sz val="12"/>
        <rFont val="標楷體"/>
        <family val="4"/>
        <charset val="136"/>
      </rPr>
      <t>職業訓練生活津貼</t>
    </r>
    <phoneticPr fontId="22" type="noConversion"/>
  </si>
  <si>
    <r>
      <t xml:space="preserve">       </t>
    </r>
    <r>
      <rPr>
        <sz val="12"/>
        <rFont val="標楷體"/>
        <family val="4"/>
        <charset val="136"/>
      </rPr>
      <t>育嬰留職停薪津貼</t>
    </r>
    <phoneticPr fontId="22" type="noConversion"/>
  </si>
  <si>
    <r>
      <t xml:space="preserve">       </t>
    </r>
    <r>
      <rPr>
        <sz val="12"/>
        <rFont val="標楷體"/>
        <family val="4"/>
        <charset val="136"/>
      </rPr>
      <t>補助全民健保費</t>
    </r>
    <phoneticPr fontId="22" type="noConversion"/>
  </si>
  <si>
    <r>
      <t xml:space="preserve">           </t>
    </r>
    <r>
      <rPr>
        <sz val="12"/>
        <rFont val="標楷體"/>
        <family val="4"/>
        <charset val="136"/>
      </rPr>
      <t>生育給付</t>
    </r>
    <phoneticPr fontId="22" type="noConversion"/>
  </si>
  <si>
    <r>
      <t xml:space="preserve">               </t>
    </r>
    <r>
      <rPr>
        <sz val="12"/>
        <rFont val="標楷體"/>
        <family val="4"/>
        <charset val="136"/>
      </rPr>
      <t>本人生育</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</si>
  <si>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配偶生育</t>
    </r>
    <phoneticPr fontId="22" type="noConversion"/>
  </si>
  <si>
    <r>
      <t xml:space="preserve">           </t>
    </r>
    <r>
      <rPr>
        <sz val="12"/>
        <rFont val="標楷體"/>
        <family val="4"/>
        <charset val="136"/>
      </rPr>
      <t>身心障礙給付</t>
    </r>
    <phoneticPr fontId="22" type="noConversion"/>
  </si>
  <si>
    <r>
      <t xml:space="preserve">           </t>
    </r>
    <r>
      <rPr>
        <sz val="12"/>
        <rFont val="標楷體"/>
        <family val="4"/>
        <charset val="136"/>
      </rPr>
      <t>喪葬津貼</t>
    </r>
    <phoneticPr fontId="22" type="noConversion"/>
  </si>
  <si>
    <r>
      <t xml:space="preserve">   </t>
    </r>
    <r>
      <rPr>
        <sz val="12"/>
        <rFont val="標楷體"/>
        <family val="4"/>
        <charset val="136"/>
      </rPr>
      <t>　</t>
    </r>
    <r>
      <rPr>
        <sz val="12"/>
        <rFont val="Times New Roman"/>
        <family val="1"/>
      </rPr>
      <t xml:space="preserve">    </t>
    </r>
    <r>
      <rPr>
        <sz val="12"/>
        <rFont val="標楷體"/>
        <family val="4"/>
        <charset val="136"/>
      </rPr>
      <t>複檢費用</t>
    </r>
    <phoneticPr fontId="22" type="noConversion"/>
  </si>
  <si>
    <r>
      <t xml:space="preserve">       </t>
    </r>
    <r>
      <rPr>
        <b/>
        <sz val="12"/>
        <rFont val="標楷體"/>
        <family val="4"/>
        <charset val="136"/>
      </rPr>
      <t>已加保勞工</t>
    </r>
    <phoneticPr fontId="22" type="noConversion"/>
  </si>
  <si>
    <r>
      <t xml:space="preserve">           </t>
    </r>
    <r>
      <rPr>
        <sz val="12"/>
        <rFont val="標楷體"/>
        <family val="4"/>
        <charset val="136"/>
      </rPr>
      <t>職業疾病生活津貼</t>
    </r>
    <phoneticPr fontId="22" type="noConversion"/>
  </si>
  <si>
    <r>
      <rPr>
        <sz val="10.6"/>
        <rFont val="標楷體"/>
        <family val="4"/>
        <charset val="136"/>
      </rPr>
      <t>　</t>
    </r>
    <r>
      <rPr>
        <sz val="10.6"/>
        <rFont val="Times New Roman"/>
        <family val="1"/>
      </rPr>
      <t xml:space="preserve">              </t>
    </r>
    <r>
      <rPr>
        <sz val="10.6"/>
        <rFont val="標楷體"/>
        <family val="4"/>
        <charset val="136"/>
      </rPr>
      <t>職業疾病相當勞保失能給付
　</t>
    </r>
    <r>
      <rPr>
        <sz val="10.6"/>
        <rFont val="Times New Roman"/>
        <family val="1"/>
      </rPr>
      <t xml:space="preserve">  </t>
    </r>
    <r>
      <rPr>
        <sz val="10.6"/>
        <rFont val="標楷體"/>
        <family val="4"/>
        <charset val="136"/>
      </rPr>
      <t>　</t>
    </r>
    <r>
      <rPr>
        <sz val="10.6"/>
        <rFont val="Times New Roman"/>
        <family val="1"/>
      </rPr>
      <t xml:space="preserve">        1-3</t>
    </r>
    <r>
      <rPr>
        <sz val="10.6"/>
        <rFont val="標楷體"/>
        <family val="4"/>
        <charset val="136"/>
      </rPr>
      <t>等級且喪失全部工作能力</t>
    </r>
    <phoneticPr fontId="22"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</si>
  <si>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1-7</t>
    </r>
    <r>
      <rPr>
        <sz val="10.5"/>
        <rFont val="標楷體"/>
        <family val="4"/>
        <charset val="136"/>
      </rPr>
      <t>等級且喪失部分工作能力</t>
    </r>
    <phoneticPr fontId="22" type="noConversion"/>
  </si>
  <si>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8-10</t>
    </r>
    <r>
      <rPr>
        <sz val="10.5"/>
        <rFont val="標楷體"/>
        <family val="4"/>
        <charset val="136"/>
      </rPr>
      <t>等級且喪失部分工作能力</t>
    </r>
    <phoneticPr fontId="22"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</si>
  <si>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11-15</t>
    </r>
    <r>
      <rPr>
        <sz val="10.5"/>
        <rFont val="標楷體"/>
        <family val="4"/>
        <charset val="136"/>
      </rPr>
      <t xml:space="preserve">等級且喪失部分工作能
</t>
    </r>
    <r>
      <rPr>
        <sz val="10.5"/>
        <rFont val="Times New Roman"/>
        <family val="1"/>
      </rPr>
      <t xml:space="preserve">                  </t>
    </r>
    <r>
      <rPr>
        <sz val="10.5"/>
        <rFont val="標楷體"/>
        <family val="4"/>
        <charset val="136"/>
      </rPr>
      <t>力</t>
    </r>
    <phoneticPr fontId="22" type="noConversion"/>
  </si>
  <si>
    <r>
      <t xml:space="preserve">           </t>
    </r>
    <r>
      <rPr>
        <sz val="12"/>
        <rFont val="標楷體"/>
        <family val="4"/>
        <charset val="136"/>
      </rPr>
      <t>職業訓練生活津貼</t>
    </r>
    <phoneticPr fontId="22" type="noConversion"/>
  </si>
  <si>
    <r>
      <t xml:space="preserve">           </t>
    </r>
    <r>
      <rPr>
        <sz val="12"/>
        <rFont val="標楷體"/>
        <family val="4"/>
        <charset val="136"/>
      </rPr>
      <t>器具補助</t>
    </r>
    <phoneticPr fontId="22" type="noConversion"/>
  </si>
  <si>
    <r>
      <t xml:space="preserve">           </t>
    </r>
    <r>
      <rPr>
        <sz val="12"/>
        <rFont val="標楷體"/>
        <family val="4"/>
        <charset val="136"/>
      </rPr>
      <t>看護補助</t>
    </r>
    <phoneticPr fontId="22" type="noConversion"/>
  </si>
  <si>
    <r>
      <t xml:space="preserve">           </t>
    </r>
    <r>
      <rPr>
        <sz val="12"/>
        <rFont val="標楷體"/>
        <family val="4"/>
        <charset val="136"/>
      </rPr>
      <t>家屬補助</t>
    </r>
    <phoneticPr fontId="22"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</si>
  <si>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1-3</t>
    </r>
    <r>
      <rPr>
        <sz val="10.5"/>
        <rFont val="標楷體"/>
        <family val="4"/>
        <charset val="136"/>
      </rPr>
      <t>等級且喪失全部工作能力</t>
    </r>
    <phoneticPr fontId="22"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</si>
  <si>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1-7</t>
    </r>
    <r>
      <rPr>
        <sz val="10.5"/>
        <rFont val="標楷體"/>
        <family val="4"/>
        <charset val="136"/>
      </rPr>
      <t>等級且喪失部分工作能力</t>
    </r>
    <phoneticPr fontId="22"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</si>
  <si>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8-10</t>
    </r>
    <r>
      <rPr>
        <sz val="10.5"/>
        <rFont val="標楷體"/>
        <family val="4"/>
        <charset val="136"/>
      </rPr>
      <t>等級且喪失部分工作能力</t>
    </r>
    <r>
      <rPr>
        <sz val="10.5"/>
        <rFont val="Times New Roman"/>
        <family val="1"/>
      </rPr>
      <t xml:space="preserve"> </t>
    </r>
    <phoneticPr fontId="22"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</si>
  <si>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11-15</t>
    </r>
    <r>
      <rPr>
        <sz val="10.5"/>
        <rFont val="標楷體"/>
        <family val="4"/>
        <charset val="136"/>
      </rPr>
      <t xml:space="preserve">等級且喪失部分工作能
</t>
    </r>
    <r>
      <rPr>
        <sz val="10.5"/>
        <rFont val="Times New Roman"/>
        <family val="1"/>
      </rPr>
      <t xml:space="preserve">                    </t>
    </r>
    <r>
      <rPr>
        <sz val="10.5"/>
        <rFont val="標楷體"/>
        <family val="4"/>
        <charset val="136"/>
      </rPr>
      <t>力</t>
    </r>
    <phoneticPr fontId="22" type="noConversion"/>
  </si>
  <si>
    <r>
      <rPr>
        <sz val="10.5"/>
        <rFont val="標楷體"/>
        <family val="4"/>
        <charset val="136"/>
      </rPr>
      <t>　</t>
    </r>
    <r>
      <rPr>
        <sz val="10.5"/>
        <rFont val="Times New Roman"/>
        <family val="1"/>
      </rPr>
      <t xml:space="preserve">              </t>
    </r>
    <r>
      <rPr>
        <sz val="10.5"/>
        <rFont val="標楷體"/>
        <family val="4"/>
        <charset val="136"/>
      </rPr>
      <t>符合勞保失能給付
　</t>
    </r>
    <r>
      <rPr>
        <sz val="10.5"/>
        <rFont val="Times New Roman"/>
        <family val="1"/>
      </rPr>
      <t xml:space="preserve">              1-3</t>
    </r>
    <r>
      <rPr>
        <sz val="10.5"/>
        <rFont val="標楷體"/>
        <family val="4"/>
        <charset val="136"/>
      </rPr>
      <t>等級且喪失全部工作能力</t>
    </r>
    <phoneticPr fontId="22" type="noConversion"/>
  </si>
  <si>
    <r>
      <rPr>
        <sz val="10.5"/>
        <rFont val="標楷體"/>
        <family val="4"/>
        <charset val="136"/>
      </rPr>
      <t>　</t>
    </r>
    <r>
      <rPr>
        <sz val="10.5"/>
        <rFont val="Times New Roman"/>
        <family val="1"/>
      </rPr>
      <t xml:space="preserve">              </t>
    </r>
    <r>
      <rPr>
        <sz val="10.5"/>
        <rFont val="標楷體"/>
        <family val="4"/>
        <charset val="136"/>
      </rPr>
      <t>符合勞保失能給付
　</t>
    </r>
    <r>
      <rPr>
        <sz val="10.5"/>
        <rFont val="Times New Roman"/>
        <family val="1"/>
      </rPr>
      <t xml:space="preserve">              1-7</t>
    </r>
    <r>
      <rPr>
        <sz val="10.5"/>
        <rFont val="標楷體"/>
        <family val="4"/>
        <charset val="136"/>
      </rPr>
      <t>等級且喪失部分工作能力</t>
    </r>
    <phoneticPr fontId="22" type="noConversion"/>
  </si>
  <si>
    <r>
      <t xml:space="preserve">        </t>
    </r>
    <r>
      <rPr>
        <sz val="12"/>
        <rFont val="標楷體"/>
        <family val="4"/>
        <charset val="136"/>
      </rPr>
      <t>普通事故</t>
    </r>
    <phoneticPr fontId="22" type="noConversion"/>
  </si>
  <si>
    <r>
      <t xml:space="preserve">        </t>
    </r>
    <r>
      <rPr>
        <sz val="12"/>
        <rFont val="標楷體"/>
        <family val="4"/>
        <charset val="136"/>
      </rPr>
      <t>職業災害</t>
    </r>
    <phoneticPr fontId="22" type="noConversion"/>
  </si>
  <si>
    <r>
      <t xml:space="preserve">           </t>
    </r>
    <r>
      <rPr>
        <sz val="12"/>
        <rFont val="標楷體"/>
        <family val="4"/>
        <charset val="136"/>
      </rPr>
      <t>普通事故</t>
    </r>
    <phoneticPr fontId="22" type="noConversion"/>
  </si>
  <si>
    <r>
      <t xml:space="preserve">           </t>
    </r>
    <r>
      <rPr>
        <sz val="12"/>
        <rFont val="標楷體"/>
        <family val="4"/>
        <charset val="136"/>
      </rPr>
      <t>職業災害</t>
    </r>
    <phoneticPr fontId="22" type="noConversion"/>
  </si>
  <si>
    <r>
      <t xml:space="preserve">      </t>
    </r>
    <r>
      <rPr>
        <sz val="12"/>
        <rFont val="標楷體"/>
        <family val="4"/>
        <charset val="136"/>
      </rPr>
      <t>　</t>
    </r>
    <r>
      <rPr>
        <sz val="12"/>
        <rFont val="Times New Roman"/>
        <family val="1"/>
      </rPr>
      <t xml:space="preserve"> </t>
    </r>
    <r>
      <rPr>
        <sz val="12"/>
        <rFont val="標楷體"/>
        <family val="4"/>
        <charset val="136"/>
      </rPr>
      <t>生育給付</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</si>
  <si>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普通事故</t>
    </r>
    <phoneticPr fontId="22" type="noConversion"/>
  </si>
  <si>
    <r>
      <t xml:space="preserve">           </t>
    </r>
    <r>
      <rPr>
        <sz val="12"/>
        <rFont val="標楷體"/>
        <family val="4"/>
        <charset val="136"/>
      </rPr>
      <t>傷病給付</t>
    </r>
    <phoneticPr fontId="22" type="noConversion"/>
  </si>
  <si>
    <r>
      <t xml:space="preserve">           </t>
    </r>
    <r>
      <rPr>
        <sz val="12"/>
        <rFont val="標楷體"/>
        <family val="4"/>
        <charset val="136"/>
      </rPr>
      <t>失能給付</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</si>
  <si>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普通事故</t>
    </r>
    <phoneticPr fontId="22" type="noConversion"/>
  </si>
  <si>
    <r>
      <rPr>
        <sz val="12"/>
        <rFont val="標楷體"/>
        <family val="4"/>
        <charset val="136"/>
      </rPr>
      <t>　　</t>
    </r>
    <r>
      <rPr>
        <sz val="12"/>
        <rFont val="Times New Roman"/>
        <family val="1"/>
      </rPr>
      <t xml:space="preserve">           </t>
    </r>
    <r>
      <rPr>
        <sz val="12"/>
        <rFont val="標楷體"/>
        <family val="4"/>
        <charset val="136"/>
      </rPr>
      <t>一次金</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</si>
  <si>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差額金</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</si>
  <si>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年金</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</si>
  <si>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職業災害</t>
    </r>
    <phoneticPr fontId="22" type="noConversion"/>
  </si>
  <si>
    <r>
      <rPr>
        <sz val="12"/>
        <rFont val="標楷體"/>
        <family val="4"/>
        <charset val="136"/>
      </rPr>
      <t>　　　</t>
    </r>
    <r>
      <rPr>
        <sz val="12"/>
        <rFont val="Times New Roman"/>
        <family val="1"/>
      </rPr>
      <t xml:space="preserve">       </t>
    </r>
    <r>
      <rPr>
        <sz val="12"/>
        <rFont val="標楷體"/>
        <family val="4"/>
        <charset val="136"/>
      </rPr>
      <t>一般勞工</t>
    </r>
    <phoneticPr fontId="22" type="noConversion"/>
  </si>
  <si>
    <r>
      <rPr>
        <sz val="12"/>
        <rFont val="標楷體"/>
        <family val="4"/>
        <charset val="136"/>
      </rPr>
      <t>　</t>
    </r>
    <r>
      <rPr>
        <sz val="12"/>
        <rFont val="Times New Roman"/>
        <family val="1"/>
      </rPr>
      <t xml:space="preserve">                   </t>
    </r>
    <r>
      <rPr>
        <sz val="12"/>
        <rFont val="標楷體"/>
        <family val="4"/>
        <charset val="136"/>
      </rPr>
      <t>一次金</t>
    </r>
    <phoneticPr fontId="22" type="noConversion"/>
  </si>
  <si>
    <r>
      <rPr>
        <sz val="12"/>
        <rFont val="標楷體"/>
        <family val="4"/>
        <charset val="136"/>
      </rPr>
      <t>　</t>
    </r>
    <r>
      <rPr>
        <sz val="12"/>
        <rFont val="Times New Roman"/>
        <family val="1"/>
      </rPr>
      <t xml:space="preserve">                   </t>
    </r>
    <r>
      <rPr>
        <sz val="12"/>
        <rFont val="標楷體"/>
        <family val="4"/>
        <charset val="136"/>
      </rPr>
      <t>差額金</t>
    </r>
    <phoneticPr fontId="22" type="noConversion"/>
  </si>
  <si>
    <r>
      <rPr>
        <sz val="12"/>
        <rFont val="標楷體"/>
        <family val="4"/>
        <charset val="136"/>
      </rPr>
      <t>　</t>
    </r>
    <r>
      <rPr>
        <sz val="12"/>
        <rFont val="Times New Roman"/>
        <family val="1"/>
      </rPr>
      <t xml:space="preserve">                   </t>
    </r>
    <r>
      <rPr>
        <sz val="12"/>
        <rFont val="標楷體"/>
        <family val="4"/>
        <charset val="136"/>
      </rPr>
      <t>年金</t>
    </r>
    <phoneticPr fontId="22" type="noConversion"/>
  </si>
  <si>
    <r>
      <rPr>
        <sz val="12"/>
        <rFont val="標楷體"/>
        <family val="4"/>
        <charset val="136"/>
      </rPr>
      <t>　　　</t>
    </r>
    <r>
      <rPr>
        <sz val="12"/>
        <rFont val="Times New Roman"/>
        <family val="1"/>
      </rPr>
      <t xml:space="preserve">           </t>
    </r>
    <r>
      <rPr>
        <sz val="12"/>
        <rFont val="標楷體"/>
        <family val="4"/>
        <charset val="136"/>
      </rPr>
      <t>補償一次金</t>
    </r>
    <r>
      <rPr>
        <sz val="12"/>
        <rFont val="Times New Roman"/>
        <family val="1"/>
      </rPr>
      <t xml:space="preserve"> </t>
    </r>
    <phoneticPr fontId="22" type="noConversion"/>
  </si>
  <si>
    <r>
      <rPr>
        <sz val="12"/>
        <rFont val="標楷體"/>
        <family val="4"/>
        <charset val="136"/>
      </rPr>
      <t>　　　</t>
    </r>
    <r>
      <rPr>
        <sz val="12"/>
        <rFont val="Times New Roman"/>
        <family val="1"/>
      </rPr>
      <t xml:space="preserve">       </t>
    </r>
    <r>
      <rPr>
        <sz val="12"/>
        <rFont val="標楷體"/>
        <family val="4"/>
        <charset val="136"/>
      </rPr>
      <t>已領老年給付勞工</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</si>
  <si>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一次金</t>
    </r>
    <phoneticPr fontId="22" type="noConversion"/>
  </si>
  <si>
    <r>
      <rPr>
        <sz val="12"/>
        <rFont val="標楷體"/>
        <family val="4"/>
        <charset val="136"/>
      </rPr>
      <t>　　　</t>
    </r>
    <r>
      <rPr>
        <sz val="12"/>
        <rFont val="Times New Roman"/>
        <family val="1"/>
      </rPr>
      <t xml:space="preserve">           </t>
    </r>
    <r>
      <rPr>
        <sz val="12"/>
        <rFont val="標楷體"/>
        <family val="4"/>
        <charset val="136"/>
      </rPr>
      <t>差額金</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</si>
  <si>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年金</t>
    </r>
    <phoneticPr fontId="22" type="noConversion"/>
  </si>
  <si>
    <r>
      <rPr>
        <sz val="12"/>
        <rFont val="標楷體"/>
        <family val="4"/>
        <charset val="136"/>
      </rPr>
      <t>　　　</t>
    </r>
    <r>
      <rPr>
        <sz val="12"/>
        <rFont val="Times New Roman"/>
        <family val="1"/>
      </rPr>
      <t xml:space="preserve">          </t>
    </r>
    <r>
      <rPr>
        <sz val="12"/>
        <rFont val="標楷體"/>
        <family val="4"/>
        <charset val="136"/>
      </rPr>
      <t>補償一次金</t>
    </r>
    <phoneticPr fontId="22" type="noConversion"/>
  </si>
  <si>
    <r>
      <t xml:space="preserve">           </t>
    </r>
    <r>
      <rPr>
        <sz val="12"/>
        <rFont val="標楷體"/>
        <family val="4"/>
        <charset val="136"/>
      </rPr>
      <t>複檢費用</t>
    </r>
    <phoneticPr fontId="22" type="noConversion"/>
  </si>
  <si>
    <r>
      <rPr>
        <sz val="12"/>
        <rFont val="標楷體"/>
        <family val="4"/>
        <charset val="136"/>
      </rPr>
      <t>　</t>
    </r>
    <r>
      <rPr>
        <sz val="12"/>
        <rFont val="Times New Roman"/>
        <family val="1"/>
      </rPr>
      <t xml:space="preserve">           </t>
    </r>
    <r>
      <rPr>
        <sz val="12"/>
        <rFont val="標楷體"/>
        <family val="4"/>
        <charset val="136"/>
      </rPr>
      <t>普通事故</t>
    </r>
    <r>
      <rPr>
        <sz val="12"/>
        <rFont val="Times New Roman"/>
        <family val="1"/>
      </rPr>
      <t xml:space="preserve">  </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</si>
  <si>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職業災害</t>
    </r>
    <phoneticPr fontId="22" type="noConversion"/>
  </si>
  <si>
    <r>
      <rPr>
        <sz val="12"/>
        <rFont val="標楷體"/>
        <family val="4"/>
        <charset val="136"/>
      </rPr>
      <t>　　　</t>
    </r>
    <r>
      <rPr>
        <sz val="12"/>
        <rFont val="Times New Roman"/>
        <family val="1"/>
      </rPr>
      <t xml:space="preserve">        </t>
    </r>
    <r>
      <rPr>
        <sz val="12"/>
        <rFont val="標楷體"/>
        <family val="4"/>
        <charset val="136"/>
      </rPr>
      <t>一般勞工</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</si>
  <si>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已領老年給付勞工</t>
    </r>
    <r>
      <rPr>
        <sz val="12"/>
        <rFont val="Times New Roman"/>
        <family val="1"/>
      </rPr>
      <t xml:space="preserve">  </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</si>
  <si>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一般勞工</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</si>
  <si>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已領老年給付勞工</t>
    </r>
    <phoneticPr fontId="22" type="noConversion"/>
  </si>
  <si>
    <r>
      <t xml:space="preserve">           </t>
    </r>
    <r>
      <rPr>
        <sz val="12"/>
        <rFont val="標楷體"/>
        <family val="4"/>
        <charset val="136"/>
      </rPr>
      <t>老年給付</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</si>
  <si>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普通事故</t>
    </r>
    <phoneticPr fontId="22" type="noConversion"/>
  </si>
  <si>
    <r>
      <rPr>
        <sz val="12"/>
        <rFont val="標楷體"/>
        <family val="4"/>
        <charset val="136"/>
      </rPr>
      <t>　　　　</t>
    </r>
    <r>
      <rPr>
        <sz val="12"/>
        <rFont val="Times New Roman"/>
        <family val="1"/>
      </rPr>
      <t xml:space="preserve">    </t>
    </r>
    <r>
      <rPr>
        <sz val="12"/>
        <rFont val="標楷體"/>
        <family val="4"/>
        <charset val="136"/>
      </rPr>
      <t>一次請領</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</si>
  <si>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一次金</t>
    </r>
    <phoneticPr fontId="22" type="noConversion"/>
  </si>
  <si>
    <r>
      <rPr>
        <sz val="12"/>
        <rFont val="標楷體"/>
        <family val="4"/>
        <charset val="136"/>
      </rPr>
      <t>　　　</t>
    </r>
    <r>
      <rPr>
        <sz val="12"/>
        <rFont val="Times New Roman"/>
        <family val="1"/>
      </rPr>
      <t xml:space="preserve">        </t>
    </r>
    <r>
      <rPr>
        <sz val="12"/>
        <rFont val="標楷體"/>
        <family val="4"/>
        <charset val="136"/>
      </rPr>
      <t>差額金</t>
    </r>
    <r>
      <rPr>
        <sz val="12"/>
        <rFont val="Times New Roman"/>
        <family val="1"/>
      </rPr>
      <t xml:space="preserve"> </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</si>
  <si>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年金</t>
    </r>
    <phoneticPr fontId="22" type="noConversion"/>
  </si>
  <si>
    <r>
      <t xml:space="preserve">           </t>
    </r>
    <r>
      <rPr>
        <sz val="12"/>
        <rFont val="標楷體"/>
        <family val="4"/>
        <charset val="136"/>
      </rPr>
      <t>死亡給付</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</si>
  <si>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家屬</t>
    </r>
    <phoneticPr fontId="22" type="noConversion"/>
  </si>
  <si>
    <r>
      <rPr>
        <sz val="12"/>
        <rFont val="標楷體"/>
        <family val="4"/>
        <charset val="136"/>
      </rPr>
      <t>　　　</t>
    </r>
    <r>
      <rPr>
        <sz val="12"/>
        <rFont val="Times New Roman"/>
        <family val="1"/>
      </rPr>
      <t xml:space="preserve">       </t>
    </r>
    <r>
      <rPr>
        <sz val="12"/>
        <rFont val="標楷體"/>
        <family val="4"/>
        <charset val="136"/>
      </rPr>
      <t>本人</t>
    </r>
    <r>
      <rPr>
        <sz val="12"/>
        <rFont val="Times New Roman"/>
        <family val="1"/>
      </rPr>
      <t xml:space="preserve">  </t>
    </r>
    <phoneticPr fontId="22" type="noConversion"/>
  </si>
  <si>
    <r>
      <rPr>
        <sz val="12"/>
        <rFont val="標楷體"/>
        <family val="4"/>
        <charset val="136"/>
      </rPr>
      <t>　　</t>
    </r>
    <r>
      <rPr>
        <sz val="12"/>
        <rFont val="Times New Roman"/>
        <family val="1"/>
      </rPr>
      <t xml:space="preserve">               </t>
    </r>
    <r>
      <rPr>
        <sz val="12"/>
        <rFont val="標楷體"/>
        <family val="4"/>
        <charset val="136"/>
      </rPr>
      <t>一次金</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</si>
  <si>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遺屬年金</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</si>
  <si>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職業災害</t>
    </r>
    <phoneticPr fontId="22" type="noConversion"/>
  </si>
  <si>
    <r>
      <rPr>
        <sz val="12"/>
        <rFont val="標楷體"/>
        <family val="4"/>
        <charset val="136"/>
      </rPr>
      <t>　　</t>
    </r>
    <r>
      <rPr>
        <sz val="12"/>
        <rFont val="Times New Roman"/>
        <family val="1"/>
      </rPr>
      <t xml:space="preserve">           </t>
    </r>
    <r>
      <rPr>
        <sz val="12"/>
        <rFont val="標楷體"/>
        <family val="4"/>
        <charset val="136"/>
      </rPr>
      <t>一般勞工</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</si>
  <si>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一次金</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</si>
  <si>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遺屬年金</t>
    </r>
    <phoneticPr fontId="22" type="noConversion"/>
  </si>
  <si>
    <r>
      <rPr>
        <sz val="12"/>
        <rFont val="標楷體"/>
        <family val="4"/>
        <charset val="136"/>
      </rPr>
      <t>　　</t>
    </r>
    <r>
      <rPr>
        <sz val="12"/>
        <rFont val="Times New Roman"/>
        <family val="1"/>
      </rPr>
      <t xml:space="preserve">               </t>
    </r>
    <r>
      <rPr>
        <sz val="12"/>
        <rFont val="標楷體"/>
        <family val="4"/>
        <charset val="136"/>
      </rPr>
      <t>職災補償金</t>
    </r>
    <phoneticPr fontId="22" type="noConversion"/>
  </si>
  <si>
    <r>
      <rPr>
        <sz val="12"/>
        <rFont val="標楷體"/>
        <family val="4"/>
        <charset val="136"/>
      </rPr>
      <t>　　　　</t>
    </r>
    <r>
      <rPr>
        <sz val="12"/>
        <rFont val="Times New Roman"/>
        <family val="1"/>
      </rPr>
      <t xml:space="preserve">       </t>
    </r>
    <r>
      <rPr>
        <sz val="12"/>
        <rFont val="標楷體"/>
        <family val="4"/>
        <charset val="136"/>
      </rPr>
      <t>遺屬年金</t>
    </r>
    <phoneticPr fontId="22" type="noConversion"/>
  </si>
  <si>
    <r>
      <t xml:space="preserve">           </t>
    </r>
    <r>
      <rPr>
        <sz val="12"/>
        <rFont val="標楷體"/>
        <family val="4"/>
        <charset val="136"/>
      </rPr>
      <t>失蹤津貼</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</si>
  <si>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職業災害</t>
    </r>
    <r>
      <rPr>
        <sz val="12"/>
        <rFont val="Times New Roman"/>
        <family val="1"/>
      </rPr>
      <t xml:space="preserve">  </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</si>
  <si>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已領老年給付勞工</t>
    </r>
    <r>
      <rPr>
        <sz val="12"/>
        <rFont val="Times New Roman"/>
        <family val="1"/>
      </rPr>
      <t xml:space="preserve">    </t>
    </r>
    <phoneticPr fontId="22" type="noConversion"/>
  </si>
  <si>
    <r>
      <rPr>
        <b/>
        <sz val="12"/>
        <rFont val="標楷體"/>
        <family val="4"/>
        <charset val="136"/>
      </rPr>
      <t>　</t>
    </r>
    <r>
      <rPr>
        <b/>
        <sz val="12"/>
        <rFont val="Times New Roman"/>
        <family val="1"/>
      </rPr>
      <t xml:space="preserve">   </t>
    </r>
    <r>
      <rPr>
        <b/>
        <sz val="12"/>
        <rFont val="標楷體"/>
        <family val="4"/>
        <charset val="136"/>
      </rPr>
      <t>現金給付</t>
    </r>
    <phoneticPr fontId="22" type="noConversion"/>
  </si>
  <si>
    <r>
      <t xml:space="preserve">           </t>
    </r>
    <r>
      <rPr>
        <sz val="12"/>
        <rFont val="標楷體"/>
        <family val="4"/>
        <charset val="136"/>
      </rPr>
      <t>職業災害</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</si>
  <si>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住院費用</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</si>
  <si>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已領老年給付勞工</t>
    </r>
    <phoneticPr fontId="22" type="noConversion"/>
  </si>
  <si>
    <r>
      <rPr>
        <sz val="12"/>
        <rFont val="標楷體"/>
        <family val="4"/>
        <charset val="136"/>
      </rPr>
      <t>　</t>
    </r>
    <r>
      <rPr>
        <sz val="12"/>
        <rFont val="Times New Roman"/>
        <family val="1"/>
      </rPr>
      <t xml:space="preserve">           </t>
    </r>
    <r>
      <rPr>
        <sz val="12"/>
        <rFont val="標楷體"/>
        <family val="4"/>
        <charset val="136"/>
      </rPr>
      <t>門診費用</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</si>
  <si>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一般勞工</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</si>
  <si>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已領老年給付勞工</t>
    </r>
    <r>
      <rPr>
        <sz val="12"/>
        <rFont val="Times New Roman"/>
        <family val="1"/>
      </rPr>
      <t xml:space="preserve"> </t>
    </r>
    <phoneticPr fontId="22" type="noConversion"/>
  </si>
  <si>
    <r>
      <rPr>
        <sz val="12"/>
        <rFont val="標楷體"/>
        <family val="4"/>
        <charset val="136"/>
      </rPr>
      <t>　</t>
    </r>
    <r>
      <rPr>
        <sz val="12"/>
        <rFont val="Times New Roman"/>
        <family val="1"/>
      </rPr>
      <t xml:space="preserve">           </t>
    </r>
    <r>
      <rPr>
        <sz val="12"/>
        <rFont val="標楷體"/>
        <family val="4"/>
        <charset val="136"/>
      </rPr>
      <t>預防職業病健康檢查</t>
    </r>
    <r>
      <rPr>
        <sz val="12"/>
        <rFont val="Times New Roman"/>
        <family val="1"/>
      </rPr>
      <t xml:space="preserve"> </t>
    </r>
    <phoneticPr fontId="22" type="noConversion"/>
  </si>
  <si>
    <t xml:space="preserve">  租金及權利金收入</t>
  </si>
  <si>
    <t xml:space="preserve">  投融資業務收入</t>
  </si>
  <si>
    <t xml:space="preserve">  保險收入</t>
  </si>
  <si>
    <t xml:space="preserve">  其他業務收入</t>
  </si>
  <si>
    <t>業務外收入</t>
    <phoneticPr fontId="5" type="noConversion"/>
  </si>
  <si>
    <t xml:space="preserve">  出租資產成本</t>
  </si>
  <si>
    <t xml:space="preserve">  投融資業務成本</t>
  </si>
  <si>
    <t xml:space="preserve">  保險成本</t>
  </si>
  <si>
    <t xml:space="preserve">  其他業務成本</t>
  </si>
  <si>
    <t>記得要改圖表內數字</t>
    <phoneticPr fontId="5" type="noConversion"/>
  </si>
  <si>
    <t>檢核</t>
    <phoneticPr fontId="5" type="noConversion"/>
  </si>
  <si>
    <t>檢核</t>
    <phoneticPr fontId="5" type="noConversion"/>
  </si>
  <si>
    <t xml:space="preserve">  </t>
    <phoneticPr fontId="5" type="noConversion"/>
  </si>
  <si>
    <r>
      <rPr>
        <sz val="12"/>
        <rFont val="標楷體"/>
        <family val="4"/>
        <charset val="136"/>
      </rPr>
      <t>編列</t>
    </r>
    <r>
      <rPr>
        <sz val="12"/>
        <rFont val="標楷體"/>
        <family val="4"/>
        <charset val="136"/>
      </rPr>
      <t>千元，係基金委託經營外聘委員之旅運費等。</t>
    </r>
    <phoneticPr fontId="5" type="noConversion"/>
  </si>
  <si>
    <r>
      <rPr>
        <sz val="12"/>
        <rFont val="標楷體"/>
        <family val="4"/>
        <charset val="136"/>
      </rPr>
      <t>編列</t>
    </r>
    <r>
      <rPr>
        <sz val="12"/>
        <rFont val="標楷體"/>
        <family val="4"/>
        <charset val="136"/>
      </rPr>
      <t>千元，係基金國外委託經營之評選文件印刷費等。</t>
    </r>
    <phoneticPr fontId="5" type="noConversion"/>
  </si>
  <si>
    <r>
      <rPr>
        <sz val="12"/>
        <rFont val="標楷體"/>
        <family val="4"/>
        <charset val="136"/>
      </rPr>
      <t>編列</t>
    </r>
    <r>
      <rPr>
        <sz val="12"/>
        <rFont val="標楷體"/>
        <family val="4"/>
        <charset val="136"/>
      </rPr>
      <t>千元，係基金委託經營評選會議便當等。</t>
    </r>
    <phoneticPr fontId="5" type="noConversion"/>
  </si>
  <si>
    <t xml:space="preserve">        攤銷</t>
    <phoneticPr fontId="5" type="noConversion"/>
  </si>
  <si>
    <r>
      <rPr>
        <sz val="12"/>
        <rFont val="標楷體"/>
        <family val="4"/>
        <charset val="136"/>
      </rPr>
      <t>編列</t>
    </r>
    <r>
      <rPr>
        <sz val="12"/>
        <rFont val="Times New Roman"/>
        <family val="1"/>
      </rPr>
      <t>394</t>
    </r>
    <r>
      <rPr>
        <sz val="12"/>
        <rFont val="標楷體"/>
        <family val="4"/>
        <charset val="136"/>
      </rPr>
      <t>千元，係基金投資不動產之房屋公證費、國產署代標租之作業費用等。</t>
    </r>
    <phoneticPr fontId="5" type="noConversion"/>
  </si>
  <si>
    <t>貸款
年度</t>
    <phoneticPr fontId="22" type="noConversion"/>
  </si>
  <si>
    <t>期初貸出
餘額</t>
    <phoneticPr fontId="22" type="noConversion"/>
  </si>
  <si>
    <t>本年度收回
金額</t>
    <phoneticPr fontId="22" type="noConversion"/>
  </si>
  <si>
    <t>農保組及基金運用局</t>
    <phoneticPr fontId="5" type="noConversion"/>
  </si>
  <si>
    <t>保費組</t>
    <phoneticPr fontId="5" type="noConversion"/>
  </si>
  <si>
    <t xml:space="preserve"> </t>
    <phoneticPr fontId="5" type="noConversion"/>
  </si>
  <si>
    <t>合計</t>
    <phoneticPr fontId="5" type="noConversion"/>
  </si>
  <si>
    <t>本年度貸出
金額</t>
    <phoneticPr fontId="22" type="noConversion"/>
  </si>
  <si>
    <t>　　      已加保勞工</t>
    <phoneticPr fontId="5" type="noConversion"/>
  </si>
  <si>
    <r>
      <t xml:space="preserve"> </t>
    </r>
    <r>
      <rPr>
        <sz val="12"/>
        <rFont val="標楷體"/>
        <family val="4"/>
        <charset val="136"/>
      </rPr>
      <t>　</t>
    </r>
    <r>
      <rPr>
        <sz val="12"/>
        <rFont val="Times New Roman"/>
        <family val="1"/>
      </rPr>
      <t xml:space="preserve">      </t>
    </r>
    <r>
      <rPr>
        <sz val="12"/>
        <rFont val="標楷體"/>
        <family val="4"/>
        <charset val="136"/>
      </rPr>
      <t>職業疾病生活津貼</t>
    </r>
    <r>
      <rPr>
        <sz val="12"/>
        <rFont val="Times New Roman"/>
        <family val="1"/>
      </rPr>
      <t>-</t>
    </r>
    <r>
      <rPr>
        <sz val="12"/>
        <rFont val="標楷體"/>
        <family val="4"/>
        <charset val="136"/>
      </rPr>
      <t xml:space="preserve">勞保
</t>
    </r>
    <r>
      <rPr>
        <sz val="12"/>
        <rFont val="Times New Roman"/>
        <family val="1"/>
      </rPr>
      <t xml:space="preserve">           </t>
    </r>
    <r>
      <rPr>
        <sz val="12"/>
        <rFont val="標楷體"/>
        <family val="4"/>
        <charset val="136"/>
      </rPr>
      <t>效力終止</t>
    </r>
    <phoneticPr fontId="22" type="noConversion"/>
  </si>
  <si>
    <r>
      <rPr>
        <sz val="12"/>
        <rFont val="標楷體"/>
        <family val="4"/>
        <charset val="136"/>
      </rPr>
      <t>係依職業災害勞工保護法第</t>
    </r>
    <r>
      <rPr>
        <sz val="12"/>
        <rFont val="Times New Roman"/>
        <family val="1"/>
      </rPr>
      <t>34</t>
    </r>
    <r>
      <rPr>
        <sz val="12"/>
        <rFont val="標楷體"/>
        <family val="4"/>
        <charset val="136"/>
      </rPr>
      <t>條但書規定所處罰鍰。</t>
    </r>
    <phoneticPr fontId="5" type="noConversion"/>
  </si>
  <si>
    <t>比較增減</t>
    <phoneticPr fontId="5" type="noConversion"/>
  </si>
  <si>
    <r>
      <rPr>
        <sz val="12"/>
        <rFont val="標楷體"/>
        <family val="4"/>
        <charset val="136"/>
      </rPr>
      <t>本科目全數由勞動部勞動基金運用局辦理。</t>
    </r>
    <phoneticPr fontId="5" type="noConversion"/>
  </si>
  <si>
    <t>　　國庫增撥數</t>
    <phoneticPr fontId="5" type="noConversion"/>
  </si>
  <si>
    <t>計畫名稱</t>
    <phoneticPr fontId="22" type="noConversion"/>
  </si>
  <si>
    <t>國庫帳戶台幣存款，由勞動部勞工保險局辦理。</t>
    <phoneticPr fontId="5" type="noConversion"/>
  </si>
  <si>
    <r>
      <t xml:space="preserve">
</t>
    </r>
    <r>
      <rPr>
        <sz val="12"/>
        <rFont val="標楷體"/>
        <family val="4"/>
        <charset val="136"/>
      </rPr>
      <t>係依據行政院</t>
    </r>
    <r>
      <rPr>
        <sz val="12"/>
        <rFont val="Times New Roman"/>
        <family val="1"/>
      </rPr>
      <t>89</t>
    </r>
    <r>
      <rPr>
        <sz val="12"/>
        <rFont val="標楷體"/>
        <family val="4"/>
        <charset val="136"/>
      </rPr>
      <t>年</t>
    </r>
    <r>
      <rPr>
        <sz val="12"/>
        <rFont val="Times New Roman"/>
        <family val="1"/>
      </rPr>
      <t>5</t>
    </r>
    <r>
      <rPr>
        <sz val="12"/>
        <rFont val="標楷體"/>
        <family val="4"/>
        <charset val="136"/>
      </rPr>
      <t>月</t>
    </r>
    <r>
      <rPr>
        <sz val="12"/>
        <rFont val="Times New Roman"/>
        <family val="1"/>
      </rPr>
      <t>18</t>
    </r>
    <r>
      <rPr>
        <sz val="12"/>
        <rFont val="標楷體"/>
        <family val="4"/>
        <charset val="136"/>
      </rPr>
      <t>日台</t>
    </r>
    <r>
      <rPr>
        <sz val="12"/>
        <rFont val="Times New Roman"/>
        <family val="1"/>
      </rPr>
      <t>89</t>
    </r>
    <r>
      <rPr>
        <sz val="12"/>
        <rFont val="標楷體"/>
        <family val="4"/>
        <charset val="136"/>
      </rPr>
      <t>忠一字第</t>
    </r>
    <r>
      <rPr>
        <sz val="12"/>
        <rFont val="Times New Roman"/>
        <family val="1"/>
      </rPr>
      <t>09118</t>
    </r>
    <r>
      <rPr>
        <sz val="12"/>
        <rFont val="標楷體"/>
        <family val="4"/>
        <charset val="136"/>
      </rPr>
      <t>號函辦理農保短期週轉。</t>
    </r>
    <phoneticPr fontId="5" type="noConversion"/>
  </si>
  <si>
    <t>截至本年度
累計
貸出餘額</t>
    <phoneticPr fontId="22" type="noConversion"/>
  </si>
  <si>
    <t xml:space="preserve">
</t>
    <phoneticPr fontId="5" type="noConversion"/>
  </si>
  <si>
    <t>2.</t>
    <phoneticPr fontId="5" type="noConversion"/>
  </si>
  <si>
    <t xml:space="preserve">
1.
2.</t>
    <phoneticPr fontId="5" type="noConversion"/>
  </si>
  <si>
    <r>
      <t xml:space="preserve">           </t>
    </r>
    <r>
      <rPr>
        <sz val="12"/>
        <rFont val="標楷體"/>
        <family val="4"/>
        <charset val="136"/>
      </rPr>
      <t>傷害給付</t>
    </r>
    <phoneticPr fontId="22" type="noConversion"/>
  </si>
  <si>
    <r>
      <t xml:space="preserve">           </t>
    </r>
    <r>
      <rPr>
        <sz val="12"/>
        <rFont val="標楷體"/>
        <family val="4"/>
        <charset val="136"/>
      </rPr>
      <t>就醫津貼</t>
    </r>
    <phoneticPr fontId="22" type="noConversion"/>
  </si>
  <si>
    <r>
      <t xml:space="preserve">               </t>
    </r>
    <r>
      <rPr>
        <sz val="12"/>
        <rFont val="標楷體"/>
        <family val="4"/>
        <charset val="136"/>
      </rPr>
      <t>門診就醫津貼</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</si>
  <si>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住院就醫津貼</t>
    </r>
    <phoneticPr fontId="22" type="noConversion"/>
  </si>
  <si>
    <t>　　  農保</t>
  </si>
  <si>
    <t>　　  農保</t>
    <phoneticPr fontId="5" type="noConversion"/>
  </si>
  <si>
    <t>　　  農職保</t>
  </si>
  <si>
    <r>
      <t xml:space="preserve">      </t>
    </r>
    <r>
      <rPr>
        <b/>
        <sz val="12"/>
        <rFont val="標楷體"/>
        <family val="4"/>
        <charset val="136"/>
      </rPr>
      <t>農保</t>
    </r>
    <phoneticPr fontId="22" type="noConversion"/>
  </si>
  <si>
    <t xml:space="preserve"> 農保及農職保</t>
    <phoneticPr fontId="5" type="noConversion"/>
  </si>
  <si>
    <r>
      <t xml:space="preserve">      </t>
    </r>
    <r>
      <rPr>
        <b/>
        <sz val="12"/>
        <rFont val="標楷體"/>
        <family val="4"/>
        <charset val="136"/>
      </rPr>
      <t>農職保</t>
    </r>
    <phoneticPr fontId="22" type="noConversion"/>
  </si>
  <si>
    <r>
      <t xml:space="preserve">       </t>
    </r>
    <r>
      <rPr>
        <b/>
        <sz val="12"/>
        <rFont val="標楷體"/>
        <family val="4"/>
        <charset val="136"/>
      </rPr>
      <t>現金給付</t>
    </r>
    <r>
      <rPr>
        <b/>
        <sz val="12"/>
        <rFont val="Times New Roman"/>
        <family val="1"/>
      </rPr>
      <t xml:space="preserve"> </t>
    </r>
    <phoneticPr fontId="22" type="noConversion"/>
  </si>
  <si>
    <r>
      <t xml:space="preserve">       </t>
    </r>
    <r>
      <rPr>
        <b/>
        <sz val="12"/>
        <rFont val="標楷體"/>
        <family val="4"/>
        <charset val="136"/>
      </rPr>
      <t>現金給付</t>
    </r>
    <r>
      <rPr>
        <b/>
        <sz val="12"/>
        <rFont val="Times New Roman"/>
        <family val="1"/>
      </rPr>
      <t xml:space="preserve"> </t>
    </r>
    <phoneticPr fontId="22" type="noConversion"/>
  </si>
  <si>
    <t>註：百分比及前年度決算數細數之和與總數或略有出入，係四捨五入關係。以下各表同。</t>
    <phoneticPr fontId="5" type="noConversion"/>
  </si>
  <si>
    <t>營運量</t>
  </si>
  <si>
    <t>營運量</t>
    <phoneticPr fontId="5" type="noConversion"/>
  </si>
  <si>
    <t>利率</t>
  </si>
  <si>
    <t>利率</t>
    <phoneticPr fontId="5" type="noConversion"/>
  </si>
  <si>
    <t>收入</t>
    <phoneticPr fontId="5" type="noConversion"/>
  </si>
  <si>
    <t xml:space="preserve">  農保及農職保</t>
    <phoneticPr fontId="5" type="noConversion"/>
  </si>
  <si>
    <t xml:space="preserve">      農保</t>
    <phoneticPr fontId="5" type="noConversion"/>
  </si>
  <si>
    <t xml:space="preserve">      農職保</t>
    <phoneticPr fontId="5" type="noConversion"/>
  </si>
  <si>
    <t>　農保及農職保</t>
    <phoneticPr fontId="5" type="noConversion"/>
  </si>
  <si>
    <t xml:space="preserve">        農保</t>
    <phoneticPr fontId="5" type="noConversion"/>
  </si>
  <si>
    <t xml:space="preserve">        農職保</t>
    <phoneticPr fontId="5" type="noConversion"/>
  </si>
  <si>
    <t xml:space="preserve">     農保</t>
    <phoneticPr fontId="5" type="noConversion"/>
  </si>
  <si>
    <t xml:space="preserve">     農職保</t>
    <phoneticPr fontId="5" type="noConversion"/>
  </si>
  <si>
    <t xml:space="preserve">        農保</t>
    <phoneticPr fontId="5" type="noConversion"/>
  </si>
  <si>
    <t xml:space="preserve">        農保</t>
    <phoneticPr fontId="5" type="noConversion"/>
  </si>
  <si>
    <t>　職業災害勞工保護</t>
    <phoneticPr fontId="5" type="noConversion"/>
  </si>
  <si>
    <t>　　　    農保</t>
    <phoneticPr fontId="5" type="noConversion"/>
  </si>
  <si>
    <t>　　　    農職保</t>
    <phoneticPr fontId="5" type="noConversion"/>
  </si>
  <si>
    <t>　農保及農職保</t>
    <phoneticPr fontId="5" type="noConversion"/>
  </si>
  <si>
    <t>　  農保及農職保</t>
    <phoneticPr fontId="5" type="noConversion"/>
  </si>
  <si>
    <r>
      <rPr>
        <sz val="12"/>
        <rFont val="標楷體"/>
        <family val="4"/>
        <charset val="136"/>
      </rPr>
      <t>台北市大安區懷生段</t>
    </r>
    <r>
      <rPr>
        <sz val="12"/>
        <rFont val="Times New Roman"/>
        <family val="1"/>
      </rPr>
      <t>4</t>
    </r>
    <r>
      <rPr>
        <sz val="12"/>
        <rFont val="標楷體"/>
        <family val="4"/>
        <charset val="136"/>
      </rPr>
      <t>小段</t>
    </r>
    <r>
      <rPr>
        <sz val="12"/>
        <rFont val="Times New Roman"/>
        <family val="1"/>
      </rPr>
      <t>350</t>
    </r>
    <r>
      <rPr>
        <sz val="12"/>
        <rFont val="標楷體"/>
        <family val="4"/>
        <charset val="136"/>
      </rPr>
      <t>地號</t>
    </r>
    <phoneticPr fontId="22" type="noConversion"/>
  </si>
  <si>
    <r>
      <rPr>
        <sz val="12"/>
        <rFont val="標楷體"/>
        <family val="4"/>
        <charset val="136"/>
      </rPr>
      <t>台北市中正區河堤段</t>
    </r>
    <r>
      <rPr>
        <sz val="12"/>
        <rFont val="Times New Roman"/>
        <family val="1"/>
      </rPr>
      <t>4</t>
    </r>
    <r>
      <rPr>
        <sz val="12"/>
        <rFont val="標楷體"/>
        <family val="4"/>
        <charset val="136"/>
      </rPr>
      <t>小段</t>
    </r>
    <r>
      <rPr>
        <sz val="12"/>
        <rFont val="Times New Roman"/>
        <family val="1"/>
      </rPr>
      <t>(96-1</t>
    </r>
    <r>
      <rPr>
        <sz val="12"/>
        <rFont val="標楷體"/>
        <family val="4"/>
        <charset val="136"/>
      </rPr>
      <t>、</t>
    </r>
    <r>
      <rPr>
        <sz val="12"/>
        <rFont val="Times New Roman"/>
        <family val="1"/>
      </rPr>
      <t>96-2</t>
    </r>
    <r>
      <rPr>
        <sz val="12"/>
        <rFont val="標楷體"/>
        <family val="4"/>
        <charset val="136"/>
      </rPr>
      <t>地號</t>
    </r>
    <r>
      <rPr>
        <sz val="12"/>
        <rFont val="Times New Roman"/>
        <family val="1"/>
      </rPr>
      <t>)</t>
    </r>
    <phoneticPr fontId="22" type="noConversion"/>
  </si>
  <si>
    <t>　農保及農職保</t>
    <phoneticPr fontId="5" type="noConversion"/>
  </si>
  <si>
    <t xml:space="preserve">    農保 </t>
    <phoneticPr fontId="5" type="noConversion"/>
  </si>
  <si>
    <r>
      <rPr>
        <sz val="12"/>
        <rFont val="標楷體"/>
        <family val="4"/>
        <charset val="136"/>
      </rPr>
      <t>保險費由被保險人負擔</t>
    </r>
    <r>
      <rPr>
        <sz val="12"/>
        <rFont val="Times New Roman"/>
        <family val="1"/>
      </rPr>
      <t>30%</t>
    </r>
    <r>
      <rPr>
        <sz val="12"/>
        <rFont val="標楷體"/>
        <family val="4"/>
        <charset val="136"/>
      </rPr>
      <t>，政府補助</t>
    </r>
    <r>
      <rPr>
        <sz val="12"/>
        <rFont val="Times New Roman"/>
        <family val="1"/>
      </rPr>
      <t>70%</t>
    </r>
    <r>
      <rPr>
        <sz val="12"/>
        <rFont val="標楷體"/>
        <family val="4"/>
        <charset val="136"/>
      </rPr>
      <t>。</t>
    </r>
    <phoneticPr fontId="5" type="noConversion"/>
  </si>
  <si>
    <t xml:space="preserve">  　  保費收入</t>
    <phoneticPr fontId="5" type="noConversion"/>
  </si>
  <si>
    <t>　  農職保</t>
    <phoneticPr fontId="5" type="noConversion"/>
  </si>
  <si>
    <t xml:space="preserve">   　 保費收入</t>
    <phoneticPr fontId="5" type="noConversion"/>
  </si>
  <si>
    <t>　      被保險人負擔</t>
    <phoneticPr fontId="22" type="noConversion"/>
  </si>
  <si>
    <t>　      政府補助</t>
    <phoneticPr fontId="22" type="noConversion"/>
  </si>
  <si>
    <t xml:space="preserve"> 　   滯納金收入 </t>
    <phoneticPr fontId="5" type="noConversion"/>
  </si>
  <si>
    <t xml:space="preserve">    失能補助</t>
    <phoneticPr fontId="22" type="noConversion"/>
  </si>
  <si>
    <r>
      <t xml:space="preserve">        </t>
    </r>
    <r>
      <rPr>
        <sz val="12"/>
        <rFont val="標楷體"/>
        <family val="4"/>
        <charset val="136"/>
      </rPr>
      <t>失能生活津貼</t>
    </r>
    <phoneticPr fontId="22" type="noConversion"/>
  </si>
  <si>
    <r>
      <t xml:space="preserve">           </t>
    </r>
    <r>
      <rPr>
        <sz val="12"/>
        <rFont val="標楷體"/>
        <family val="4"/>
        <charset val="136"/>
      </rPr>
      <t>失能生活津貼</t>
    </r>
    <phoneticPr fontId="22" type="noConversion"/>
  </si>
  <si>
    <t>　  　農職保</t>
    <phoneticPr fontId="5" type="noConversion"/>
  </si>
  <si>
    <t>其他</t>
    <phoneticPr fontId="5" type="noConversion"/>
  </si>
  <si>
    <t xml:space="preserve">房屋及
建築  </t>
    <phoneticPr fontId="104" type="noConversion"/>
  </si>
  <si>
    <t>機械及
設備</t>
    <phoneticPr fontId="104" type="noConversion"/>
  </si>
  <si>
    <t>什 項 
設 備</t>
    <phoneticPr fontId="104" type="noConversion"/>
  </si>
  <si>
    <t>租賃
權益</t>
    <phoneticPr fontId="104" type="noConversion"/>
  </si>
  <si>
    <t>租賃權
益改良</t>
    <phoneticPr fontId="5" type="noConversion"/>
  </si>
  <si>
    <t xml:space="preserve"> </t>
    <phoneticPr fontId="104" type="noConversion"/>
  </si>
  <si>
    <t>　勞工保險</t>
    <phoneticPr fontId="5" type="noConversion"/>
  </si>
  <si>
    <t>本期賸餘（短絀）</t>
  </si>
  <si>
    <t>　    未加保勞工</t>
  </si>
  <si>
    <r>
      <rPr>
        <sz val="12"/>
        <rFont val="標楷體"/>
        <family val="4"/>
        <charset val="136"/>
      </rPr>
      <t>係申請人溢領保險給付，經函請退還溢領款項，逾期未繳還經移送行政執行署依法執行後，依當年度</t>
    </r>
    <r>
      <rPr>
        <sz val="12"/>
        <rFont val="Times New Roman"/>
        <family val="1"/>
      </rPr>
      <t>1</t>
    </r>
    <r>
      <rPr>
        <sz val="12"/>
        <rFont val="標楷體"/>
        <family val="4"/>
        <charset val="136"/>
      </rPr>
      <t>月</t>
    </r>
    <r>
      <rPr>
        <sz val="12"/>
        <rFont val="Times New Roman"/>
        <family val="1"/>
      </rPr>
      <t>1</t>
    </r>
    <r>
      <rPr>
        <sz val="12"/>
        <rFont val="標楷體"/>
        <family val="4"/>
        <charset val="136"/>
      </rPr>
      <t>日郵政儲金</t>
    </r>
    <r>
      <rPr>
        <sz val="12"/>
        <rFont val="Times New Roman"/>
        <family val="1"/>
      </rPr>
      <t>1</t>
    </r>
    <r>
      <rPr>
        <sz val="12"/>
        <rFont val="標楷體"/>
        <family val="4"/>
        <charset val="136"/>
      </rPr>
      <t>年期定期存款固定利率加計利息所產生之遲延利息。</t>
    </r>
    <phoneticPr fontId="5" type="noConversion"/>
  </si>
  <si>
    <r>
      <rPr>
        <sz val="12"/>
        <rFont val="標楷體"/>
        <family val="4"/>
        <charset val="136"/>
      </rPr>
      <t>係被保險人貸款違約金收入。</t>
    </r>
    <phoneticPr fontId="5" type="noConversion"/>
  </si>
  <si>
    <r>
      <rPr>
        <sz val="12"/>
        <rFont val="標楷體"/>
        <family val="4"/>
        <charset val="136"/>
      </rPr>
      <t>係依職業災害勞工保護法第</t>
    </r>
    <r>
      <rPr>
        <sz val="12"/>
        <rFont val="Times New Roman"/>
        <family val="1"/>
      </rPr>
      <t>34</t>
    </r>
    <r>
      <rPr>
        <sz val="12"/>
        <rFont val="標楷體"/>
        <family val="4"/>
        <charset val="136"/>
      </rPr>
      <t>條規定所處罰鍰。</t>
    </r>
    <phoneticPr fontId="5" type="noConversion"/>
  </si>
  <si>
    <t>不動產、廠房及設備</t>
    <phoneticPr fontId="5" type="noConversion"/>
  </si>
  <si>
    <t>投資性
不動產</t>
    <phoneticPr fontId="5" type="noConversion"/>
  </si>
  <si>
    <r>
      <rPr>
        <sz val="12"/>
        <rFont val="標楷體"/>
        <family val="4"/>
        <charset val="136"/>
      </rPr>
      <t>本項目全數由勞動部職業安全衛生署辦理。</t>
    </r>
    <phoneticPr fontId="5" type="noConversion"/>
  </si>
  <si>
    <t>前年度決算資產原值</t>
    <phoneticPr fontId="5" type="noConversion"/>
  </si>
  <si>
    <t>上年度預計增減資產原值</t>
    <phoneticPr fontId="5" type="noConversion"/>
  </si>
  <si>
    <t>本年度預計增減資產原值</t>
    <phoneticPr fontId="5" type="noConversion"/>
  </si>
  <si>
    <t>資產重估增值額</t>
    <phoneticPr fontId="5" type="noConversion"/>
  </si>
  <si>
    <t>本年度(12月底)止資產總額</t>
    <phoneticPr fontId="5" type="noConversion"/>
  </si>
  <si>
    <t>本年度應提折舊額</t>
    <phoneticPr fontId="5" type="noConversion"/>
  </si>
  <si>
    <t>項目</t>
    <phoneticPr fontId="5" type="noConversion"/>
  </si>
  <si>
    <t>土地
改
良物</t>
    <phoneticPr fontId="104" type="noConversion"/>
  </si>
  <si>
    <t>交通
及運
輸設備</t>
    <phoneticPr fontId="5" type="noConversion"/>
  </si>
  <si>
    <t>生產
性
植物</t>
    <phoneticPr fontId="5" type="noConversion"/>
  </si>
  <si>
    <t xml:space="preserve">   投資性
    不動產
    折舊</t>
    <phoneticPr fontId="5" type="noConversion"/>
  </si>
  <si>
    <t xml:space="preserve"> 出租資產
  成本</t>
    <phoneticPr fontId="5" type="noConversion"/>
  </si>
  <si>
    <t>短期貸款</t>
    <phoneticPr fontId="5" type="noConversion"/>
  </si>
  <si>
    <t>應收到期長期貸款</t>
    <phoneticPr fontId="5" type="noConversion"/>
  </si>
  <si>
    <t>小計</t>
    <phoneticPr fontId="5" type="noConversion"/>
  </si>
  <si>
    <t>長期貸款</t>
    <phoneticPr fontId="5" type="noConversion"/>
  </si>
  <si>
    <t>減:轉列應收到期長期貸款</t>
    <phoneticPr fontId="5" type="noConversion"/>
  </si>
  <si>
    <r>
      <rPr>
        <sz val="12"/>
        <rFont val="標楷體"/>
        <family val="4"/>
        <charset val="136"/>
      </rPr>
      <t>備註</t>
    </r>
    <phoneticPr fontId="22" type="noConversion"/>
  </si>
  <si>
    <t>資產折舊明細表</t>
    <phoneticPr fontId="5" type="noConversion"/>
  </si>
  <si>
    <t>　　    攤銷</t>
    <phoneticPr fontId="5" type="noConversion"/>
  </si>
  <si>
    <t>係政府撥補勞工保險基金。</t>
    <phoneticPr fontId="5" type="noConversion"/>
  </si>
  <si>
    <r>
      <rPr>
        <sz val="12"/>
        <rFont val="標楷體"/>
        <family val="4"/>
        <charset val="136"/>
      </rPr>
      <t>係依據勞動部改制前之行政院勞工委員會</t>
    </r>
    <r>
      <rPr>
        <sz val="12"/>
        <rFont val="Times New Roman"/>
        <family val="1"/>
      </rPr>
      <t>93</t>
    </r>
    <r>
      <rPr>
        <sz val="12"/>
        <rFont val="標楷體"/>
        <family val="4"/>
        <charset val="136"/>
      </rPr>
      <t>年</t>
    </r>
    <r>
      <rPr>
        <sz val="12"/>
        <rFont val="Times New Roman"/>
        <family val="1"/>
      </rPr>
      <t>10</t>
    </r>
    <r>
      <rPr>
        <sz val="12"/>
        <rFont val="標楷體"/>
        <family val="4"/>
        <charset val="136"/>
      </rPr>
      <t>月</t>
    </r>
    <r>
      <rPr>
        <sz val="12"/>
        <rFont val="Times New Roman"/>
        <family val="1"/>
      </rPr>
      <t>26</t>
    </r>
    <r>
      <rPr>
        <sz val="12"/>
        <rFont val="標楷體"/>
        <family val="4"/>
        <charset val="136"/>
      </rPr>
      <t>日勞保</t>
    </r>
    <r>
      <rPr>
        <sz val="12"/>
        <rFont val="Times New Roman"/>
        <family val="1"/>
      </rPr>
      <t>1</t>
    </r>
    <r>
      <rPr>
        <sz val="12"/>
        <rFont val="標楷體"/>
        <family val="4"/>
        <charset val="136"/>
      </rPr>
      <t>字第</t>
    </r>
    <r>
      <rPr>
        <sz val="12"/>
        <rFont val="Times New Roman"/>
        <family val="1"/>
      </rPr>
      <t>0930051342</t>
    </r>
    <r>
      <rPr>
        <sz val="12"/>
        <rFont val="標楷體"/>
        <family val="4"/>
        <charset val="136"/>
      </rPr>
      <t>號函示，同意投保單位繳納保險費之金額差異在新臺幣</t>
    </r>
    <r>
      <rPr>
        <sz val="12"/>
        <rFont val="Times New Roman"/>
        <family val="1"/>
      </rPr>
      <t>10</t>
    </r>
    <r>
      <rPr>
        <sz val="12"/>
        <rFont val="標楷體"/>
        <family val="4"/>
        <charset val="136"/>
      </rPr>
      <t>元以下者，轉列雜項費用編列</t>
    </r>
    <r>
      <rPr>
        <sz val="12"/>
        <rFont val="Times New Roman"/>
        <family val="1"/>
      </rPr>
      <t>11</t>
    </r>
    <r>
      <rPr>
        <sz val="12"/>
        <rFont val="標楷體"/>
        <family val="4"/>
        <charset val="136"/>
      </rPr>
      <t>千元</t>
    </r>
    <r>
      <rPr>
        <sz val="12"/>
        <rFont val="新細明體"/>
        <family val="1"/>
        <charset val="136"/>
      </rPr>
      <t>。</t>
    </r>
    <phoneticPr fontId="5" type="noConversion"/>
  </si>
  <si>
    <t>　農保及農職保</t>
    <phoneticPr fontId="5" type="noConversion"/>
  </si>
  <si>
    <t xml:space="preserve">         </t>
    <phoneticPr fontId="5"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</si>
  <si>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職業衛生與健康管理</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</si>
  <si>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職業傷病防治與重建服務</t>
    </r>
    <phoneticPr fontId="22" type="noConversion"/>
  </si>
  <si>
    <r>
      <rPr>
        <sz val="12"/>
        <rFont val="標楷體"/>
        <family val="4"/>
        <charset val="136"/>
      </rPr>
      <t>係農職保收入減支出後之虧損數</t>
    </r>
    <r>
      <rPr>
        <sz val="12"/>
        <rFont val="Times New Roman"/>
        <family val="1"/>
      </rPr>
      <t>13,829</t>
    </r>
    <r>
      <rPr>
        <sz val="12"/>
        <rFont val="標楷體"/>
        <family val="4"/>
        <charset val="136"/>
      </rPr>
      <t>千元，依農民健康保險條例第</t>
    </r>
    <r>
      <rPr>
        <sz val="12"/>
        <rFont val="Times New Roman"/>
        <family val="1"/>
      </rPr>
      <t>44</t>
    </r>
    <r>
      <rPr>
        <sz val="12"/>
        <rFont val="標楷體"/>
        <family val="4"/>
        <charset val="136"/>
      </rPr>
      <t>條之</t>
    </r>
    <r>
      <rPr>
        <sz val="12"/>
        <rFont val="Times New Roman"/>
        <family val="1"/>
      </rPr>
      <t>3</t>
    </r>
    <r>
      <rPr>
        <sz val="12"/>
        <rFont val="標楷體"/>
        <family val="4"/>
        <charset val="136"/>
      </rPr>
      <t>規定，由主管機關撥補。</t>
    </r>
    <phoneticPr fontId="5" type="noConversion"/>
  </si>
  <si>
    <r>
      <rPr>
        <sz val="12"/>
        <rFont val="標楷體"/>
        <family val="4"/>
        <charset val="136"/>
      </rPr>
      <t>編列</t>
    </r>
    <r>
      <rPr>
        <sz val="12"/>
        <rFont val="Times New Roman"/>
        <family val="1"/>
      </rPr>
      <t>506</t>
    </r>
    <r>
      <rPr>
        <sz val="12"/>
        <rFont val="標楷體"/>
        <family val="4"/>
        <charset val="136"/>
      </rPr>
      <t>千元，係建置就業保險基金投資整合資訊系統，依使用年限編列攤銷費用。</t>
    </r>
    <phoneticPr fontId="5" type="noConversion"/>
  </si>
  <si>
    <t>勞動部及所屬機關</t>
    <phoneticPr fontId="5" type="noConversion"/>
  </si>
  <si>
    <r>
      <rPr>
        <sz val="12"/>
        <rFont val="標楷體"/>
        <family val="4"/>
        <charset val="136"/>
      </rPr>
      <t>扣除政府機關及政府補助後依逾期繳納保費數之</t>
    </r>
    <r>
      <rPr>
        <sz val="12"/>
        <rFont val="Times New Roman"/>
        <family val="1"/>
      </rPr>
      <t>0.1%</t>
    </r>
    <r>
      <rPr>
        <sz val="12"/>
        <rFont val="標楷體"/>
        <family val="4"/>
        <charset val="136"/>
      </rPr>
      <t>，逾期</t>
    </r>
    <r>
      <rPr>
        <sz val="12"/>
        <rFont val="Times New Roman"/>
        <family val="1"/>
      </rPr>
      <t>24</t>
    </r>
    <r>
      <rPr>
        <sz val="12"/>
        <rFont val="標楷體"/>
        <family val="4"/>
        <charset val="136"/>
      </rPr>
      <t>天計列。</t>
    </r>
    <phoneticPr fontId="22" type="noConversion"/>
  </si>
  <si>
    <r>
      <rPr>
        <sz val="12"/>
        <rFont val="標楷體"/>
        <family val="4"/>
        <charset val="136"/>
      </rPr>
      <t>係增加短期貸款</t>
    </r>
    <r>
      <rPr>
        <sz val="12"/>
        <rFont val="標楷體"/>
        <family val="4"/>
        <charset val="136"/>
      </rPr>
      <t>千元。</t>
    </r>
    <phoneticPr fontId="5" type="noConversion"/>
  </si>
  <si>
    <r>
      <rPr>
        <sz val="12"/>
        <rFont val="標楷體"/>
        <family val="4"/>
        <charset val="136"/>
      </rPr>
      <t>係增加短期債務</t>
    </r>
    <r>
      <rPr>
        <sz val="12"/>
        <rFont val="標楷體"/>
        <family val="4"/>
        <charset val="136"/>
      </rPr>
      <t>千元。</t>
    </r>
    <phoneticPr fontId="5" type="noConversion"/>
  </si>
  <si>
    <r>
      <rPr>
        <sz val="12"/>
        <rFont val="標楷體"/>
        <family val="4"/>
        <charset val="136"/>
      </rPr>
      <t>　調整項目</t>
    </r>
    <phoneticPr fontId="5" type="noConversion"/>
  </si>
  <si>
    <r>
      <t>6.</t>
    </r>
    <r>
      <rPr>
        <sz val="12"/>
        <rFont val="標楷體"/>
        <family val="4"/>
        <charset val="136"/>
      </rPr>
      <t>流動負債淨減</t>
    </r>
    <phoneticPr fontId="5" type="noConversion"/>
  </si>
  <si>
    <r>
      <t>1.</t>
    </r>
    <r>
      <rPr>
        <sz val="12"/>
        <rFont val="標楷體"/>
        <family val="4"/>
        <charset val="136"/>
      </rPr>
      <t xml:space="preserve">提存呆帳
</t>
    </r>
    <r>
      <rPr>
        <sz val="12"/>
        <rFont val="Times New Roman"/>
        <family val="1"/>
      </rPr>
      <t xml:space="preserve">   
   </t>
    </r>
    <phoneticPr fontId="5" type="noConversion"/>
  </si>
  <si>
    <r>
      <t>7.</t>
    </r>
    <r>
      <rPr>
        <sz val="12"/>
        <rFont val="標楷體"/>
        <family val="4"/>
        <charset val="136"/>
      </rPr>
      <t>其他</t>
    </r>
    <r>
      <rPr>
        <sz val="12"/>
        <rFont val="Times New Roman"/>
        <family val="1"/>
      </rPr>
      <t xml:space="preserve"> </t>
    </r>
    <phoneticPr fontId="5" type="noConversion"/>
  </si>
  <si>
    <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5" type="noConversion"/>
  </si>
  <si>
    <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5" type="noConversion"/>
  </si>
  <si>
    <t>收支餘絀預計表</t>
    <phoneticPr fontId="5" type="noConversion"/>
  </si>
  <si>
    <t>前年度決算數</t>
    <phoneticPr fontId="5" type="noConversion"/>
  </si>
  <si>
    <t>本年度預算數</t>
    <phoneticPr fontId="5" type="noConversion"/>
  </si>
  <si>
    <t>上年度預算數</t>
    <phoneticPr fontId="5" type="noConversion"/>
  </si>
  <si>
    <t>比較增減</t>
    <phoneticPr fontId="5" type="noConversion"/>
  </si>
  <si>
    <t>金 額</t>
    <phoneticPr fontId="5" type="noConversion"/>
  </si>
  <si>
    <t>　租金及權利金收入</t>
    <phoneticPr fontId="5" type="noConversion"/>
  </si>
  <si>
    <t>　　投資性不動產收入</t>
    <phoneticPr fontId="5" type="noConversion"/>
  </si>
  <si>
    <t>　　  勞工保險－普通</t>
    <phoneticPr fontId="5" type="noConversion"/>
  </si>
  <si>
    <t>　投融資業務收入</t>
    <phoneticPr fontId="5" type="noConversion"/>
  </si>
  <si>
    <r>
      <t>　　投資業務收入</t>
    </r>
    <r>
      <rPr>
        <sz val="9"/>
        <rFont val="Times New Roman"/>
        <family val="1"/>
      </rPr>
      <t/>
    </r>
    <phoneticPr fontId="5" type="noConversion"/>
  </si>
  <si>
    <t>　　  勞工保險－職災</t>
    <phoneticPr fontId="5" type="noConversion"/>
  </si>
  <si>
    <t>　　  就業保險</t>
    <phoneticPr fontId="5" type="noConversion"/>
  </si>
  <si>
    <t>　　融資業務收入</t>
    <phoneticPr fontId="5" type="noConversion"/>
  </si>
  <si>
    <t>　　兌換賸餘</t>
    <phoneticPr fontId="5" type="noConversion"/>
  </si>
  <si>
    <t>　　  勞工保險－普通</t>
    <phoneticPr fontId="5" type="noConversion"/>
  </si>
  <si>
    <t>　　  就業保險</t>
    <phoneticPr fontId="5" type="noConversion"/>
  </si>
  <si>
    <t>　　手續費收入</t>
    <phoneticPr fontId="5" type="noConversion"/>
  </si>
  <si>
    <t>　　存款利息收入</t>
    <phoneticPr fontId="5" type="noConversion"/>
  </si>
  <si>
    <t>　　  勞工保險－職災</t>
    <phoneticPr fontId="5" type="noConversion"/>
  </si>
  <si>
    <t>　　  農保</t>
    <phoneticPr fontId="5" type="noConversion"/>
  </si>
  <si>
    <t>　　  農職保</t>
    <phoneticPr fontId="5" type="noConversion"/>
  </si>
  <si>
    <t>　　   職災保護－已加保勞工</t>
    <phoneticPr fontId="5" type="noConversion"/>
  </si>
  <si>
    <t>　　   職災保護－未加保勞工</t>
    <phoneticPr fontId="5" type="noConversion"/>
  </si>
  <si>
    <t>　保險收入</t>
    <phoneticPr fontId="5" type="noConversion"/>
  </si>
  <si>
    <t>　　保費收入</t>
    <phoneticPr fontId="5" type="noConversion"/>
  </si>
  <si>
    <t xml:space="preserve">  　收回責任準備</t>
    <phoneticPr fontId="5" type="noConversion"/>
  </si>
  <si>
    <t>　其他業務收入</t>
    <phoneticPr fontId="5" type="noConversion"/>
  </si>
  <si>
    <t>　　其他補助收入</t>
    <phoneticPr fontId="5" type="noConversion"/>
  </si>
  <si>
    <t>　　雜項業務收入</t>
    <phoneticPr fontId="5" type="noConversion"/>
  </si>
  <si>
    <t>-</t>
    <phoneticPr fontId="5" type="noConversion"/>
  </si>
  <si>
    <t>業務成本與費用</t>
    <phoneticPr fontId="5" type="noConversion"/>
  </si>
  <si>
    <t xml:space="preserve">  出租資產成本</t>
    <phoneticPr fontId="5" type="noConversion"/>
  </si>
  <si>
    <t>　　投資性不動產成本</t>
    <phoneticPr fontId="5" type="noConversion"/>
  </si>
  <si>
    <t xml:space="preserve">  投融資業務成本</t>
    <phoneticPr fontId="5" type="noConversion"/>
  </si>
  <si>
    <t>　　投資業務成本</t>
    <phoneticPr fontId="5" type="noConversion"/>
  </si>
  <si>
    <t>　　融資業務成本</t>
    <phoneticPr fontId="5" type="noConversion"/>
  </si>
  <si>
    <t>　　兌換短絀</t>
    <phoneticPr fontId="5" type="noConversion"/>
  </si>
  <si>
    <t>　　  勞工保險－普通</t>
    <phoneticPr fontId="5" type="noConversion"/>
  </si>
  <si>
    <t>　　  就業保險</t>
    <phoneticPr fontId="5" type="noConversion"/>
  </si>
  <si>
    <t>　保險成本</t>
    <phoneticPr fontId="5" type="noConversion"/>
  </si>
  <si>
    <t>　　保險給付</t>
    <phoneticPr fontId="5" type="noConversion"/>
  </si>
  <si>
    <t>　　  勞工保險－職災</t>
    <phoneticPr fontId="5" type="noConversion"/>
  </si>
  <si>
    <t>　 　  職災保護－已加保勞工</t>
    <phoneticPr fontId="5" type="noConversion"/>
  </si>
  <si>
    <t>　　提存責任準備</t>
    <phoneticPr fontId="5" type="noConversion"/>
  </si>
  <si>
    <t>　　呆帳</t>
    <phoneticPr fontId="5" type="noConversion"/>
  </si>
  <si>
    <t>　　  勞工保險－普通</t>
    <phoneticPr fontId="5" type="noConversion"/>
  </si>
  <si>
    <t>　　  勞工保險－職災</t>
    <phoneticPr fontId="5" type="noConversion"/>
  </si>
  <si>
    <t>　　  就業保險</t>
    <phoneticPr fontId="5" type="noConversion"/>
  </si>
  <si>
    <t>　　   職災保護－未加保勞工</t>
    <phoneticPr fontId="5" type="noConversion"/>
  </si>
  <si>
    <t>　其他業務成本</t>
    <phoneticPr fontId="5" type="noConversion"/>
  </si>
  <si>
    <t>　　雜項業務成本</t>
    <phoneticPr fontId="5" type="noConversion"/>
  </si>
  <si>
    <t>　　  勞工保險-普通</t>
    <phoneticPr fontId="5" type="noConversion"/>
  </si>
  <si>
    <t>　　  農保</t>
    <phoneticPr fontId="5" type="noConversion"/>
  </si>
  <si>
    <t>業務賸餘（短絀）</t>
    <phoneticPr fontId="5" type="noConversion"/>
  </si>
  <si>
    <t>業務外收入</t>
    <phoneticPr fontId="5" type="noConversion"/>
  </si>
  <si>
    <t>　財務收入</t>
    <phoneticPr fontId="5" type="noConversion"/>
  </si>
  <si>
    <t>　　利息收入</t>
    <phoneticPr fontId="5" type="noConversion"/>
  </si>
  <si>
    <t>　其他業務外收入</t>
    <phoneticPr fontId="5" type="noConversion"/>
  </si>
  <si>
    <t>　　違規罰款收入</t>
    <phoneticPr fontId="5" type="noConversion"/>
  </si>
  <si>
    <t xml:space="preserve">　　   職災保護－已加保勞工 </t>
    <phoneticPr fontId="5" type="noConversion"/>
  </si>
  <si>
    <t>　　收回呆帳</t>
    <phoneticPr fontId="5" type="noConversion"/>
  </si>
  <si>
    <t>　 　  職災保護－未加保勞工</t>
    <phoneticPr fontId="5" type="noConversion"/>
  </si>
  <si>
    <t>　　雜項收入</t>
    <phoneticPr fontId="5" type="noConversion"/>
  </si>
  <si>
    <t>　　  農民保險</t>
    <phoneticPr fontId="5" type="noConversion"/>
  </si>
  <si>
    <t>　 　  職災保護－已加保勞工</t>
    <phoneticPr fontId="5" type="noConversion"/>
  </si>
  <si>
    <t>業務外費用</t>
    <phoneticPr fontId="5" type="noConversion"/>
  </si>
  <si>
    <t>　其他業務外費用</t>
    <phoneticPr fontId="5" type="noConversion"/>
  </si>
  <si>
    <t>　　雜項費用</t>
    <phoneticPr fontId="5" type="noConversion"/>
  </si>
  <si>
    <t>　 　 職災保護－未加保勞工</t>
    <phoneticPr fontId="5" type="noConversion"/>
  </si>
  <si>
    <t>業務外賸餘（短絀）</t>
    <phoneticPr fontId="5" type="noConversion"/>
  </si>
  <si>
    <t>本期賸餘（短絀）</t>
    <phoneticPr fontId="5" type="noConversion"/>
  </si>
  <si>
    <t>項    目</t>
    <phoneticPr fontId="5" type="noConversion"/>
  </si>
  <si>
    <t>收入合計</t>
    <phoneticPr fontId="5" type="noConversion"/>
  </si>
  <si>
    <t>成本合計</t>
    <phoneticPr fontId="5" type="noConversion"/>
  </si>
  <si>
    <t>差異數</t>
    <phoneticPr fontId="5" type="noConversion"/>
  </si>
  <si>
    <t>前年度決算數</t>
    <phoneticPr fontId="5" type="noConversion"/>
  </si>
  <si>
    <t>勞工保險－普通</t>
    <phoneticPr fontId="5" type="noConversion"/>
  </si>
  <si>
    <t>勞工保險－職災</t>
    <phoneticPr fontId="5" type="noConversion"/>
  </si>
  <si>
    <t>就業保險</t>
    <phoneticPr fontId="5" type="noConversion"/>
  </si>
  <si>
    <t>農民保險</t>
    <phoneticPr fontId="5" type="noConversion"/>
  </si>
  <si>
    <t>職災保護－已加保勞工</t>
    <phoneticPr fontId="5" type="noConversion"/>
  </si>
  <si>
    <t>職災保護－未加保勞工</t>
    <phoneticPr fontId="5" type="noConversion"/>
  </si>
  <si>
    <t>合計</t>
    <phoneticPr fontId="5" type="noConversion"/>
  </si>
  <si>
    <t>本年度預算數</t>
    <phoneticPr fontId="5" type="noConversion"/>
  </si>
  <si>
    <t>上年度預算數</t>
    <phoneticPr fontId="5" type="noConversion"/>
  </si>
  <si>
    <t>　  農保及農職保</t>
    <phoneticPr fontId="5" type="noConversion"/>
  </si>
  <si>
    <t>職業傷病診治網絡及鑑定協助</t>
  </si>
  <si>
    <t>職災勞工重建與個案服務</t>
  </si>
  <si>
    <t>發展化學品危害資訊與評估管理技術</t>
  </si>
  <si>
    <t>強化職業衛生危害調查、評估、控制技術與管理效能及系統</t>
  </si>
  <si>
    <t>提升勞工健康檢查品質與資訊管理</t>
  </si>
  <si>
    <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職業及機械設備安全輔導</t>
    </r>
  </si>
  <si>
    <t>石化及化學工廠製程安全管理輔導</t>
  </si>
  <si>
    <t>營造業臨時性作業勞工安全監督輔導改善</t>
  </si>
  <si>
    <t>老舊危險性機械設備檢測</t>
  </si>
  <si>
    <t>推動機械設備器具安全驗證，新購安全機械及改善既有機械安全</t>
  </si>
  <si>
    <t>提升職業安全衛生知能及教育訓練品質</t>
  </si>
  <si>
    <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高風險產業職災預防輔導</t>
    </r>
  </si>
  <si>
    <t>機械災害預防及工業區職業安全衛生促進</t>
  </si>
  <si>
    <t>高風險事業單位輔導</t>
  </si>
  <si>
    <t>公式</t>
    <phoneticPr fontId="5" type="noConversion"/>
  </si>
  <si>
    <r>
      <rPr>
        <sz val="12"/>
        <rFont val="標楷體"/>
        <family val="4"/>
        <charset val="136"/>
      </rPr>
      <t>編列千元，係基金投資之不動產，辦理相關業務所需旅運費等。</t>
    </r>
    <phoneticPr fontId="5" type="noConversion"/>
  </si>
  <si>
    <r>
      <rPr>
        <sz val="12"/>
        <rFont val="標楷體"/>
        <family val="4"/>
        <charset val="136"/>
      </rPr>
      <t>編列</t>
    </r>
    <r>
      <rPr>
        <sz val="12"/>
        <rFont val="Times New Roman"/>
        <family val="1"/>
      </rPr>
      <t>13</t>
    </r>
    <r>
      <rPr>
        <sz val="12"/>
        <rFont val="標楷體"/>
        <family val="4"/>
        <charset val="136"/>
      </rPr>
      <t>千元，係基金投資不動產之房屋稅。</t>
    </r>
    <phoneticPr fontId="5" type="noConversion"/>
  </si>
  <si>
    <r>
      <rPr>
        <sz val="12"/>
        <rFont val="標楷體"/>
        <family val="4"/>
        <charset val="136"/>
      </rPr>
      <t>編列</t>
    </r>
    <r>
      <rPr>
        <sz val="12"/>
        <rFont val="Times New Roman"/>
        <family val="1"/>
      </rPr>
      <t>162</t>
    </r>
    <r>
      <rPr>
        <sz val="12"/>
        <rFont val="標楷體"/>
        <family val="4"/>
        <charset val="136"/>
      </rPr>
      <t>千元，係基金投資不動產之其他費用。</t>
    </r>
    <phoneticPr fontId="5" type="noConversion"/>
  </si>
  <si>
    <r>
      <t>111</t>
    </r>
    <r>
      <rPr>
        <sz val="18"/>
        <rFont val="標楷體"/>
        <family val="4"/>
        <charset val="136"/>
      </rPr>
      <t>年度收入、成本與費用及賸餘</t>
    </r>
    <phoneticPr fontId="72" type="noConversion"/>
  </si>
  <si>
    <r>
      <t>111</t>
    </r>
    <r>
      <rPr>
        <b/>
        <sz val="12"/>
        <rFont val="標楷體"/>
        <family val="4"/>
        <charset val="136"/>
      </rPr>
      <t>年度預算</t>
    </r>
    <phoneticPr fontId="72" type="noConversion"/>
  </si>
  <si>
    <t>107年度決算</t>
  </si>
  <si>
    <t>108年度決算</t>
  </si>
  <si>
    <t>110年度預算</t>
  </si>
  <si>
    <t>111年度預算</t>
    <phoneticPr fontId="72" type="noConversion"/>
  </si>
  <si>
    <t>109年度決算</t>
    <phoneticPr fontId="5" type="noConversion"/>
  </si>
  <si>
    <r>
      <rPr>
        <sz val="12"/>
        <rFont val="標楷體"/>
        <family val="4"/>
        <charset val="136"/>
      </rPr>
      <t>中華民國</t>
    </r>
    <r>
      <rPr>
        <sz val="12"/>
        <rFont val="Times New Roman"/>
        <family val="1"/>
      </rPr>
      <t>111</t>
    </r>
    <r>
      <rPr>
        <sz val="12"/>
        <rFont val="標楷體"/>
        <family val="4"/>
        <charset val="136"/>
      </rPr>
      <t>年度</t>
    </r>
    <phoneticPr fontId="5" type="noConversion"/>
  </si>
  <si>
    <r>
      <t>109</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實際數</t>
    </r>
    <phoneticPr fontId="5" type="noConversion"/>
  </si>
  <si>
    <r>
      <t>111</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預計數</t>
    </r>
    <phoneticPr fontId="5" type="noConversion"/>
  </si>
  <si>
    <r>
      <t>110</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預計數</t>
    </r>
    <phoneticPr fontId="5" type="noConversion"/>
  </si>
  <si>
    <r>
      <t>107</t>
    </r>
    <r>
      <rPr>
        <b/>
        <sz val="12"/>
        <rFont val="標楷體"/>
        <family val="4"/>
        <charset val="136"/>
      </rPr>
      <t>年度決算數</t>
    </r>
    <phoneticPr fontId="5" type="noConversion"/>
  </si>
  <si>
    <r>
      <rPr>
        <b/>
        <sz val="12"/>
        <rFont val="Times New Roman"/>
        <family val="1"/>
      </rPr>
      <t>108</t>
    </r>
    <r>
      <rPr>
        <b/>
        <sz val="12"/>
        <rFont val="標楷體"/>
        <family val="4"/>
        <charset val="136"/>
      </rPr>
      <t>年度決算數</t>
    </r>
    <phoneticPr fontId="5" type="noConversion"/>
  </si>
  <si>
    <r>
      <t xml:space="preserve">               </t>
    </r>
    <r>
      <rPr>
        <sz val="12"/>
        <rFont val="標楷體"/>
        <family val="4"/>
        <charset val="136"/>
      </rPr>
      <t>中華民國</t>
    </r>
    <r>
      <rPr>
        <sz val="12"/>
        <rFont val="Times New Roman"/>
        <family val="1"/>
      </rPr>
      <t xml:space="preserve">    111</t>
    </r>
    <r>
      <rPr>
        <sz val="12"/>
        <rFont val="標楷體"/>
        <family val="4"/>
        <charset val="136"/>
      </rPr>
      <t>年度</t>
    </r>
    <phoneticPr fontId="5" type="noConversion"/>
  </si>
  <si>
    <r>
      <rPr>
        <sz val="12"/>
        <rFont val="標楷體"/>
        <family val="4"/>
        <charset val="136"/>
      </rPr>
      <t>扣除政府補助後依逾期繳納保費數之</t>
    </r>
    <r>
      <rPr>
        <sz val="12"/>
        <rFont val="Times New Roman"/>
        <family val="1"/>
      </rPr>
      <t>0.2%</t>
    </r>
    <r>
      <rPr>
        <sz val="12"/>
        <rFont val="標楷體"/>
        <family val="4"/>
        <charset val="136"/>
      </rPr>
      <t>，逾期</t>
    </r>
    <r>
      <rPr>
        <sz val="12"/>
        <rFont val="Times New Roman"/>
        <family val="1"/>
      </rPr>
      <t>292</t>
    </r>
    <r>
      <rPr>
        <sz val="12"/>
        <rFont val="標楷體"/>
        <family val="4"/>
        <charset val="136"/>
      </rPr>
      <t>天計列。</t>
    </r>
    <phoneticPr fontId="22" type="noConversion"/>
  </si>
  <si>
    <r>
      <rPr>
        <sz val="12"/>
        <rFont val="標楷體"/>
        <family val="4"/>
        <charset val="136"/>
      </rPr>
      <t>普通事故保險費由被保險人負擔</t>
    </r>
    <r>
      <rPr>
        <sz val="12"/>
        <rFont val="Times New Roman"/>
        <family val="1"/>
      </rPr>
      <t>20%</t>
    </r>
    <r>
      <rPr>
        <sz val="12"/>
        <rFont val="標楷體"/>
        <family val="4"/>
        <charset val="136"/>
      </rPr>
      <t>，投保單位負擔</t>
    </r>
    <r>
      <rPr>
        <sz val="12"/>
        <rFont val="Times New Roman"/>
        <family val="1"/>
      </rPr>
      <t>70%(</t>
    </r>
    <r>
      <rPr>
        <sz val="12"/>
        <rFont val="標楷體"/>
        <family val="4"/>
        <charset val="136"/>
      </rPr>
      <t>其中依性別工作平等法第</t>
    </r>
    <r>
      <rPr>
        <sz val="12"/>
        <rFont val="Times New Roman"/>
        <family val="1"/>
      </rPr>
      <t>16</t>
    </r>
    <r>
      <rPr>
        <sz val="12"/>
        <rFont val="標楷體"/>
        <family val="4"/>
        <charset val="136"/>
      </rPr>
      <t>條規定，政府補助</t>
    </r>
    <r>
      <rPr>
        <sz val="12"/>
        <rFont val="Times New Roman"/>
        <family val="1"/>
      </rPr>
      <t>1,458,093</t>
    </r>
    <r>
      <rPr>
        <sz val="12"/>
        <rFont val="標楷體"/>
        <family val="4"/>
        <charset val="136"/>
      </rPr>
      <t>千元</t>
    </r>
    <r>
      <rPr>
        <sz val="12"/>
        <rFont val="Times New Roman"/>
        <family val="1"/>
      </rPr>
      <t>)</t>
    </r>
    <r>
      <rPr>
        <sz val="12"/>
        <rFont val="標楷體"/>
        <family val="4"/>
        <charset val="136"/>
      </rPr>
      <t>，政府補助</t>
    </r>
    <r>
      <rPr>
        <sz val="12"/>
        <rFont val="Times New Roman"/>
        <family val="1"/>
      </rPr>
      <t>10%</t>
    </r>
    <r>
      <rPr>
        <sz val="12"/>
        <rFont val="標楷體"/>
        <family val="4"/>
        <charset val="136"/>
      </rPr>
      <t>；無職業災害保險費。</t>
    </r>
    <phoneticPr fontId="5" type="noConversion"/>
  </si>
  <si>
    <r>
      <rPr>
        <sz val="12"/>
        <rFont val="標楷體"/>
        <family val="4"/>
        <charset val="136"/>
      </rPr>
      <t>保險費由被保險人負擔</t>
    </r>
    <r>
      <rPr>
        <sz val="12"/>
        <rFont val="Times New Roman"/>
        <family val="1"/>
      </rPr>
      <t>20%</t>
    </r>
    <r>
      <rPr>
        <sz val="12"/>
        <rFont val="標楷體"/>
        <family val="4"/>
        <charset val="136"/>
      </rPr>
      <t>，投保單位負擔</t>
    </r>
    <r>
      <rPr>
        <sz val="12"/>
        <rFont val="Times New Roman"/>
        <family val="1"/>
      </rPr>
      <t>70%(</t>
    </r>
    <r>
      <rPr>
        <sz val="12"/>
        <rFont val="標楷體"/>
        <family val="4"/>
        <charset val="136"/>
      </rPr>
      <t>其中依性別工作平等法第</t>
    </r>
    <r>
      <rPr>
        <sz val="12"/>
        <rFont val="Times New Roman"/>
        <family val="1"/>
      </rPr>
      <t>16</t>
    </r>
    <r>
      <rPr>
        <sz val="12"/>
        <rFont val="標楷體"/>
        <family val="4"/>
        <charset val="136"/>
      </rPr>
      <t>條規定，政府補助</t>
    </r>
    <r>
      <rPr>
        <sz val="12"/>
        <rFont val="Times New Roman"/>
        <family val="1"/>
      </rPr>
      <t>138,908</t>
    </r>
    <r>
      <rPr>
        <sz val="12"/>
        <rFont val="標楷體"/>
        <family val="4"/>
        <charset val="136"/>
      </rPr>
      <t>千元</t>
    </r>
    <r>
      <rPr>
        <sz val="12"/>
        <rFont val="Times New Roman"/>
        <family val="1"/>
      </rPr>
      <t>)</t>
    </r>
    <r>
      <rPr>
        <sz val="12"/>
        <rFont val="標楷體"/>
        <family val="4"/>
        <charset val="136"/>
      </rPr>
      <t>，政府補助</t>
    </r>
    <r>
      <rPr>
        <sz val="12"/>
        <rFont val="Times New Roman"/>
        <family val="1"/>
      </rPr>
      <t>10%</t>
    </r>
    <r>
      <rPr>
        <sz val="12"/>
        <rFont val="標楷體"/>
        <family val="4"/>
        <charset val="136"/>
      </rPr>
      <t>。</t>
    </r>
    <phoneticPr fontId="5" type="noConversion"/>
  </si>
  <si>
    <r>
      <t>職業病鑑定評估及預防介入改善計畫-勞工矽肺症與奈米危害全國調查分析</t>
    </r>
    <r>
      <rPr>
        <sz val="12"/>
        <color theme="1"/>
        <rFont val="標楷體"/>
        <family val="4"/>
        <charset val="136"/>
      </rPr>
      <t>(II)</t>
    </r>
    <phoneticPr fontId="5" type="noConversion"/>
  </si>
  <si>
    <t>建構職業健康專業能量發展網絡，強化職場新興危害及高危害物質健康防護(II)</t>
    <phoneticPr fontId="5" type="noConversion"/>
  </si>
  <si>
    <t>表面處理業危害監測採樣分析與資料庫建立</t>
    <phoneticPr fontId="5" type="noConversion"/>
  </si>
  <si>
    <t>營造業監督輔導及本質安全促進</t>
    <phoneticPr fontId="5" type="noConversion"/>
  </si>
  <si>
    <t>合    計</t>
    <phoneticPr fontId="5" type="noConversion"/>
  </si>
  <si>
    <r>
      <rPr>
        <sz val="12"/>
        <rFont val="標楷體"/>
        <family val="4"/>
        <charset val="136"/>
      </rPr>
      <t>編列</t>
    </r>
    <r>
      <rPr>
        <sz val="12"/>
        <rFont val="Times New Roman"/>
        <family val="1"/>
      </rPr>
      <t>2,118</t>
    </r>
    <r>
      <rPr>
        <sz val="12"/>
        <rFont val="標楷體"/>
        <family val="4"/>
        <charset val="136"/>
      </rPr>
      <t>千元，係基金投資不動產之房屋修護費用等。</t>
    </r>
    <phoneticPr fontId="5" type="noConversion"/>
  </si>
  <si>
    <r>
      <rPr>
        <sz val="12"/>
        <rFont val="標楷體"/>
        <family val="4"/>
        <charset val="136"/>
      </rPr>
      <t>係依投保人數</t>
    </r>
    <r>
      <rPr>
        <sz val="12"/>
        <rFont val="Times New Roman"/>
        <family val="1"/>
      </rPr>
      <t>717</t>
    </r>
    <r>
      <rPr>
        <sz val="12"/>
        <rFont val="標楷體"/>
        <family val="4"/>
        <charset val="136"/>
      </rPr>
      <t>萬人、平均月投保薪資</t>
    </r>
    <r>
      <rPr>
        <sz val="12"/>
        <rFont val="Times New Roman"/>
        <family val="1"/>
      </rPr>
      <t>35,300</t>
    </r>
    <r>
      <rPr>
        <sz val="12"/>
        <rFont val="標楷體"/>
        <family val="4"/>
        <charset val="136"/>
      </rPr>
      <t>元及保險費率</t>
    </r>
    <r>
      <rPr>
        <sz val="12"/>
        <rFont val="Times New Roman"/>
        <family val="1"/>
      </rPr>
      <t>1%</t>
    </r>
    <r>
      <rPr>
        <sz val="12"/>
        <rFont val="標楷體"/>
        <family val="4"/>
        <charset val="136"/>
      </rPr>
      <t>估算。</t>
    </r>
    <phoneticPr fontId="5" type="noConversion"/>
  </si>
  <si>
    <r>
      <rPr>
        <sz val="12"/>
        <rFont val="標楷體"/>
        <family val="4"/>
        <charset val="136"/>
      </rPr>
      <t>係依投保人數</t>
    </r>
    <r>
      <rPr>
        <sz val="12"/>
        <rFont val="Times New Roman"/>
        <family val="1"/>
      </rPr>
      <t>101</t>
    </r>
    <r>
      <rPr>
        <sz val="12"/>
        <rFont val="標楷體"/>
        <family val="4"/>
        <charset val="136"/>
      </rPr>
      <t>萬</t>
    </r>
    <r>
      <rPr>
        <sz val="12"/>
        <rFont val="Times New Roman"/>
        <family val="1"/>
      </rPr>
      <t>2</t>
    </r>
    <r>
      <rPr>
        <sz val="12"/>
        <rFont val="標楷體"/>
        <family val="4"/>
        <charset val="136"/>
      </rPr>
      <t>千人、投保薪資</t>
    </r>
    <r>
      <rPr>
        <sz val="12"/>
        <rFont val="Times New Roman"/>
        <family val="1"/>
      </rPr>
      <t>10,200</t>
    </r>
    <r>
      <rPr>
        <sz val="12"/>
        <rFont val="標楷體"/>
        <family val="4"/>
        <charset val="136"/>
      </rPr>
      <t>元及保險費率</t>
    </r>
    <r>
      <rPr>
        <sz val="12"/>
        <rFont val="Times New Roman"/>
        <family val="1"/>
      </rPr>
      <t>2.55%</t>
    </r>
    <r>
      <rPr>
        <sz val="12"/>
        <rFont val="標楷體"/>
        <family val="4"/>
        <charset val="136"/>
      </rPr>
      <t>估算。</t>
    </r>
    <phoneticPr fontId="5" type="noConversion"/>
  </si>
  <si>
    <r>
      <rPr>
        <sz val="12"/>
        <rFont val="標楷體"/>
        <family val="4"/>
        <charset val="136"/>
      </rPr>
      <t>係依投保人數</t>
    </r>
    <r>
      <rPr>
        <sz val="12"/>
        <rFont val="Times New Roman"/>
        <family val="1"/>
      </rPr>
      <t>32</t>
    </r>
    <r>
      <rPr>
        <sz val="12"/>
        <rFont val="標楷體"/>
        <family val="4"/>
        <charset val="136"/>
      </rPr>
      <t>萬人、投保薪資</t>
    </r>
    <r>
      <rPr>
        <sz val="12"/>
        <rFont val="Times New Roman"/>
        <family val="1"/>
      </rPr>
      <t>10,200</t>
    </r>
    <r>
      <rPr>
        <sz val="12"/>
        <rFont val="標楷體"/>
        <family val="4"/>
        <charset val="136"/>
      </rPr>
      <t>元及保險費率</t>
    </r>
    <r>
      <rPr>
        <sz val="12"/>
        <rFont val="Times New Roman"/>
        <family val="1"/>
      </rPr>
      <t>0.24%</t>
    </r>
    <r>
      <rPr>
        <sz val="12"/>
        <rFont val="標楷體"/>
        <family val="4"/>
        <charset val="136"/>
      </rPr>
      <t>估算。</t>
    </r>
    <phoneticPr fontId="5" type="noConversion"/>
  </si>
  <si>
    <t>普通組50千元
保費組12千元</t>
    <phoneticPr fontId="5" type="noConversion"/>
  </si>
  <si>
    <r>
      <rPr>
        <sz val="12"/>
        <rFont val="標楷體"/>
        <family val="4"/>
        <charset val="136"/>
      </rPr>
      <t>係應付保管款滿</t>
    </r>
    <r>
      <rPr>
        <sz val="12"/>
        <rFont val="Times New Roman"/>
        <family val="1"/>
      </rPr>
      <t>4</t>
    </r>
    <r>
      <rPr>
        <sz val="12"/>
        <rFont val="標楷體"/>
        <family val="4"/>
        <charset val="136"/>
      </rPr>
      <t>年轉雜項收入後再提出申請編列</t>
    </r>
    <r>
      <rPr>
        <sz val="12"/>
        <rFont val="Times New Roman"/>
        <family val="1"/>
      </rPr>
      <t>50</t>
    </r>
    <r>
      <rPr>
        <sz val="12"/>
        <rFont val="標楷體"/>
        <family val="4"/>
        <charset val="136"/>
      </rPr>
      <t>千元及依據勞動部改制前之行政院勞工委員會</t>
    </r>
    <r>
      <rPr>
        <sz val="12"/>
        <rFont val="Times New Roman"/>
        <family val="1"/>
      </rPr>
      <t>93</t>
    </r>
    <r>
      <rPr>
        <sz val="12"/>
        <rFont val="標楷體"/>
        <family val="4"/>
        <charset val="136"/>
      </rPr>
      <t>年</t>
    </r>
    <r>
      <rPr>
        <sz val="12"/>
        <rFont val="Times New Roman"/>
        <family val="1"/>
      </rPr>
      <t>10</t>
    </r>
    <r>
      <rPr>
        <sz val="12"/>
        <rFont val="標楷體"/>
        <family val="4"/>
        <charset val="136"/>
      </rPr>
      <t>月</t>
    </r>
    <r>
      <rPr>
        <sz val="12"/>
        <rFont val="Times New Roman"/>
        <family val="1"/>
      </rPr>
      <t>26</t>
    </r>
    <r>
      <rPr>
        <sz val="12"/>
        <rFont val="標楷體"/>
        <family val="4"/>
        <charset val="136"/>
      </rPr>
      <t>日勞保</t>
    </r>
    <r>
      <rPr>
        <sz val="12"/>
        <rFont val="Times New Roman"/>
        <family val="1"/>
      </rPr>
      <t>1</t>
    </r>
    <r>
      <rPr>
        <sz val="12"/>
        <rFont val="標楷體"/>
        <family val="4"/>
        <charset val="136"/>
      </rPr>
      <t>字第</t>
    </r>
    <r>
      <rPr>
        <sz val="12"/>
        <rFont val="Times New Roman"/>
        <family val="1"/>
      </rPr>
      <t>0930051342</t>
    </r>
    <r>
      <rPr>
        <sz val="12"/>
        <rFont val="標楷體"/>
        <family val="4"/>
        <charset val="136"/>
      </rPr>
      <t>號函示，同意投保單位繳納保險費之金額差異在新臺幣</t>
    </r>
    <r>
      <rPr>
        <sz val="12"/>
        <rFont val="Times New Roman"/>
        <family val="1"/>
      </rPr>
      <t>10</t>
    </r>
    <r>
      <rPr>
        <sz val="12"/>
        <rFont val="標楷體"/>
        <family val="4"/>
        <charset val="136"/>
      </rPr>
      <t>元以下者，轉列雜項費用編列</t>
    </r>
    <r>
      <rPr>
        <sz val="12"/>
        <rFont val="Times New Roman"/>
        <family val="1"/>
      </rPr>
      <t>12</t>
    </r>
    <r>
      <rPr>
        <sz val="12"/>
        <rFont val="標楷體"/>
        <family val="4"/>
        <charset val="136"/>
      </rPr>
      <t>千元。</t>
    </r>
    <phoneticPr fontId="5" type="noConversion"/>
  </si>
  <si>
    <t>　  保險給付(已加保勞工)</t>
    <phoneticPr fontId="5" type="noConversion"/>
  </si>
  <si>
    <t>　  呆帳(農保)</t>
    <phoneticPr fontId="5" type="noConversion"/>
  </si>
  <si>
    <t>　  提存責任準備(農職保)</t>
    <phoneticPr fontId="5" type="noConversion"/>
  </si>
  <si>
    <t>　  呆帳</t>
    <phoneticPr fontId="5" type="noConversion"/>
  </si>
  <si>
    <r>
      <rPr>
        <sz val="12"/>
        <rFont val="標楷體"/>
        <family val="4"/>
        <charset val="136"/>
      </rPr>
      <t>編列</t>
    </r>
    <r>
      <rPr>
        <sz val="12"/>
        <rFont val="Times New Roman"/>
        <family val="1"/>
      </rPr>
      <t>50,878</t>
    </r>
    <r>
      <rPr>
        <sz val="12"/>
        <rFont val="標楷體"/>
        <family val="4"/>
        <charset val="136"/>
      </rPr>
      <t>千元，係按其他應收款及催收款項餘額依回收情況提列呆帳。</t>
    </r>
    <phoneticPr fontId="5" type="noConversion"/>
  </si>
  <si>
    <r>
      <rPr>
        <sz val="12"/>
        <rFont val="標楷體"/>
        <family val="4"/>
        <charset val="136"/>
      </rPr>
      <t>編列</t>
    </r>
    <r>
      <rPr>
        <sz val="12"/>
        <rFont val="Times New Roman"/>
        <family val="1"/>
      </rPr>
      <t>35,582</t>
    </r>
    <r>
      <rPr>
        <sz val="12"/>
        <rFont val="標楷體"/>
        <family val="4"/>
        <charset val="136"/>
      </rPr>
      <t>千元，係國外投資委任律師處理訴訟費及委託經營聘請顧問費等。其中委託調查研究費編列</t>
    </r>
    <r>
      <rPr>
        <sz val="12"/>
        <rFont val="Times New Roman"/>
        <family val="1"/>
      </rPr>
      <t>1,512</t>
    </r>
    <r>
      <rPr>
        <sz val="12"/>
        <rFont val="標楷體"/>
        <family val="4"/>
        <charset val="136"/>
      </rPr>
      <t>千元，係依據勞動基金委託經營要點第</t>
    </r>
    <r>
      <rPr>
        <sz val="12"/>
        <rFont val="Times New Roman"/>
        <family val="1"/>
      </rPr>
      <t>5</t>
    </r>
    <r>
      <rPr>
        <sz val="12"/>
        <rFont val="標楷體"/>
        <family val="4"/>
        <charset val="136"/>
      </rPr>
      <t xml:space="preserve">點規定，委託專業投資顧問公司協助辦理國外委託經營受託機構之遴選、績效評定及考核管理之國外監控顧問案。
</t>
    </r>
    <r>
      <rPr>
        <sz val="12"/>
        <rFont val="Times New Roman"/>
        <family val="1"/>
      </rPr>
      <t/>
    </r>
    <phoneticPr fontId="5" type="noConversion"/>
  </si>
  <si>
    <r>
      <rPr>
        <sz val="12"/>
        <rFont val="標楷體"/>
        <family val="4"/>
        <charset val="136"/>
      </rPr>
      <t>係農保收入減支出後之虧損數</t>
    </r>
    <r>
      <rPr>
        <sz val="12"/>
        <rFont val="Times New Roman"/>
        <family val="1"/>
      </rPr>
      <t>3,468,014</t>
    </r>
    <r>
      <rPr>
        <sz val="12"/>
        <rFont val="標楷體"/>
        <family val="4"/>
        <charset val="136"/>
      </rPr>
      <t>千元，依農民健康保險條例第</t>
    </r>
    <r>
      <rPr>
        <sz val="12"/>
        <rFont val="Times New Roman"/>
        <family val="1"/>
      </rPr>
      <t>44</t>
    </r>
    <r>
      <rPr>
        <sz val="12"/>
        <rFont val="標楷體"/>
        <family val="4"/>
        <charset val="136"/>
      </rPr>
      <t>條規定，由主管機關撥補。</t>
    </r>
    <phoneticPr fontId="5" type="noConversion"/>
  </si>
  <si>
    <r>
      <rPr>
        <sz val="12"/>
        <rFont val="標楷體"/>
        <family val="4"/>
        <charset val="136"/>
      </rPr>
      <t>貸款予被保險人之利息收入編列</t>
    </r>
    <r>
      <rPr>
        <sz val="12"/>
        <rFont val="Times New Roman"/>
        <family val="1"/>
      </rPr>
      <t>520,800</t>
    </r>
    <r>
      <rPr>
        <sz val="12"/>
        <rFont val="標楷體"/>
        <family val="4"/>
        <charset val="136"/>
      </rPr>
      <t>千元，由勞動部勞工保險局辦理；貸款予農民健康保險辦理短期週轉之利息收入編列</t>
    </r>
    <r>
      <rPr>
        <sz val="12"/>
        <rFont val="Times New Roman"/>
        <family val="1"/>
      </rPr>
      <t>13,818</t>
    </r>
    <r>
      <rPr>
        <sz val="12"/>
        <rFont val="標楷體"/>
        <family val="4"/>
        <charset val="136"/>
      </rPr>
      <t>千元，由勞動部勞動基金運用局辦理。</t>
    </r>
    <phoneticPr fontId="5" type="noConversion"/>
  </si>
  <si>
    <r>
      <rPr>
        <sz val="13"/>
        <rFont val="標楷體"/>
        <family val="4"/>
        <charset val="136"/>
      </rPr>
      <t>（一）租金及權利金收入</t>
    </r>
    <r>
      <rPr>
        <sz val="13"/>
        <rFont val="Times New Roman"/>
        <family val="1"/>
      </rPr>
      <t>280,944</t>
    </r>
    <r>
      <rPr>
        <sz val="13"/>
        <rFont val="標楷體"/>
        <family val="4"/>
        <charset val="136"/>
      </rPr>
      <t>千元，係基金出租投資性不動產所獲得之收入等。</t>
    </r>
    <phoneticPr fontId="5" type="noConversion"/>
  </si>
  <si>
    <r>
      <rPr>
        <sz val="13"/>
        <rFont val="標楷體"/>
        <family val="4"/>
        <charset val="136"/>
      </rPr>
      <t>（一）出租資產成本</t>
    </r>
    <r>
      <rPr>
        <sz val="13"/>
        <rFont val="Times New Roman"/>
        <family val="1"/>
      </rPr>
      <t>39,738</t>
    </r>
    <r>
      <rPr>
        <sz val="13"/>
        <rFont val="標楷體"/>
        <family val="4"/>
        <charset val="136"/>
      </rPr>
      <t xml:space="preserve">千元，係提列投資取得不動產之折舊及基金不動產鑑價費用、
</t>
    </r>
    <r>
      <rPr>
        <sz val="13"/>
        <rFont val="Times New Roman"/>
        <family val="1"/>
      </rPr>
      <t xml:space="preserve">            </t>
    </r>
    <r>
      <rPr>
        <sz val="13"/>
        <rFont val="標楷體"/>
        <family val="4"/>
        <charset val="136"/>
      </rPr>
      <t>基金投資不動產之地價稅及房屋修護費用等</t>
    </r>
    <r>
      <rPr>
        <sz val="13"/>
        <rFont val="新細明體"/>
        <family val="1"/>
        <charset val="136"/>
      </rPr>
      <t>。</t>
    </r>
    <phoneticPr fontId="5" type="noConversion"/>
  </si>
  <si>
    <r>
      <rPr>
        <sz val="13"/>
        <rFont val="標楷體"/>
        <family val="4"/>
        <charset val="136"/>
      </rPr>
      <t>四、本年度業務外費用</t>
    </r>
    <r>
      <rPr>
        <sz val="13"/>
        <rFont val="Times New Roman"/>
        <family val="1"/>
      </rPr>
      <t>73</t>
    </r>
    <r>
      <rPr>
        <sz val="13"/>
        <rFont val="標楷體"/>
        <family val="4"/>
        <charset val="136"/>
      </rPr>
      <t>千元，係應付保管款滿</t>
    </r>
    <r>
      <rPr>
        <sz val="13"/>
        <rFont val="Times New Roman"/>
        <family val="1"/>
      </rPr>
      <t>4</t>
    </r>
    <r>
      <rPr>
        <sz val="13"/>
        <rFont val="標楷體"/>
        <family val="4"/>
        <charset val="136"/>
      </rPr>
      <t>年轉雜項收入後再提出申請等</t>
    </r>
    <r>
      <rPr>
        <sz val="13"/>
        <rFont val="新細明體"/>
        <family val="1"/>
        <charset val="136"/>
      </rPr>
      <t>。</t>
    </r>
    <phoneticPr fontId="5" type="noConversion"/>
  </si>
  <si>
    <r>
      <rPr>
        <sz val="9"/>
        <rFont val="標楷體"/>
        <family val="4"/>
        <charset val="136"/>
      </rPr>
      <t>註：本年度信託代理與保證資產（負債）預計為</t>
    </r>
    <r>
      <rPr>
        <sz val="9"/>
        <rFont val="Times New Roman"/>
        <family val="1"/>
      </rPr>
      <t>235,328</t>
    </r>
    <r>
      <rPr>
        <sz val="9"/>
        <rFont val="標楷體"/>
        <family val="4"/>
        <charset val="136"/>
      </rPr>
      <t>千元，係包括（應付）保證品</t>
    </r>
    <r>
      <rPr>
        <sz val="9"/>
        <rFont val="Times New Roman"/>
        <family val="1"/>
      </rPr>
      <t>72,250</t>
    </r>
    <r>
      <rPr>
        <sz val="9"/>
        <rFont val="標楷體"/>
        <family val="4"/>
        <charset val="136"/>
      </rPr>
      <t>千元及應收（受託）代收款</t>
    </r>
    <r>
      <rPr>
        <sz val="9"/>
        <rFont val="Times New Roman"/>
        <family val="1"/>
      </rPr>
      <t xml:space="preserve">
           163,078</t>
    </r>
    <r>
      <rPr>
        <sz val="9"/>
        <rFont val="標楷體"/>
        <family val="4"/>
        <charset val="136"/>
      </rPr>
      <t xml:space="preserve">千元。
</t>
    </r>
    <r>
      <rPr>
        <sz val="9"/>
        <rFont val="Times New Roman"/>
        <family val="1"/>
      </rPr>
      <t xml:space="preserve">      </t>
    </r>
    <phoneticPr fontId="5" type="noConversion"/>
  </si>
  <si>
    <r>
      <t>5.</t>
    </r>
    <r>
      <rPr>
        <sz val="12"/>
        <rFont val="標楷體"/>
        <family val="4"/>
        <charset val="136"/>
      </rPr>
      <t>流動資產淨減</t>
    </r>
    <phoneticPr fontId="5" type="noConversion"/>
  </si>
  <si>
    <t>勞動部勞工保險局</t>
    <phoneticPr fontId="5" type="noConversion"/>
  </si>
  <si>
    <r>
      <rPr>
        <sz val="7.5"/>
        <rFont val="標楷體"/>
        <family val="4"/>
        <charset val="136"/>
      </rPr>
      <t>註：本年度信託代理與保證資產（負債）預計為</t>
    </r>
    <r>
      <rPr>
        <sz val="7.5"/>
        <rFont val="Times New Roman"/>
        <family val="1"/>
      </rPr>
      <t>14,691</t>
    </r>
    <r>
      <rPr>
        <sz val="7.5"/>
        <rFont val="標楷體"/>
        <family val="4"/>
        <charset val="136"/>
      </rPr>
      <t xml:space="preserve">千元，係應收（受託）代收款。
</t>
    </r>
    <r>
      <rPr>
        <sz val="7.5"/>
        <rFont val="Times New Roman"/>
        <family val="1"/>
      </rPr>
      <t xml:space="preserve">        </t>
    </r>
    <r>
      <rPr>
        <sz val="7.5"/>
        <rFont val="標楷體"/>
        <family val="4"/>
        <charset val="136"/>
      </rPr>
      <t xml:space="preserve">
</t>
    </r>
    <r>
      <rPr>
        <sz val="7.5"/>
        <rFont val="Times New Roman"/>
        <family val="1"/>
      </rPr>
      <t xml:space="preserve">            
         </t>
    </r>
    <r>
      <rPr>
        <sz val="7.5"/>
        <rFont val="標楷體"/>
        <family val="4"/>
        <charset val="136"/>
      </rPr>
      <t xml:space="preserve">
</t>
    </r>
    <r>
      <rPr>
        <sz val="7.5"/>
        <rFont val="Times New Roman"/>
        <family val="1"/>
      </rPr>
      <t xml:space="preserve">        </t>
    </r>
    <r>
      <rPr>
        <sz val="7.5"/>
        <rFont val="標楷體"/>
        <family val="4"/>
        <charset val="136"/>
      </rPr>
      <t xml:space="preserve">
</t>
    </r>
    <phoneticPr fontId="5" type="noConversion"/>
  </si>
  <si>
    <t>　　收回責任準備</t>
    <phoneticPr fontId="5" type="noConversion"/>
  </si>
  <si>
    <r>
      <t>收取利息</t>
    </r>
    <r>
      <rPr>
        <sz val="12"/>
        <rFont val="Times New Roman"/>
        <family val="1"/>
      </rPr>
      <t>3</t>
    </r>
    <r>
      <rPr>
        <sz val="12"/>
        <rFont val="標楷體"/>
        <family val="4"/>
        <charset val="136"/>
      </rPr>
      <t>千元。</t>
    </r>
    <phoneticPr fontId="5" type="noConversion"/>
  </si>
  <si>
    <r>
      <t>收取利息</t>
    </r>
    <r>
      <rPr>
        <sz val="12"/>
        <rFont val="Times New Roman"/>
        <family val="1"/>
      </rPr>
      <t>184</t>
    </r>
    <r>
      <rPr>
        <sz val="12"/>
        <rFont val="標楷體"/>
        <family val="4"/>
        <charset val="136"/>
      </rPr>
      <t>千元。</t>
    </r>
    <phoneticPr fontId="5" type="noConversion"/>
  </si>
  <si>
    <r>
      <rPr>
        <sz val="12"/>
        <rFont val="標楷體"/>
        <family val="4"/>
        <charset val="136"/>
      </rPr>
      <t>支付利息</t>
    </r>
    <r>
      <rPr>
        <sz val="12"/>
        <rFont val="Times New Roman"/>
        <family val="1"/>
      </rPr>
      <t>13,818</t>
    </r>
    <r>
      <rPr>
        <sz val="12"/>
        <rFont val="標楷體"/>
        <family val="4"/>
        <charset val="136"/>
      </rPr>
      <t>千元。</t>
    </r>
    <phoneticPr fontId="5" type="noConversion"/>
  </si>
  <si>
    <r>
      <rPr>
        <sz val="12"/>
        <rFont val="標楷體"/>
        <family val="4"/>
        <charset val="136"/>
      </rPr>
      <t>係減少短期債務</t>
    </r>
    <r>
      <rPr>
        <sz val="12"/>
        <rFont val="Times New Roman"/>
        <family val="1"/>
      </rPr>
      <t>347,000</t>
    </r>
    <r>
      <rPr>
        <sz val="12"/>
        <rFont val="標楷體"/>
        <family val="4"/>
        <charset val="136"/>
      </rPr>
      <t>千元。</t>
    </r>
    <phoneticPr fontId="5" type="noConversion"/>
  </si>
  <si>
    <r>
      <t>3.</t>
    </r>
    <r>
      <rPr>
        <sz val="12"/>
        <rFont val="標楷體"/>
        <family val="4"/>
        <charset val="136"/>
      </rPr>
      <t>流動資產淨增</t>
    </r>
    <phoneticPr fontId="5" type="noConversion"/>
  </si>
  <si>
    <r>
      <t>收取利息</t>
    </r>
    <r>
      <rPr>
        <sz val="12"/>
        <rFont val="Times New Roman"/>
        <family val="1"/>
      </rPr>
      <t>421</t>
    </r>
    <r>
      <rPr>
        <sz val="12"/>
        <rFont val="標楷體"/>
        <family val="4"/>
        <charset val="136"/>
      </rPr>
      <t>千元。</t>
    </r>
    <phoneticPr fontId="5"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</si>
  <si>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phoneticPr fontId="5" type="noConversion"/>
  </si>
  <si>
    <r>
      <t xml:space="preserve">              </t>
    </r>
    <r>
      <rPr>
        <sz val="12"/>
        <rFont val="標楷體"/>
        <family val="4"/>
        <charset val="136"/>
      </rPr>
      <t>中華民國</t>
    </r>
    <r>
      <rPr>
        <sz val="12"/>
        <rFont val="Times New Roman"/>
        <family val="1"/>
      </rPr>
      <t xml:space="preserve">      111</t>
    </r>
    <r>
      <rPr>
        <sz val="12"/>
        <rFont val="標楷體"/>
        <family val="4"/>
        <charset val="136"/>
      </rPr>
      <t>年度</t>
    </r>
    <phoneticPr fontId="5" type="noConversion"/>
  </si>
  <si>
    <r>
      <rPr>
        <sz val="12"/>
        <rFont val="標楷體"/>
        <family val="4"/>
        <charset val="136"/>
      </rPr>
      <t>合計</t>
    </r>
    <phoneticPr fontId="5" type="noConversion"/>
  </si>
  <si>
    <t>　水電費</t>
    <phoneticPr fontId="5" type="noConversion"/>
  </si>
  <si>
    <t>　郵電費</t>
    <phoneticPr fontId="5" type="noConversion"/>
  </si>
  <si>
    <t>　旅運費</t>
    <phoneticPr fontId="5" type="noConversion"/>
  </si>
  <si>
    <t>　修理保養及保固費</t>
    <phoneticPr fontId="5" type="noConversion"/>
  </si>
  <si>
    <t>　使用材料費</t>
    <phoneticPr fontId="5" type="noConversion"/>
  </si>
  <si>
    <t>　用品消耗</t>
    <phoneticPr fontId="5" type="noConversion"/>
  </si>
  <si>
    <t>租金與利息</t>
    <phoneticPr fontId="5" type="noConversion"/>
  </si>
  <si>
    <t>　房租</t>
    <phoneticPr fontId="5" type="noConversion"/>
  </si>
  <si>
    <t>　交通及運輸設備租金</t>
    <phoneticPr fontId="5" type="noConversion"/>
  </si>
  <si>
    <t>　利息</t>
    <phoneticPr fontId="5" type="noConversion"/>
  </si>
  <si>
    <t>折舊、折耗及攤銷</t>
    <phoneticPr fontId="5" type="noConversion"/>
  </si>
  <si>
    <t>　投資性不動產折舊</t>
    <phoneticPr fontId="5" type="noConversion"/>
  </si>
  <si>
    <t>　攤銷</t>
    <phoneticPr fontId="5" type="noConversion"/>
  </si>
  <si>
    <t>稅捐與規費(強制費)</t>
    <phoneticPr fontId="5" type="noConversion"/>
  </si>
  <si>
    <t>　土地稅</t>
    <phoneticPr fontId="5" type="noConversion"/>
  </si>
  <si>
    <t>　房屋稅</t>
    <phoneticPr fontId="5" type="noConversion"/>
  </si>
  <si>
    <t>　規費</t>
    <phoneticPr fontId="5" type="noConversion"/>
  </si>
  <si>
    <t>會費、捐助、補助、分攤、救助（濟）與交流活動費</t>
    <phoneticPr fontId="5" type="noConversion"/>
  </si>
  <si>
    <t>　會費</t>
    <phoneticPr fontId="5" type="noConversion"/>
  </si>
  <si>
    <t>　捐助、補助與獎助</t>
    <phoneticPr fontId="5" type="noConversion"/>
  </si>
  <si>
    <t>短絀、賠償與保險給付</t>
    <phoneticPr fontId="5" type="noConversion"/>
  </si>
  <si>
    <t>　各項短絀</t>
    <phoneticPr fontId="5" type="noConversion"/>
  </si>
  <si>
    <t>　保險給付</t>
    <phoneticPr fontId="5" type="noConversion"/>
  </si>
  <si>
    <t>　提存</t>
    <phoneticPr fontId="5" type="noConversion"/>
  </si>
  <si>
    <t>其他</t>
    <phoneticPr fontId="5" type="noConversion"/>
  </si>
  <si>
    <t>　其他費用</t>
    <phoneticPr fontId="5" type="noConversion"/>
  </si>
  <si>
    <t>總　　　　　計</t>
    <phoneticPr fontId="5" type="noConversion"/>
  </si>
  <si>
    <r>
      <rPr>
        <sz val="11.5"/>
        <rFont val="標楷體"/>
        <family val="4"/>
        <charset val="136"/>
      </rPr>
      <t>平均月投保
薪資</t>
    </r>
    <r>
      <rPr>
        <sz val="11.5"/>
        <rFont val="Times New Roman"/>
        <family val="1"/>
      </rPr>
      <t xml:space="preserve"> (</t>
    </r>
    <r>
      <rPr>
        <sz val="11.5"/>
        <rFont val="標楷體"/>
        <family val="4"/>
        <charset val="136"/>
      </rPr>
      <t>元</t>
    </r>
    <r>
      <rPr>
        <sz val="11.5"/>
        <rFont val="Times New Roman"/>
        <family val="1"/>
      </rPr>
      <t>)</t>
    </r>
    <phoneticPr fontId="5"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</si>
  <si>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已領老年給付勞工</t>
    </r>
    <r>
      <rPr>
        <sz val="12"/>
        <rFont val="Times New Roman"/>
        <family val="1"/>
      </rPr>
      <t xml:space="preserve"> </t>
    </r>
    <phoneticPr fontId="22" type="noConversion"/>
  </si>
  <si>
    <r>
      <rPr>
        <sz val="12"/>
        <rFont val="標楷體"/>
        <family val="4"/>
        <charset val="136"/>
      </rPr>
      <t>　　　</t>
    </r>
    <r>
      <rPr>
        <sz val="12"/>
        <rFont val="Times New Roman"/>
        <family val="1"/>
      </rPr>
      <t xml:space="preserve">   </t>
    </r>
    <r>
      <rPr>
        <sz val="12"/>
        <rFont val="標楷體"/>
        <family val="4"/>
        <charset val="136"/>
      </rPr>
      <t>一般勞工</t>
    </r>
    <phoneticPr fontId="22" type="noConversion"/>
  </si>
  <si>
    <r>
      <rPr>
        <sz val="12"/>
        <rFont val="標楷體"/>
        <family val="4"/>
        <charset val="136"/>
      </rPr>
      <t>　</t>
    </r>
    <r>
      <rPr>
        <sz val="12"/>
        <rFont val="Times New Roman"/>
        <family val="1"/>
      </rPr>
      <t xml:space="preserve">       </t>
    </r>
    <r>
      <rPr>
        <sz val="12"/>
        <rFont val="標楷體"/>
        <family val="4"/>
        <charset val="136"/>
      </rPr>
      <t>門診費用</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</si>
  <si>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已領老年給付勞工</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</si>
  <si>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已領老年給付勞工</t>
    </r>
    <r>
      <rPr>
        <sz val="12"/>
        <rFont val="Times New Roman"/>
        <family val="1"/>
      </rPr>
      <t xml:space="preserve">    </t>
    </r>
    <phoneticPr fontId="22" type="noConversion"/>
  </si>
  <si>
    <r>
      <rPr>
        <sz val="12"/>
        <rFont val="標楷體"/>
        <family val="4"/>
        <charset val="136"/>
      </rPr>
      <t>　　　　</t>
    </r>
    <r>
      <rPr>
        <sz val="12"/>
        <rFont val="Times New Roman"/>
        <family val="1"/>
      </rPr>
      <t xml:space="preserve">   </t>
    </r>
    <r>
      <rPr>
        <sz val="12"/>
        <rFont val="標楷體"/>
        <family val="4"/>
        <charset val="136"/>
      </rPr>
      <t>遺屬年金</t>
    </r>
    <phoneticPr fontId="22" type="noConversion"/>
  </si>
  <si>
    <r>
      <rPr>
        <sz val="12"/>
        <rFont val="標楷體"/>
        <family val="4"/>
        <charset val="136"/>
      </rPr>
      <t>　　　</t>
    </r>
    <r>
      <rPr>
        <sz val="12"/>
        <rFont val="Times New Roman"/>
        <family val="1"/>
      </rPr>
      <t xml:space="preserve">   </t>
    </r>
    <r>
      <rPr>
        <sz val="12"/>
        <rFont val="標楷體"/>
        <family val="4"/>
        <charset val="136"/>
      </rPr>
      <t>已領老年給付勞工</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</si>
  <si>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一次金</t>
    </r>
    <phoneticPr fontId="22" type="noConversion"/>
  </si>
  <si>
    <r>
      <rPr>
        <sz val="12"/>
        <rFont val="標楷體"/>
        <family val="4"/>
        <charset val="136"/>
      </rPr>
      <t>　　</t>
    </r>
    <r>
      <rPr>
        <sz val="12"/>
        <rFont val="Times New Roman"/>
        <family val="1"/>
      </rPr>
      <t xml:space="preserve">       </t>
    </r>
    <r>
      <rPr>
        <sz val="12"/>
        <rFont val="標楷體"/>
        <family val="4"/>
        <charset val="136"/>
      </rPr>
      <t>一般勞工</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</si>
  <si>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已領老年給付勞工</t>
    </r>
    <r>
      <rPr>
        <sz val="12"/>
        <rFont val="Times New Roman"/>
        <family val="1"/>
      </rPr>
      <t xml:space="preserve">  </t>
    </r>
    <phoneticPr fontId="22" type="noConversion"/>
  </si>
  <si>
    <r>
      <rPr>
        <sz val="12"/>
        <rFont val="標楷體"/>
        <family val="4"/>
        <charset val="136"/>
      </rPr>
      <t>　　　</t>
    </r>
    <r>
      <rPr>
        <sz val="12"/>
        <rFont val="Times New Roman"/>
        <family val="1"/>
      </rPr>
      <t xml:space="preserve">    </t>
    </r>
    <r>
      <rPr>
        <sz val="12"/>
        <rFont val="標楷體"/>
        <family val="4"/>
        <charset val="136"/>
      </rPr>
      <t>一般勞工</t>
    </r>
    <phoneticPr fontId="22" type="noConversion"/>
  </si>
  <si>
    <r>
      <t xml:space="preserve">           </t>
    </r>
    <r>
      <rPr>
        <sz val="12"/>
        <rFont val="標楷體"/>
        <family val="4"/>
        <charset val="136"/>
      </rPr>
      <t>退保後職業病失能津貼</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</si>
  <si>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年金</t>
    </r>
    <phoneticPr fontId="22" type="noConversion"/>
  </si>
  <si>
    <r>
      <rPr>
        <sz val="12"/>
        <rFont val="標楷體"/>
        <family val="4"/>
        <charset val="136"/>
      </rPr>
      <t>　　　</t>
    </r>
    <r>
      <rPr>
        <sz val="12"/>
        <rFont val="Times New Roman"/>
        <family val="1"/>
      </rPr>
      <t xml:space="preserve">       </t>
    </r>
    <r>
      <rPr>
        <sz val="12"/>
        <rFont val="標楷體"/>
        <family val="4"/>
        <charset val="136"/>
      </rPr>
      <t>差額金</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</si>
  <si>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一次金</t>
    </r>
    <phoneticPr fontId="22" type="noConversion"/>
  </si>
  <si>
    <r>
      <rPr>
        <sz val="12"/>
        <rFont val="標楷體"/>
        <family val="4"/>
        <charset val="136"/>
      </rPr>
      <t>　</t>
    </r>
    <r>
      <rPr>
        <sz val="12"/>
        <rFont val="Times New Roman"/>
        <family val="1"/>
      </rPr>
      <t xml:space="preserve">               </t>
    </r>
    <r>
      <rPr>
        <sz val="12"/>
        <rFont val="標楷體"/>
        <family val="4"/>
        <charset val="136"/>
      </rPr>
      <t>年金</t>
    </r>
    <phoneticPr fontId="22" type="noConversion"/>
  </si>
  <si>
    <r>
      <rPr>
        <sz val="12"/>
        <rFont val="標楷體"/>
        <family val="4"/>
        <charset val="136"/>
      </rPr>
      <t>　</t>
    </r>
    <r>
      <rPr>
        <sz val="12"/>
        <rFont val="Times New Roman"/>
        <family val="1"/>
      </rPr>
      <t xml:space="preserve">               </t>
    </r>
    <r>
      <rPr>
        <sz val="12"/>
        <rFont val="標楷體"/>
        <family val="4"/>
        <charset val="136"/>
      </rPr>
      <t>差額金</t>
    </r>
    <phoneticPr fontId="22" type="noConversion"/>
  </si>
  <si>
    <r>
      <rPr>
        <sz val="12"/>
        <rFont val="標楷體"/>
        <family val="4"/>
        <charset val="136"/>
      </rPr>
      <t>　</t>
    </r>
    <r>
      <rPr>
        <sz val="12"/>
        <rFont val="Times New Roman"/>
        <family val="1"/>
      </rPr>
      <t xml:space="preserve">               </t>
    </r>
    <r>
      <rPr>
        <sz val="12"/>
        <rFont val="標楷體"/>
        <family val="4"/>
        <charset val="136"/>
      </rPr>
      <t>一次金</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</si>
  <si>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已領老年給付勞工</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</si>
  <si>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一般勞工</t>
    </r>
    <phoneticPr fontId="22" type="noConversion"/>
  </si>
  <si>
    <t>　　  勞職保及保護</t>
    <phoneticPr fontId="5" type="noConversion"/>
  </si>
  <si>
    <r>
      <t xml:space="preserve">  </t>
    </r>
    <r>
      <rPr>
        <b/>
        <sz val="12"/>
        <rFont val="標楷體"/>
        <family val="4"/>
        <charset val="136"/>
      </rPr>
      <t>職業災害勞工保護</t>
    </r>
    <phoneticPr fontId="22" type="noConversion"/>
  </si>
  <si>
    <r>
      <t xml:space="preserve">  </t>
    </r>
    <r>
      <rPr>
        <b/>
        <sz val="12"/>
        <rFont val="標楷體"/>
        <family val="4"/>
        <charset val="136"/>
      </rPr>
      <t>就業保險</t>
    </r>
    <phoneticPr fontId="22" type="noConversion"/>
  </si>
  <si>
    <r>
      <t xml:space="preserve">    </t>
    </r>
    <r>
      <rPr>
        <b/>
        <sz val="12"/>
        <rFont val="標楷體"/>
        <family val="4"/>
        <charset val="136"/>
      </rPr>
      <t>勞工保險</t>
    </r>
    <phoneticPr fontId="22" type="noConversion"/>
  </si>
  <si>
    <r>
      <rPr>
        <b/>
        <sz val="12"/>
        <rFont val="標楷體"/>
        <family val="4"/>
        <charset val="136"/>
      </rPr>
      <t xml:space="preserve">   醫療給付</t>
    </r>
    <r>
      <rPr>
        <b/>
        <sz val="12"/>
        <rFont val="Times New Roman"/>
        <family val="1"/>
      </rPr>
      <t xml:space="preserve"> </t>
    </r>
    <phoneticPr fontId="22" type="noConversion"/>
  </si>
  <si>
    <r>
      <t xml:space="preserve">           </t>
    </r>
    <r>
      <rPr>
        <sz val="12"/>
        <rFont val="標楷體"/>
        <family val="4"/>
        <charset val="136"/>
      </rPr>
      <t>未加保失能補助</t>
    </r>
    <phoneticPr fontId="22" type="noConversion"/>
  </si>
  <si>
    <r>
      <t xml:space="preserve">           </t>
    </r>
    <r>
      <rPr>
        <sz val="12"/>
        <rFont val="標楷體"/>
        <family val="4"/>
        <charset val="136"/>
      </rPr>
      <t>委託鑑定費用</t>
    </r>
    <phoneticPr fontId="22" type="noConversion"/>
  </si>
  <si>
    <r>
      <t xml:space="preserve">           </t>
    </r>
    <r>
      <rPr>
        <sz val="12"/>
        <rFont val="標楷體"/>
        <family val="4"/>
        <charset val="136"/>
      </rPr>
      <t>未加保死亡補助</t>
    </r>
    <phoneticPr fontId="22" type="noConversion"/>
  </si>
  <si>
    <r>
      <t xml:space="preserve">           </t>
    </r>
    <r>
      <rPr>
        <sz val="12"/>
        <rFont val="標楷體"/>
        <family val="4"/>
        <charset val="136"/>
      </rPr>
      <t>退保後職業病死亡津貼</t>
    </r>
    <phoneticPr fontId="22" type="noConversion"/>
  </si>
  <si>
    <r>
      <t xml:space="preserve">           </t>
    </r>
    <r>
      <rPr>
        <sz val="12"/>
        <rFont val="標楷體"/>
        <family val="4"/>
        <charset val="136"/>
      </rPr>
      <t>病歷查詢費</t>
    </r>
    <phoneticPr fontId="22" type="noConversion"/>
  </si>
  <si>
    <r>
      <t xml:space="preserve">           </t>
    </r>
    <r>
      <rPr>
        <sz val="12"/>
        <rFont val="標楷體"/>
        <family val="4"/>
        <charset val="136"/>
      </rPr>
      <t>特約醫師審查費</t>
    </r>
    <phoneticPr fontId="22" type="noConversion"/>
  </si>
  <si>
    <t>職業災害勞工保護</t>
    <phoneticPr fontId="22" type="noConversion"/>
  </si>
  <si>
    <t>職業災害預防</t>
    <phoneticPr fontId="22" type="noConversion"/>
  </si>
  <si>
    <t>強化職業衛生危害調查、評估、控制技術與管理效能及系統</t>
    <phoneticPr fontId="22" type="noConversion"/>
  </si>
  <si>
    <t>提升勞工健康檢查品質與資訊管理</t>
    <phoneticPr fontId="22" type="noConversion"/>
  </si>
  <si>
    <t>前RCA勞工健康追蹤檢查</t>
    <phoneticPr fontId="22" type="noConversion"/>
  </si>
  <si>
    <t>石化及化學工廠製程安全管理輔導</t>
    <phoneticPr fontId="22" type="noConversion"/>
  </si>
  <si>
    <t>營造業臨時性作業勞工安全監督輔導改善</t>
    <phoneticPr fontId="22" type="noConversion"/>
  </si>
  <si>
    <t>老舊危險性機械設備檢測</t>
    <phoneticPr fontId="22" type="noConversion"/>
  </si>
  <si>
    <t>推動機械設備器具安全驗證，新購安全機械及改善既有機械安全</t>
    <phoneticPr fontId="22" type="noConversion"/>
  </si>
  <si>
    <t>提升勞工職災預防及工安意識</t>
    <phoneticPr fontId="22" type="noConversion"/>
  </si>
  <si>
    <t>提升職業安全衛生知能及教育訓練品質</t>
    <phoneticPr fontId="22" type="noConversion"/>
  </si>
  <si>
    <t>機械災害預防及工業區職業安全衛生促進</t>
    <phoneticPr fontId="22" type="noConversion"/>
  </si>
  <si>
    <t>營造業宣導輔導檢查及本質安全促進</t>
    <phoneticPr fontId="22" type="noConversion"/>
  </si>
  <si>
    <t>高風險事業單位輔導</t>
    <phoneticPr fontId="22" type="noConversion"/>
  </si>
  <si>
    <t>職業災害勞工重建</t>
    <phoneticPr fontId="22" type="noConversion"/>
  </si>
  <si>
    <t>職業傷病防治網絡與傷病通報</t>
    <phoneticPr fontId="22" type="noConversion"/>
  </si>
  <si>
    <t>職災勞工復工及重返職場服務</t>
    <phoneticPr fontId="22" type="noConversion"/>
  </si>
  <si>
    <t>勞職保及保護</t>
    <phoneticPr fontId="22" type="noConversion"/>
  </si>
  <si>
    <r>
      <t xml:space="preserve">           </t>
    </r>
    <r>
      <rPr>
        <sz val="12"/>
        <rFont val="標楷體"/>
        <family val="4"/>
        <charset val="136"/>
      </rPr>
      <t xml:space="preserve">補助職業災害勞工醫療期間
</t>
    </r>
    <r>
      <rPr>
        <sz val="12"/>
        <rFont val="Times New Roman"/>
        <family val="1"/>
      </rPr>
      <t xml:space="preserve">           </t>
    </r>
    <r>
      <rPr>
        <sz val="12"/>
        <rFont val="標楷體"/>
        <family val="4"/>
        <charset val="136"/>
      </rPr>
      <t xml:space="preserve">退保自願參加勞工保險者保
</t>
    </r>
    <r>
      <rPr>
        <sz val="12"/>
        <rFont val="Times New Roman"/>
        <family val="1"/>
      </rPr>
      <t xml:space="preserve">           </t>
    </r>
    <r>
      <rPr>
        <sz val="12"/>
        <rFont val="標楷體"/>
        <family val="4"/>
        <charset val="136"/>
      </rPr>
      <t>費</t>
    </r>
    <phoneticPr fontId="22" type="noConversion"/>
  </si>
  <si>
    <t>預防職業病健康檢查</t>
    <phoneticPr fontId="22" type="noConversion"/>
  </si>
  <si>
    <r>
      <rPr>
        <sz val="11.5"/>
        <rFont val="標楷體"/>
        <family val="4"/>
        <charset val="136"/>
      </rPr>
      <t>保險費
率</t>
    </r>
    <r>
      <rPr>
        <sz val="11.5"/>
        <rFont val="Times New Roman"/>
        <family val="1"/>
      </rPr>
      <t>(%)</t>
    </r>
    <phoneticPr fontId="5" type="noConversion"/>
  </si>
  <si>
    <t>科目及業務項目</t>
    <phoneticPr fontId="5" type="noConversion"/>
  </si>
  <si>
    <r>
      <rPr>
        <sz val="12"/>
        <rFont val="標楷體"/>
        <family val="4"/>
        <charset val="136"/>
      </rPr>
      <t>預算數</t>
    </r>
    <phoneticPr fontId="5" type="noConversion"/>
  </si>
  <si>
    <r>
      <rPr>
        <sz val="11.5"/>
        <rFont val="標楷體"/>
        <family val="4"/>
        <charset val="136"/>
      </rPr>
      <t xml:space="preserve">投保人數
</t>
    </r>
    <r>
      <rPr>
        <sz val="11.5"/>
        <rFont val="Times New Roman"/>
        <family val="1"/>
      </rPr>
      <t>(</t>
    </r>
    <r>
      <rPr>
        <sz val="11.5"/>
        <rFont val="標楷體"/>
        <family val="4"/>
        <charset val="136"/>
      </rPr>
      <t>人</t>
    </r>
    <r>
      <rPr>
        <sz val="11.5"/>
        <rFont val="Times New Roman"/>
        <family val="1"/>
      </rPr>
      <t>)</t>
    </r>
    <phoneticPr fontId="5" type="noConversion"/>
  </si>
  <si>
    <r>
      <rPr>
        <sz val="11.5"/>
        <rFont val="標楷體"/>
        <family val="4"/>
        <charset val="136"/>
      </rPr>
      <t>金額</t>
    </r>
    <phoneticPr fontId="5" type="noConversion"/>
  </si>
  <si>
    <t>保費收入</t>
    <phoneticPr fontId="5" type="noConversion"/>
  </si>
  <si>
    <t>　勞工保險</t>
    <phoneticPr fontId="5" type="noConversion"/>
  </si>
  <si>
    <t>1.</t>
    <phoneticPr fontId="5" type="noConversion"/>
  </si>
  <si>
    <t xml:space="preserve">  　保費收入</t>
    <phoneticPr fontId="5" type="noConversion"/>
  </si>
  <si>
    <t>　    產業勞工及交通公
      用事業之員工</t>
    <phoneticPr fontId="5" type="noConversion"/>
  </si>
  <si>
    <t xml:space="preserve">　    公司、行號之員工 </t>
    <phoneticPr fontId="5" type="noConversion"/>
  </si>
  <si>
    <t>2.</t>
    <phoneticPr fontId="5" type="noConversion"/>
  </si>
  <si>
    <t xml:space="preserve">　    新聞、文化、公益
      及合作事業之員工          </t>
    <phoneticPr fontId="5" type="noConversion"/>
  </si>
  <si>
    <t>　    政府機關及公、私
      立學校之員工</t>
    <phoneticPr fontId="5" type="noConversion"/>
  </si>
  <si>
    <t>3.</t>
    <phoneticPr fontId="5" type="noConversion"/>
  </si>
  <si>
    <t>　    受僱從事漁業生產
      之勞動者</t>
    <phoneticPr fontId="5" type="noConversion"/>
  </si>
  <si>
    <t>　    職業訓練機構接受
      訓練者</t>
    <phoneticPr fontId="5" type="noConversion"/>
  </si>
  <si>
    <t>　    職業勞工</t>
    <phoneticPr fontId="5" type="noConversion"/>
  </si>
  <si>
    <t>　    漁會之甲類會員</t>
    <phoneticPr fontId="5" type="noConversion"/>
  </si>
  <si>
    <t>　    其他各業勞工</t>
    <phoneticPr fontId="5" type="noConversion"/>
  </si>
  <si>
    <t>　    被裁減資遣員工</t>
    <phoneticPr fontId="5" type="noConversion"/>
  </si>
  <si>
    <t>　    外僱船員</t>
    <phoneticPr fontId="5" type="noConversion"/>
  </si>
  <si>
    <t>　    職災續保勞工</t>
    <phoneticPr fontId="5" type="noConversion"/>
  </si>
  <si>
    <t>4.</t>
    <phoneticPr fontId="5" type="noConversion"/>
  </si>
  <si>
    <t>　    已領取老年給付勞
      工再參加職業災害
      保險者</t>
    <phoneticPr fontId="5" type="noConversion"/>
  </si>
  <si>
    <t>　    育嬰續保人員</t>
    <phoneticPr fontId="5" type="noConversion"/>
  </si>
  <si>
    <t xml:space="preserve">    滯納金收入</t>
    <phoneticPr fontId="5" type="noConversion"/>
  </si>
  <si>
    <t>(2)</t>
    <phoneticPr fontId="5" type="noConversion"/>
  </si>
  <si>
    <t>　就業保險</t>
    <phoneticPr fontId="5" type="noConversion"/>
  </si>
  <si>
    <t xml:space="preserve">  　保費收入</t>
    <phoneticPr fontId="5" type="noConversion"/>
  </si>
  <si>
    <t>1.</t>
    <phoneticPr fontId="5" type="noConversion"/>
  </si>
  <si>
    <t xml:space="preserve">投保人數係參酌歷年統計資料就保人數均逐年穩定成長因素編列。
</t>
    <phoneticPr fontId="5" type="noConversion"/>
  </si>
  <si>
    <t>　    產業勞工及交通公
      用事業之員工</t>
    <phoneticPr fontId="5" type="noConversion"/>
  </si>
  <si>
    <t xml:space="preserve">　    公司、行號之員工          </t>
    <phoneticPr fontId="5" type="noConversion"/>
  </si>
  <si>
    <t>平均月投保薪資係參酌歷年統計資料編列。</t>
    <phoneticPr fontId="5" type="noConversion"/>
  </si>
  <si>
    <t xml:space="preserve">　    新聞、文化、公益
      及合作事業之員工  </t>
    <phoneticPr fontId="5" type="noConversion"/>
  </si>
  <si>
    <t>　    其他各業勞工</t>
    <phoneticPr fontId="5" type="noConversion"/>
  </si>
  <si>
    <t>　  滯納金收入</t>
    <phoneticPr fontId="5" type="noConversion"/>
  </si>
  <si>
    <t>　農保及農職保</t>
    <phoneticPr fontId="5" type="noConversion"/>
  </si>
  <si>
    <t>　  農保</t>
    <phoneticPr fontId="5" type="noConversion"/>
  </si>
  <si>
    <t xml:space="preserve">  　  保費收入</t>
    <phoneticPr fontId="5" type="noConversion"/>
  </si>
  <si>
    <t xml:space="preserve">      滯納金收入</t>
    <phoneticPr fontId="5" type="noConversion"/>
  </si>
  <si>
    <t>　  農職保</t>
    <phoneticPr fontId="5" type="noConversion"/>
  </si>
  <si>
    <t xml:space="preserve">  　  保費收入</t>
    <phoneticPr fontId="5" type="noConversion"/>
  </si>
  <si>
    <t>　勞職保及保護</t>
    <phoneticPr fontId="5" type="noConversion"/>
  </si>
  <si>
    <t xml:space="preserve">  　保費收入</t>
    <phoneticPr fontId="5" type="noConversion"/>
  </si>
  <si>
    <t>1.</t>
    <phoneticPr fontId="5" type="noConversion"/>
  </si>
  <si>
    <t>　    產業勞工及交通公
      用事業之員工</t>
    <phoneticPr fontId="5" type="noConversion"/>
  </si>
  <si>
    <t xml:space="preserve">　    公司、行號之員工 </t>
    <phoneticPr fontId="5" type="noConversion"/>
  </si>
  <si>
    <t xml:space="preserve">　    新聞、文化、公益
      及合作事業之員工          </t>
    <phoneticPr fontId="5" type="noConversion"/>
  </si>
  <si>
    <t>2.</t>
    <phoneticPr fontId="5" type="noConversion"/>
  </si>
  <si>
    <t>平均月投保薪資係參酌歷年勞工保險統計資料編列。</t>
    <phoneticPr fontId="5" type="noConversion"/>
  </si>
  <si>
    <t>　    政府機關及公、私
      立學校之員工</t>
    <phoneticPr fontId="5" type="noConversion"/>
  </si>
  <si>
    <t>　    其他各業勞工</t>
    <phoneticPr fontId="5" type="noConversion"/>
  </si>
  <si>
    <t>　    家庭傭用外籍幫傭
      與外籍看護工</t>
    <phoneticPr fontId="5" type="noConversion"/>
  </si>
  <si>
    <t>　    受僱從事漁業生產
      之勞動者</t>
    <phoneticPr fontId="5" type="noConversion"/>
  </si>
  <si>
    <t>　    職業勞工</t>
    <phoneticPr fontId="5" type="noConversion"/>
  </si>
  <si>
    <t>　    漁會之甲類會員</t>
    <phoneticPr fontId="5" type="noConversion"/>
  </si>
  <si>
    <t>　    職業訓練機構接受
      訓練者</t>
    <phoneticPr fontId="5" type="noConversion"/>
  </si>
  <si>
    <t>　    非登記有案事業單
      位之勞工，公告納
      為自願加保者</t>
    <phoneticPr fontId="5" type="noConversion"/>
  </si>
  <si>
    <t>　    外僱船員</t>
    <phoneticPr fontId="5" type="noConversion"/>
  </si>
  <si>
    <t>　    特別加保對象</t>
    <phoneticPr fontId="5" type="noConversion"/>
  </si>
  <si>
    <t>　    已領取老年給付勞
      工再參加勞職保及
      保護者</t>
    <phoneticPr fontId="5" type="noConversion"/>
  </si>
  <si>
    <t>　　    保險給付</t>
    <phoneticPr fontId="5" type="noConversion"/>
  </si>
  <si>
    <t xml:space="preserve"> 　   短絀、賠償與保險給付</t>
    <phoneticPr fontId="5" type="noConversion"/>
  </si>
  <si>
    <t xml:space="preserve">    雜項業務成本(未加保勞工)</t>
    <phoneticPr fontId="5" type="noConversion"/>
  </si>
  <si>
    <t xml:space="preserve">  職業災害勞工保護</t>
    <phoneticPr fontId="5" type="noConversion"/>
  </si>
  <si>
    <t xml:space="preserve">        利息</t>
    <phoneticPr fontId="5" type="noConversion"/>
  </si>
  <si>
    <t xml:space="preserve">      租金與利息</t>
    <phoneticPr fontId="5" type="noConversion"/>
  </si>
  <si>
    <t xml:space="preserve">    雜項業務成本(農保)</t>
    <phoneticPr fontId="5" type="noConversion"/>
  </si>
  <si>
    <t xml:space="preserve">  農保及農職保</t>
    <phoneticPr fontId="5" type="noConversion"/>
  </si>
  <si>
    <t xml:space="preserve">        其他費用</t>
    <phoneticPr fontId="5" type="noConversion"/>
  </si>
  <si>
    <t xml:space="preserve">      其他</t>
    <phoneticPr fontId="5" type="noConversion"/>
  </si>
  <si>
    <t xml:space="preserve">    雜項業務成本</t>
    <phoneticPr fontId="5" type="noConversion"/>
  </si>
  <si>
    <t xml:space="preserve">  就業保險</t>
    <phoneticPr fontId="5" type="noConversion"/>
  </si>
  <si>
    <t xml:space="preserve">    雜項業務成本(普通事故)</t>
    <phoneticPr fontId="5" type="noConversion"/>
  </si>
  <si>
    <t xml:space="preserve">  勞工保險</t>
    <phoneticPr fontId="5" type="noConversion"/>
  </si>
  <si>
    <t>其他業務成本</t>
    <phoneticPr fontId="5"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</si>
  <si>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5"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</si>
  <si>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5" type="noConversion"/>
  </si>
  <si>
    <r>
      <t xml:space="preserve">           </t>
    </r>
    <r>
      <rPr>
        <sz val="12"/>
        <rFont val="標楷體"/>
        <family val="4"/>
        <charset val="136"/>
      </rPr>
      <t>照護補助</t>
    </r>
    <phoneticPr fontId="22" type="noConversion"/>
  </si>
  <si>
    <r>
      <t xml:space="preserve">           </t>
    </r>
    <r>
      <rPr>
        <sz val="12"/>
        <rFont val="標楷體"/>
        <family val="4"/>
        <charset val="136"/>
      </rPr>
      <t>未加保照護補助</t>
    </r>
    <phoneticPr fontId="22" type="noConversion"/>
  </si>
  <si>
    <r>
      <t xml:space="preserve">           </t>
    </r>
    <r>
      <rPr>
        <sz val="12"/>
        <rFont val="標楷體"/>
        <family val="4"/>
        <charset val="136"/>
      </rPr>
      <t>退保後職業病醫療補助</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</si>
  <si>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遺屬年金</t>
    </r>
    <phoneticPr fontId="22" type="noConversion"/>
  </si>
  <si>
    <r>
      <rPr>
        <sz val="12"/>
        <rFont val="標楷體"/>
        <family val="4"/>
        <charset val="136"/>
      </rPr>
      <t>　　</t>
    </r>
    <r>
      <rPr>
        <sz val="12"/>
        <rFont val="Times New Roman"/>
        <family val="1"/>
      </rPr>
      <t xml:space="preserve">           </t>
    </r>
    <r>
      <rPr>
        <sz val="12"/>
        <rFont val="標楷體"/>
        <family val="4"/>
        <charset val="136"/>
      </rPr>
      <t>職災補償金</t>
    </r>
    <phoneticPr fontId="22" type="noConversion"/>
  </si>
  <si>
    <t>前RCA勞工健康追蹤檢查</t>
    <phoneticPr fontId="5" type="noConversion"/>
  </si>
  <si>
    <t>職業安全衛生全國巡迴推廣計畫</t>
  </si>
  <si>
    <t>職業安全衛生全國巡迴推廣計畫</t>
    <phoneticPr fontId="5" type="noConversion"/>
  </si>
  <si>
    <t>職場危害認知及工安意識促進活動</t>
    <phoneticPr fontId="5" type="noConversion"/>
  </si>
  <si>
    <t>職場危害認知及工安意識促進活動</t>
    <phoneticPr fontId="22" type="noConversion"/>
  </si>
  <si>
    <t>表面處理業危害監測採樣分析與資料庫建立</t>
  </si>
  <si>
    <t>　  勞職保及保護</t>
    <phoneticPr fontId="5" type="noConversion"/>
  </si>
  <si>
    <t>建構職業健康專業能量發展網絡，強化職場新興危害及高危害物質健康防護(II)</t>
    <phoneticPr fontId="22" type="noConversion"/>
  </si>
  <si>
    <r>
      <t xml:space="preserve">           </t>
    </r>
    <r>
      <rPr>
        <sz val="12"/>
        <rFont val="標楷體"/>
        <family val="4"/>
        <charset val="136"/>
      </rPr>
      <t>失蹤給付</t>
    </r>
    <phoneticPr fontId="22" type="noConversion"/>
  </si>
  <si>
    <t>捐助成立財團法人</t>
    <phoneticPr fontId="22" type="noConversion"/>
  </si>
  <si>
    <t>職業衛生與健康管理</t>
    <phoneticPr fontId="22" type="noConversion"/>
  </si>
  <si>
    <t>職業及機械設備安全輔導</t>
    <phoneticPr fontId="22" type="noConversion"/>
  </si>
  <si>
    <t>高風險產業職災預防輔導</t>
    <phoneticPr fontId="22" type="noConversion"/>
  </si>
  <si>
    <t>總  計</t>
    <phoneticPr fontId="5" type="noConversion"/>
  </si>
  <si>
    <t xml:space="preserve">  勞職保及保護</t>
    <phoneticPr fontId="5" type="noConversion"/>
  </si>
  <si>
    <t>台幣存款。</t>
    <phoneticPr fontId="5" type="noConversion"/>
  </si>
  <si>
    <t>1月至4月預估無案件。</t>
  </si>
  <si>
    <r>
      <t>預估</t>
    </r>
    <r>
      <rPr>
        <sz val="12"/>
        <rFont val="Times New Roman"/>
        <family val="1"/>
      </rPr>
      <t>8</t>
    </r>
    <r>
      <rPr>
        <sz val="12"/>
        <rFont val="標楷體"/>
        <family val="4"/>
        <charset val="136"/>
      </rPr>
      <t>件。</t>
    </r>
    <phoneticPr fontId="22" type="noConversion"/>
  </si>
  <si>
    <r>
      <t>預估</t>
    </r>
    <r>
      <rPr>
        <sz val="12"/>
        <rFont val="Times New Roman"/>
        <family val="1"/>
      </rPr>
      <t>4</t>
    </r>
    <r>
      <rPr>
        <sz val="12"/>
        <rFont val="標楷體"/>
        <family val="4"/>
        <charset val="136"/>
      </rPr>
      <t>件</t>
    </r>
    <r>
      <rPr>
        <sz val="12"/>
        <rFont val="細明體"/>
        <family val="3"/>
        <charset val="136"/>
      </rPr>
      <t>。</t>
    </r>
    <r>
      <rPr>
        <sz val="12"/>
        <rFont val="標楷體"/>
        <family val="4"/>
        <charset val="136"/>
      </rPr>
      <t/>
    </r>
    <phoneticPr fontId="22" type="noConversion"/>
  </si>
  <si>
    <r>
      <t>預估</t>
    </r>
    <r>
      <rPr>
        <sz val="12"/>
        <rFont val="Times New Roman"/>
        <family val="1"/>
      </rPr>
      <t>8</t>
    </r>
    <r>
      <rPr>
        <sz val="12"/>
        <rFont val="標楷體"/>
        <family val="4"/>
        <charset val="136"/>
      </rPr>
      <t>人次。</t>
    </r>
    <phoneticPr fontId="22" type="noConversion"/>
  </si>
  <si>
    <r>
      <t>預估</t>
    </r>
    <r>
      <rPr>
        <sz val="12"/>
        <rFont val="Times New Roman"/>
        <family val="1"/>
      </rPr>
      <t>160</t>
    </r>
    <r>
      <rPr>
        <sz val="12"/>
        <rFont val="標楷體"/>
        <family val="4"/>
        <charset val="136"/>
      </rPr>
      <t>人次。</t>
    </r>
    <phoneticPr fontId="22" type="noConversion"/>
  </si>
  <si>
    <r>
      <t>預估</t>
    </r>
    <r>
      <rPr>
        <sz val="12"/>
        <rFont val="Times New Roman"/>
        <family val="1"/>
      </rPr>
      <t>220</t>
    </r>
    <r>
      <rPr>
        <sz val="12"/>
        <rFont val="標楷體"/>
        <family val="4"/>
        <charset val="136"/>
      </rPr>
      <t>人次。</t>
    </r>
    <phoneticPr fontId="22" type="noConversion"/>
  </si>
  <si>
    <r>
      <t>預估</t>
    </r>
    <r>
      <rPr>
        <sz val="12"/>
        <rFont val="Times New Roman"/>
        <family val="1"/>
      </rPr>
      <t>1</t>
    </r>
    <r>
      <rPr>
        <sz val="12"/>
        <rFont val="標楷體"/>
        <family val="4"/>
        <charset val="136"/>
      </rPr>
      <t>人次。</t>
    </r>
    <phoneticPr fontId="22" type="noConversion"/>
  </si>
  <si>
    <r>
      <t>預估</t>
    </r>
    <r>
      <rPr>
        <sz val="12"/>
        <rFont val="Times New Roman"/>
        <family val="1"/>
      </rPr>
      <t>3</t>
    </r>
    <r>
      <rPr>
        <sz val="12"/>
        <rFont val="標楷體"/>
        <family val="4"/>
        <charset val="136"/>
      </rPr>
      <t>人次。</t>
    </r>
    <phoneticPr fontId="22" type="noConversion"/>
  </si>
  <si>
    <r>
      <t>預估</t>
    </r>
    <r>
      <rPr>
        <sz val="12"/>
        <rFont val="Times New Roman"/>
        <family val="1"/>
      </rPr>
      <t>150</t>
    </r>
    <r>
      <rPr>
        <sz val="12"/>
        <rFont val="標楷體"/>
        <family val="4"/>
        <charset val="136"/>
      </rPr>
      <t>人次。</t>
    </r>
    <phoneticPr fontId="22" type="noConversion"/>
  </si>
  <si>
    <r>
      <t>預估</t>
    </r>
    <r>
      <rPr>
        <sz val="12"/>
        <rFont val="Times New Roman"/>
        <family val="1"/>
      </rPr>
      <t>40</t>
    </r>
    <r>
      <rPr>
        <sz val="12"/>
        <rFont val="標楷體"/>
        <family val="4"/>
        <charset val="136"/>
      </rPr>
      <t>人次。</t>
    </r>
    <phoneticPr fontId="22" type="noConversion"/>
  </si>
  <si>
    <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xml:space="preserve">提升勞工職災預防及工安
</t>
    </r>
    <r>
      <rPr>
        <sz val="12"/>
        <rFont val="Times New Roman"/>
        <family val="1"/>
      </rPr>
      <t xml:space="preserve">                </t>
    </r>
    <r>
      <rPr>
        <sz val="12"/>
        <rFont val="標楷體"/>
        <family val="4"/>
        <charset val="136"/>
      </rPr>
      <t>意識</t>
    </r>
    <phoneticPr fontId="5" type="noConversion"/>
  </si>
  <si>
    <t>職業傷病預防</t>
    <phoneticPr fontId="22" type="noConversion"/>
  </si>
  <si>
    <t>職業傷病通報、職業災害勞工轉介及個案服務</t>
    <phoneticPr fontId="22" type="noConversion"/>
  </si>
  <si>
    <t>科目</t>
    <phoneticPr fontId="5" type="noConversion"/>
  </si>
  <si>
    <t>預算數</t>
    <phoneticPr fontId="5" type="noConversion"/>
  </si>
  <si>
    <t>預計執行內容</t>
    <phoneticPr fontId="5" type="noConversion"/>
  </si>
  <si>
    <t>業務支出部分</t>
    <phoneticPr fontId="5" type="noConversion"/>
  </si>
  <si>
    <t xml:space="preserve">  其他業務成本</t>
    <phoneticPr fontId="5" type="noConversion"/>
  </si>
  <si>
    <t>科　　　　目</t>
    <phoneticPr fontId="5" type="noConversion"/>
  </si>
  <si>
    <t>上年度最高</t>
    <phoneticPr fontId="5" type="noConversion"/>
  </si>
  <si>
    <r>
      <t>本年度增減</t>
    </r>
    <r>
      <rPr>
        <sz val="12"/>
        <rFont val="Times New Roman"/>
        <family val="1"/>
      </rPr>
      <t>(-)</t>
    </r>
    <r>
      <rPr>
        <sz val="12"/>
        <rFont val="標楷體"/>
        <family val="4"/>
        <charset val="136"/>
      </rPr>
      <t>數</t>
    </r>
    <phoneticPr fontId="5" type="noConversion"/>
  </si>
  <si>
    <t>本年度最高</t>
    <phoneticPr fontId="5" type="noConversion"/>
  </si>
  <si>
    <t>說　　　　明</t>
    <phoneticPr fontId="5" type="noConversion"/>
  </si>
  <si>
    <t>可進用員額數</t>
    <phoneticPr fontId="5" type="noConversion"/>
  </si>
  <si>
    <t>正式員
額薪資</t>
    <phoneticPr fontId="5" type="noConversion"/>
  </si>
  <si>
    <t>超時工
作報酬</t>
    <phoneticPr fontId="5" type="noConversion"/>
  </si>
  <si>
    <t>退休及卹償金</t>
  </si>
  <si>
    <r>
      <t>總</t>
    </r>
    <r>
      <rPr>
        <sz val="12"/>
        <rFont val="標楷體"/>
        <family val="4"/>
        <charset val="136"/>
      </rPr>
      <t>計</t>
    </r>
    <phoneticPr fontId="5" type="noConversion"/>
  </si>
  <si>
    <t xml:space="preserve">  勞職保及保護</t>
    <phoneticPr fontId="5" type="noConversion"/>
  </si>
  <si>
    <t xml:space="preserve">    雜項業務成本</t>
    <phoneticPr fontId="5" type="noConversion"/>
  </si>
  <si>
    <t>　　  服務費用</t>
    <phoneticPr fontId="5" type="noConversion"/>
  </si>
  <si>
    <t>　　　  水電費</t>
    <phoneticPr fontId="5" type="noConversion"/>
  </si>
  <si>
    <t>　　　  郵電費</t>
    <phoneticPr fontId="5" type="noConversion"/>
  </si>
  <si>
    <t>　　　  旅運費</t>
    <phoneticPr fontId="5" type="noConversion"/>
  </si>
  <si>
    <t>　　　  保險費</t>
    <phoneticPr fontId="5" type="noConversion"/>
  </si>
  <si>
    <t>　　　  一般服務費</t>
    <phoneticPr fontId="5" type="noConversion"/>
  </si>
  <si>
    <t>　　　  專業服務費</t>
    <phoneticPr fontId="5" type="noConversion"/>
  </si>
  <si>
    <t>　　  材料及用品費</t>
    <phoneticPr fontId="5" type="noConversion"/>
  </si>
  <si>
    <t>　　　  使用材料費</t>
    <phoneticPr fontId="5" type="noConversion"/>
  </si>
  <si>
    <t>　　　  用品消耗</t>
    <phoneticPr fontId="5" type="noConversion"/>
  </si>
  <si>
    <t>　　  租金與利息</t>
    <phoneticPr fontId="5" type="noConversion"/>
  </si>
  <si>
    <t>　　　  地租及水租</t>
    <phoneticPr fontId="5" type="noConversion"/>
  </si>
  <si>
    <t>　　　  房租</t>
    <phoneticPr fontId="5" type="noConversion"/>
  </si>
  <si>
    <t>　　　  機器租金</t>
    <phoneticPr fontId="5" type="noConversion"/>
  </si>
  <si>
    <t>　　　  交通及運輸設備租金</t>
    <phoneticPr fontId="5" type="noConversion"/>
  </si>
  <si>
    <t>　　　  什項設備租金</t>
    <phoneticPr fontId="5" type="noConversion"/>
  </si>
  <si>
    <t>　　  會費、捐助、補助、分攤
　　  、救助(濟)與交流活動費</t>
    <phoneticPr fontId="5" type="noConversion"/>
  </si>
  <si>
    <t>　　　  捐助、補助與獎助</t>
    <phoneticPr fontId="5" type="noConversion"/>
  </si>
  <si>
    <t>　　　  補貼(償)、獎勵、慰問
　　　  與救助(濟)</t>
    <phoneticPr fontId="5" type="noConversion"/>
  </si>
  <si>
    <t>　勞職保及保護</t>
    <phoneticPr fontId="5" type="noConversion"/>
  </si>
  <si>
    <t>　  雜項業務成本</t>
    <phoneticPr fontId="5" type="noConversion"/>
  </si>
  <si>
    <t>　　  服務費用</t>
    <phoneticPr fontId="5" type="noConversion"/>
  </si>
  <si>
    <t>　　　  水電費</t>
    <phoneticPr fontId="5" type="noConversion"/>
  </si>
  <si>
    <t>　　　  郵電費</t>
    <phoneticPr fontId="5" type="noConversion"/>
  </si>
  <si>
    <t>　　　  旅運費</t>
    <phoneticPr fontId="5" type="noConversion"/>
  </si>
  <si>
    <t>　　　  保險費</t>
    <phoneticPr fontId="5" type="noConversion"/>
  </si>
  <si>
    <t>　　　  一般服務費</t>
    <phoneticPr fontId="5" type="noConversion"/>
  </si>
  <si>
    <t>　　　  專業服務費</t>
    <phoneticPr fontId="5" type="noConversion"/>
  </si>
  <si>
    <t>　　  材料及用品費</t>
    <phoneticPr fontId="5" type="noConversion"/>
  </si>
  <si>
    <t>　　　  使用材料費</t>
    <phoneticPr fontId="5" type="noConversion"/>
  </si>
  <si>
    <t>　　　  用品消耗</t>
    <phoneticPr fontId="5" type="noConversion"/>
  </si>
  <si>
    <t>　　　  地租及水租</t>
    <phoneticPr fontId="5" type="noConversion"/>
  </si>
  <si>
    <t>　　　  房租</t>
    <phoneticPr fontId="5" type="noConversion"/>
  </si>
  <si>
    <t>　　　  機器租金</t>
    <phoneticPr fontId="5" type="noConversion"/>
  </si>
  <si>
    <t>　　　  交通及運輸設備租金</t>
    <phoneticPr fontId="5" type="noConversion"/>
  </si>
  <si>
    <t>　　　  什項設備租金</t>
    <phoneticPr fontId="5" type="noConversion"/>
  </si>
  <si>
    <t>　　  會費、捐助、補助、分攤
　　  、救助(濟)與交流活動費</t>
    <phoneticPr fontId="5" type="noConversion"/>
  </si>
  <si>
    <t>　　　  捐助、補助與獎助</t>
    <phoneticPr fontId="5" type="noConversion"/>
  </si>
  <si>
    <r>
      <rPr>
        <sz val="12"/>
        <rFont val="標楷體"/>
        <family val="4"/>
        <charset val="136"/>
      </rPr>
      <t>編列</t>
    </r>
    <r>
      <rPr>
        <sz val="12"/>
        <rFont val="Times New Roman"/>
        <family val="1"/>
      </rPr>
      <t>13,818</t>
    </r>
    <r>
      <rPr>
        <sz val="12"/>
        <rFont val="標楷體"/>
        <family val="4"/>
        <charset val="136"/>
      </rPr>
      <t>千元，由勞動部勞工保險局辦理，係農保虧損向勞工保險基金借款之利息支出，預估</t>
    </r>
    <r>
      <rPr>
        <sz val="12"/>
        <rFont val="Times New Roman"/>
        <family val="1"/>
      </rPr>
      <t>111</t>
    </r>
    <r>
      <rPr>
        <sz val="12"/>
        <rFont val="標楷體"/>
        <family val="4"/>
        <charset val="136"/>
      </rPr>
      <t>年度平均借款金額為</t>
    </r>
    <r>
      <rPr>
        <sz val="12"/>
        <rFont val="Times New Roman"/>
        <family val="1"/>
      </rPr>
      <t>647,213</t>
    </r>
    <r>
      <rPr>
        <sz val="12"/>
        <rFont val="標楷體"/>
        <family val="4"/>
        <charset val="136"/>
      </rPr>
      <t>千元，平均借款利率</t>
    </r>
    <r>
      <rPr>
        <sz val="12"/>
        <rFont val="Times New Roman"/>
        <family val="1"/>
      </rPr>
      <t>2.135%</t>
    </r>
    <r>
      <rPr>
        <sz val="12"/>
        <rFont val="標楷體"/>
        <family val="4"/>
        <charset val="136"/>
      </rPr>
      <t>。貸款機關為勞動部勞動基金運用局，貸款用途為補足農保當年度收支不足數。</t>
    </r>
    <phoneticPr fontId="5" type="noConversion"/>
  </si>
  <si>
    <r>
      <t>職業病鑑定評估及預防介入改善計畫-勞工矽肺症與奈米危害全國調查分</t>
    </r>
    <r>
      <rPr>
        <sz val="12"/>
        <color theme="1"/>
        <rFont val="標楷體"/>
        <family val="4"/>
        <charset val="136"/>
      </rPr>
      <t>析(II)</t>
    </r>
    <phoneticPr fontId="22" type="noConversion"/>
  </si>
  <si>
    <r>
      <rPr>
        <sz val="12"/>
        <rFont val="標楷體"/>
        <family val="4"/>
        <charset val="136"/>
      </rPr>
      <t>編列</t>
    </r>
    <r>
      <rPr>
        <sz val="12"/>
        <rFont val="Times New Roman"/>
        <family val="1"/>
      </rPr>
      <t>3,700,011</t>
    </r>
    <r>
      <rPr>
        <sz val="12"/>
        <rFont val="標楷體"/>
        <family val="4"/>
        <charset val="136"/>
      </rPr>
      <t>千元，由勞動部及所屬機關辦理，係依就業保險法第</t>
    </r>
    <r>
      <rPr>
        <sz val="12"/>
        <rFont val="Times New Roman"/>
        <family val="1"/>
      </rPr>
      <t>12</t>
    </r>
    <r>
      <rPr>
        <sz val="12"/>
        <rFont val="標楷體"/>
        <family val="4"/>
        <charset val="136"/>
      </rPr>
      <t>條第</t>
    </r>
    <r>
      <rPr>
        <sz val="12"/>
        <rFont val="Times New Roman"/>
        <family val="1"/>
      </rPr>
      <t>3</t>
    </r>
    <r>
      <rPr>
        <sz val="12"/>
        <rFont val="標楷體"/>
        <family val="4"/>
        <charset val="136"/>
      </rPr>
      <t>項規定，辦理被保險人之在職訓練、被保險人失業後之職業訓練、創業協助及其他促進就業措施、被保險人之僱用安定措施、雇主僱用失業勞工之獎助等業務。</t>
    </r>
    <phoneticPr fontId="5" type="noConversion"/>
  </si>
  <si>
    <t>　媒體政策及業務宣導費</t>
    <phoneticPr fontId="5" type="noConversion"/>
  </si>
  <si>
    <t>　行銷推廣費</t>
    <phoneticPr fontId="5" type="noConversion"/>
  </si>
  <si>
    <t>　　　  媒體政策及業務宣導費</t>
    <phoneticPr fontId="5" type="noConversion"/>
  </si>
  <si>
    <t>　　　  行銷推廣費</t>
    <phoneticPr fontId="5" type="noConversion"/>
  </si>
  <si>
    <r>
      <rPr>
        <sz val="12"/>
        <rFont val="標楷體"/>
        <family val="4"/>
        <charset val="136"/>
      </rPr>
      <t>本科目勞動部及所屬機關辦理</t>
    </r>
    <r>
      <rPr>
        <sz val="12"/>
        <rFont val="Times New Roman"/>
        <family val="1"/>
      </rPr>
      <t>3,700,011</t>
    </r>
    <r>
      <rPr>
        <sz val="12"/>
        <rFont val="標楷體"/>
        <family val="4"/>
        <charset val="136"/>
      </rPr>
      <t>千元；勞動部勞工保險局辦理</t>
    </r>
    <r>
      <rPr>
        <sz val="12"/>
        <rFont val="Times New Roman"/>
        <family val="1"/>
      </rPr>
      <t>274,714</t>
    </r>
    <r>
      <rPr>
        <sz val="12"/>
        <rFont val="標楷體"/>
        <family val="4"/>
        <charset val="136"/>
      </rPr>
      <t>千元；勞動部職業安全衛生署辦理</t>
    </r>
    <r>
      <rPr>
        <sz val="12"/>
        <rFont val="Times New Roman"/>
        <family val="1"/>
      </rPr>
      <t>738,786</t>
    </r>
    <r>
      <rPr>
        <sz val="12"/>
        <rFont val="標楷體"/>
        <family val="4"/>
        <charset val="136"/>
      </rPr>
      <t>千元。</t>
    </r>
    <phoneticPr fontId="5" type="noConversion"/>
  </si>
  <si>
    <t>　　　  媒體政策及業務宣導費</t>
    <phoneticPr fontId="5" type="noConversion"/>
  </si>
  <si>
    <t>　　　  行銷推廣費</t>
    <phoneticPr fontId="5" type="noConversion"/>
  </si>
  <si>
    <r>
      <rPr>
        <sz val="13"/>
        <rFont val="標楷體"/>
        <family val="4"/>
        <charset val="136"/>
      </rPr>
      <t>（二）投融資業務成本</t>
    </r>
    <r>
      <rPr>
        <sz val="13"/>
        <rFont val="Times New Roman"/>
        <family val="1"/>
      </rPr>
      <t>1,003,916</t>
    </r>
    <r>
      <rPr>
        <sz val="13"/>
        <rFont val="標楷體"/>
        <family val="4"/>
        <charset val="136"/>
      </rPr>
      <t>千元，係本基金投資運用之委託經營經理費</t>
    </r>
    <r>
      <rPr>
        <sz val="13"/>
        <rFont val="新細明體"/>
        <family val="1"/>
        <charset val="136"/>
      </rPr>
      <t>、</t>
    </r>
    <r>
      <rPr>
        <sz val="13"/>
        <rFont val="標楷體"/>
        <family val="4"/>
        <charset val="136"/>
      </rPr>
      <t xml:space="preserve">國外投資
</t>
    </r>
    <r>
      <rPr>
        <sz val="13"/>
        <rFont val="Times New Roman"/>
        <family val="1"/>
      </rPr>
      <t xml:space="preserve">            </t>
    </r>
    <r>
      <rPr>
        <sz val="13"/>
        <rFont val="標楷體"/>
        <family val="4"/>
        <charset val="136"/>
      </rPr>
      <t>保管費及被保險人貸款手續費等</t>
    </r>
    <r>
      <rPr>
        <sz val="13"/>
        <rFont val="新細明體"/>
        <family val="1"/>
        <charset val="136"/>
      </rPr>
      <t>。</t>
    </r>
    <phoneticPr fontId="5" type="noConversion"/>
  </si>
  <si>
    <r>
      <rPr>
        <sz val="13"/>
        <rFont val="標楷體"/>
        <family val="4"/>
        <charset val="136"/>
      </rPr>
      <t>本年度業務外收入</t>
    </r>
    <r>
      <rPr>
        <sz val="13"/>
        <rFont val="Times New Roman"/>
        <family val="1"/>
      </rPr>
      <t>257,048</t>
    </r>
    <r>
      <rPr>
        <sz val="13"/>
        <rFont val="標楷體"/>
        <family val="4"/>
        <charset val="136"/>
      </rPr>
      <t>千元：</t>
    </r>
    <phoneticPr fontId="5" type="noConversion"/>
  </si>
  <si>
    <r>
      <t>（一）財務收入</t>
    </r>
    <r>
      <rPr>
        <sz val="13"/>
        <rFont val="Times New Roman"/>
        <family val="1"/>
      </rPr>
      <t>421</t>
    </r>
    <r>
      <rPr>
        <sz val="13"/>
        <rFont val="標楷體"/>
        <family val="4"/>
        <charset val="136"/>
      </rPr>
      <t>千元，係利息收入。</t>
    </r>
    <phoneticPr fontId="5" type="noConversion"/>
  </si>
  <si>
    <r>
      <rPr>
        <sz val="13"/>
        <rFont val="標楷體"/>
        <family val="4"/>
        <charset val="136"/>
      </rPr>
      <t>（二）其他業務外收入</t>
    </r>
    <r>
      <rPr>
        <sz val="13"/>
        <rFont val="Times New Roman"/>
        <family val="1"/>
      </rPr>
      <t>256,627</t>
    </r>
    <r>
      <rPr>
        <sz val="13"/>
        <rFont val="標楷體"/>
        <family val="4"/>
        <charset val="136"/>
      </rPr>
      <t>千元，係違規罰款收入</t>
    </r>
    <r>
      <rPr>
        <sz val="13"/>
        <rFont val="新細明體"/>
        <family val="1"/>
        <charset val="136"/>
      </rPr>
      <t>、</t>
    </r>
    <r>
      <rPr>
        <sz val="13"/>
        <rFont val="標楷體"/>
        <family val="4"/>
        <charset val="136"/>
      </rPr>
      <t>收回呆帳及雜項收入等。</t>
    </r>
    <phoneticPr fontId="5" type="noConversion"/>
  </si>
  <si>
    <r>
      <rPr>
        <sz val="12"/>
        <rFont val="標楷體"/>
        <family val="4"/>
        <charset val="136"/>
      </rPr>
      <t>勞動部職業安全衛生署辦理，係本年度職業災害勞工保護已加保勞工部分，收支短絀為</t>
    </r>
    <r>
      <rPr>
        <sz val="12"/>
        <rFont val="Times New Roman"/>
        <family val="1"/>
      </rPr>
      <t>150,725</t>
    </r>
    <r>
      <rPr>
        <sz val="12"/>
        <rFont val="標楷體"/>
        <family val="4"/>
        <charset val="136"/>
      </rPr>
      <t>千元</t>
    </r>
    <r>
      <rPr>
        <sz val="12"/>
        <rFont val="標楷體"/>
        <family val="4"/>
        <charset val="136"/>
      </rPr>
      <t>，悉數由以前年度累積之提存責任準備彌平。</t>
    </r>
    <phoneticPr fontId="5" type="noConversion"/>
  </si>
  <si>
    <t>　勞職保及保護</t>
    <phoneticPr fontId="5" type="noConversion"/>
  </si>
  <si>
    <r>
      <rPr>
        <sz val="12"/>
        <rFont val="標楷體"/>
        <family val="4"/>
        <charset val="136"/>
      </rPr>
      <t>係本年度農職保，收支短絀為</t>
    </r>
    <r>
      <rPr>
        <sz val="12"/>
        <rFont val="Times New Roman"/>
        <family val="1"/>
      </rPr>
      <t>33,176</t>
    </r>
    <r>
      <rPr>
        <sz val="12"/>
        <rFont val="標楷體"/>
        <family val="4"/>
        <charset val="136"/>
      </rPr>
      <t>千元，悉數由以前年度累積之提存責任準備彌平。</t>
    </r>
    <phoneticPr fontId="5" type="noConversion"/>
  </si>
  <si>
    <r>
      <rPr>
        <sz val="12"/>
        <rFont val="標楷體"/>
        <family val="4"/>
        <charset val="136"/>
      </rPr>
      <t>本科目勞動部勞工保險局辦理</t>
    </r>
    <r>
      <rPr>
        <sz val="12"/>
        <rFont val="Times New Roman"/>
        <family val="1"/>
      </rPr>
      <t>254,498</t>
    </r>
    <r>
      <rPr>
        <sz val="12"/>
        <rFont val="標楷體"/>
        <family val="4"/>
        <charset val="136"/>
      </rPr>
      <t>千元；勞動部職業安全衛生署辦理</t>
    </r>
    <r>
      <rPr>
        <sz val="12"/>
        <rFont val="Times New Roman"/>
        <family val="1"/>
      </rPr>
      <t>2,550</t>
    </r>
    <r>
      <rPr>
        <sz val="12"/>
        <rFont val="標楷體"/>
        <family val="4"/>
        <charset val="136"/>
      </rPr>
      <t>千元。</t>
    </r>
    <phoneticPr fontId="5" type="noConversion"/>
  </si>
  <si>
    <r>
      <rPr>
        <sz val="12"/>
        <rFont val="標楷體"/>
        <family val="4"/>
        <charset val="136"/>
      </rPr>
      <t>本科目全數由勞動部勞動基金運用局辦理</t>
    </r>
    <r>
      <rPr>
        <sz val="12"/>
        <rFont val="Times New Roman"/>
        <family val="1"/>
      </rPr>
      <t>39,738</t>
    </r>
    <r>
      <rPr>
        <sz val="12"/>
        <rFont val="標楷體"/>
        <family val="4"/>
        <charset val="136"/>
      </rPr>
      <t>千元。</t>
    </r>
    <phoneticPr fontId="5" type="noConversion"/>
  </si>
  <si>
    <r>
      <t>編列</t>
    </r>
    <r>
      <rPr>
        <sz val="12"/>
        <rFont val="Times New Roman"/>
        <family val="1"/>
      </rPr>
      <t>1</t>
    </r>
    <r>
      <rPr>
        <sz val="12"/>
        <rFont val="標楷體"/>
        <family val="4"/>
        <charset val="136"/>
      </rPr>
      <t>千元，係基金投資之不動產，刊登房屋出租公告等。</t>
    </r>
    <phoneticPr fontId="5" type="noConversion"/>
  </si>
  <si>
    <r>
      <rPr>
        <sz val="12"/>
        <rFont val="標楷體"/>
        <family val="4"/>
        <charset val="136"/>
      </rPr>
      <t>編列</t>
    </r>
    <r>
      <rPr>
        <sz val="12"/>
        <rFont val="Times New Roman"/>
        <family val="1"/>
      </rPr>
      <t>20,000</t>
    </r>
    <r>
      <rPr>
        <sz val="12"/>
        <rFont val="標楷體"/>
        <family val="4"/>
        <charset val="136"/>
      </rPr>
      <t>千元，係基金投資不動產之土地地價稅。</t>
    </r>
    <phoneticPr fontId="5" type="noConversion"/>
  </si>
  <si>
    <r>
      <rPr>
        <sz val="12"/>
        <rFont val="標楷體"/>
        <family val="4"/>
        <charset val="136"/>
      </rPr>
      <t>編列</t>
    </r>
    <r>
      <rPr>
        <sz val="12"/>
        <rFont val="Times New Roman"/>
        <family val="1"/>
      </rPr>
      <t>8</t>
    </r>
    <r>
      <rPr>
        <sz val="12"/>
        <rFont val="標楷體"/>
        <family val="4"/>
        <charset val="136"/>
      </rPr>
      <t>千元，係基金投資不動產之行政規費。</t>
    </r>
    <phoneticPr fontId="5" type="noConversion"/>
  </si>
  <si>
    <r>
      <rPr>
        <sz val="12"/>
        <rFont val="標楷體"/>
        <family val="4"/>
        <charset val="136"/>
      </rPr>
      <t>編列</t>
    </r>
    <r>
      <rPr>
        <sz val="12"/>
        <rFont val="Times New Roman"/>
        <family val="1"/>
      </rPr>
      <t>609</t>
    </r>
    <r>
      <rPr>
        <sz val="12"/>
        <rFont val="標楷體"/>
        <family val="4"/>
        <charset val="136"/>
      </rPr>
      <t>千元，係投資性不動產之攤銷。</t>
    </r>
    <phoneticPr fontId="5" type="noConversion"/>
  </si>
  <si>
    <r>
      <rPr>
        <sz val="12"/>
        <rFont val="標楷體"/>
        <family val="4"/>
        <charset val="136"/>
      </rPr>
      <t>編列</t>
    </r>
    <r>
      <rPr>
        <sz val="12"/>
        <rFont val="Times New Roman"/>
        <family val="1"/>
      </rPr>
      <t>16,155</t>
    </r>
    <r>
      <rPr>
        <sz val="12"/>
        <rFont val="標楷體"/>
        <family val="4"/>
        <charset val="136"/>
      </rPr>
      <t>千元，係提列投資取得不動產之折舊。</t>
    </r>
    <phoneticPr fontId="5" type="noConversion"/>
  </si>
  <si>
    <r>
      <rPr>
        <sz val="12"/>
        <rFont val="標楷體"/>
        <family val="4"/>
        <charset val="136"/>
      </rPr>
      <t>編列</t>
    </r>
    <r>
      <rPr>
        <sz val="12"/>
        <rFont val="Times New Roman"/>
        <family val="1"/>
      </rPr>
      <t>150</t>
    </r>
    <r>
      <rPr>
        <sz val="12"/>
        <rFont val="標楷體"/>
        <family val="4"/>
        <charset val="136"/>
      </rPr>
      <t>千元，為委託調查研究費編列</t>
    </r>
    <r>
      <rPr>
        <sz val="12"/>
        <rFont val="Times New Roman"/>
        <family val="1"/>
      </rPr>
      <t>150</t>
    </r>
    <r>
      <rPr>
        <sz val="12"/>
        <rFont val="標楷體"/>
        <family val="4"/>
        <charset val="136"/>
      </rPr>
      <t>千元，係基金不動產鑑價費用。</t>
    </r>
    <phoneticPr fontId="5" type="noConversion"/>
  </si>
  <si>
    <r>
      <rPr>
        <sz val="12"/>
        <rFont val="標楷體"/>
        <family val="4"/>
        <charset val="136"/>
      </rPr>
      <t>編列</t>
    </r>
    <r>
      <rPr>
        <sz val="12"/>
        <rFont val="Times New Roman"/>
        <family val="1"/>
      </rPr>
      <t>899,877</t>
    </r>
    <r>
      <rPr>
        <sz val="12"/>
        <rFont val="標楷體"/>
        <family val="4"/>
        <charset val="136"/>
      </rPr>
      <t>千元，係基金委託經營之經理費等。</t>
    </r>
    <phoneticPr fontId="5" type="noConversion"/>
  </si>
  <si>
    <r>
      <rPr>
        <sz val="12"/>
        <rFont val="標楷體"/>
        <family val="4"/>
        <charset val="136"/>
      </rPr>
      <t>編列</t>
    </r>
    <r>
      <rPr>
        <sz val="12"/>
        <rFont val="Times New Roman"/>
        <family val="1"/>
      </rPr>
      <t>68,000</t>
    </r>
    <r>
      <rPr>
        <sz val="12"/>
        <rFont val="標楷體"/>
        <family val="4"/>
        <charset val="136"/>
      </rPr>
      <t>千元，由勞動部勞工保險局辦理，係辦理被保險人貸款之手續費。</t>
    </r>
    <r>
      <rPr>
        <sz val="12"/>
        <color indexed="12"/>
        <rFont val="Times New Roman"/>
        <family val="1"/>
      </rPr>
      <t/>
    </r>
    <phoneticPr fontId="5" type="noConversion"/>
  </si>
  <si>
    <t xml:space="preserve">  勞職保及保護</t>
    <phoneticPr fontId="5" type="noConversion"/>
  </si>
  <si>
    <t xml:space="preserve">  職業災害勞工保護</t>
    <phoneticPr fontId="5" type="noConversion"/>
  </si>
  <si>
    <t>　勞職保及保護</t>
    <phoneticPr fontId="5" type="noConversion"/>
  </si>
  <si>
    <r>
      <rPr>
        <sz val="12"/>
        <rFont val="標楷體"/>
        <family val="4"/>
        <charset val="136"/>
      </rPr>
      <t>編列</t>
    </r>
    <r>
      <rPr>
        <sz val="12"/>
        <rFont val="Times New Roman"/>
        <family val="1"/>
      </rPr>
      <t>387,583</t>
    </r>
    <r>
      <rPr>
        <sz val="12"/>
        <rFont val="標楷體"/>
        <family val="4"/>
        <charset val="136"/>
      </rPr>
      <t>千元，係勞工保險</t>
    </r>
    <r>
      <rPr>
        <sz val="12"/>
        <rFont val="Times New Roman"/>
        <family val="1"/>
      </rPr>
      <t>-</t>
    </r>
    <r>
      <rPr>
        <sz val="12"/>
        <rFont val="標楷體"/>
        <family val="4"/>
        <charset val="136"/>
      </rPr>
      <t>職業災害之收入減支出後之餘額，悉數轉列提存責任準備。</t>
    </r>
    <phoneticPr fontId="5" type="noConversion"/>
  </si>
  <si>
    <r>
      <rPr>
        <sz val="12"/>
        <rFont val="標楷體"/>
        <family val="4"/>
        <charset val="136"/>
      </rPr>
      <t>編列</t>
    </r>
    <r>
      <rPr>
        <sz val="12"/>
        <rFont val="Times New Roman"/>
        <family val="1"/>
      </rPr>
      <t>843,945</t>
    </r>
    <r>
      <rPr>
        <sz val="12"/>
        <rFont val="標楷體"/>
        <family val="4"/>
        <charset val="136"/>
      </rPr>
      <t>千元，係按其他應收款及催收款項餘額依回收情況提列呆帳。</t>
    </r>
    <phoneticPr fontId="5" type="noConversion"/>
  </si>
  <si>
    <r>
      <rPr>
        <sz val="12"/>
        <rFont val="標楷體"/>
        <family val="4"/>
        <charset val="136"/>
      </rPr>
      <t>編列</t>
    </r>
    <r>
      <rPr>
        <sz val="12"/>
        <rFont val="Times New Roman"/>
        <family val="1"/>
      </rPr>
      <t>4,573,039</t>
    </r>
    <r>
      <rPr>
        <sz val="12"/>
        <rFont val="標楷體"/>
        <family val="4"/>
        <charset val="136"/>
      </rPr>
      <t>千元，係就業保險收入減支出後之餘額，悉數轉列提存責任準備。</t>
    </r>
    <phoneticPr fontId="5" type="noConversion"/>
  </si>
  <si>
    <r>
      <t>編列</t>
    </r>
    <r>
      <rPr>
        <sz val="12"/>
        <rFont val="Times New Roman"/>
        <family val="1"/>
      </rPr>
      <t>16,391</t>
    </r>
    <r>
      <rPr>
        <sz val="12"/>
        <rFont val="標楷體"/>
        <family val="4"/>
        <charset val="136"/>
      </rPr>
      <t>千元，係按其他應收款及催收款項餘額依回收情況提列呆帳。</t>
    </r>
    <phoneticPr fontId="5" type="noConversion"/>
  </si>
  <si>
    <r>
      <t xml:space="preserve">
</t>
    </r>
    <r>
      <rPr>
        <sz val="12"/>
        <rFont val="標楷體"/>
        <family val="4"/>
        <charset val="136"/>
      </rPr>
      <t>係依據</t>
    </r>
    <r>
      <rPr>
        <sz val="12"/>
        <rFont val="Times New Roman"/>
        <family val="1"/>
      </rPr>
      <t>92</t>
    </r>
    <r>
      <rPr>
        <sz val="12"/>
        <rFont val="標楷體"/>
        <family val="4"/>
        <charset val="136"/>
      </rPr>
      <t>年</t>
    </r>
    <r>
      <rPr>
        <sz val="12"/>
        <rFont val="Times New Roman"/>
        <family val="1"/>
      </rPr>
      <t>1</t>
    </r>
    <r>
      <rPr>
        <sz val="12"/>
        <rFont val="標楷體"/>
        <family val="4"/>
        <charset val="136"/>
      </rPr>
      <t>月</t>
    </r>
    <r>
      <rPr>
        <sz val="12"/>
        <rFont val="Times New Roman"/>
        <family val="1"/>
      </rPr>
      <t>20</t>
    </r>
    <r>
      <rPr>
        <sz val="12"/>
        <rFont val="標楷體"/>
        <family val="4"/>
        <charset val="136"/>
      </rPr>
      <t>日總統華總一義字第</t>
    </r>
    <r>
      <rPr>
        <sz val="12"/>
        <rFont val="Times New Roman"/>
        <family val="1"/>
      </rPr>
      <t>09200012650</t>
    </r>
    <r>
      <rPr>
        <sz val="12"/>
        <rFont val="標楷體"/>
        <family val="4"/>
        <charset val="136"/>
      </rPr>
      <t>號令修正公布勞工保險條例第</t>
    </r>
    <r>
      <rPr>
        <sz val="12"/>
        <rFont val="Times New Roman"/>
        <family val="1"/>
      </rPr>
      <t>67</t>
    </r>
    <r>
      <rPr>
        <sz val="12"/>
        <rFont val="標楷體"/>
        <family val="4"/>
        <charset val="136"/>
      </rPr>
      <t>條，被保險人向勞保基金貸款。</t>
    </r>
    <r>
      <rPr>
        <sz val="12"/>
        <rFont val="Times New Roman"/>
        <family val="1"/>
      </rPr>
      <t xml:space="preserve"> 
</t>
    </r>
    <phoneticPr fontId="5" type="noConversion"/>
  </si>
  <si>
    <t>　使用材料費</t>
    <phoneticPr fontId="5" type="noConversion"/>
  </si>
  <si>
    <t>　地租及水租</t>
    <phoneticPr fontId="5" type="noConversion"/>
  </si>
  <si>
    <t>　房租</t>
    <phoneticPr fontId="5" type="noConversion"/>
  </si>
  <si>
    <t>　機器租金</t>
    <phoneticPr fontId="5" type="noConversion"/>
  </si>
  <si>
    <t>　什項設備租金</t>
    <phoneticPr fontId="5" type="noConversion"/>
  </si>
  <si>
    <t>會費、捐助、補助、分攤、救助（濟）與交流活動費</t>
    <phoneticPr fontId="5" type="noConversion"/>
  </si>
  <si>
    <r>
      <rPr>
        <sz val="12"/>
        <rFont val="標楷體"/>
        <family val="4"/>
        <charset val="136"/>
      </rPr>
      <t>扣除政府機關及政府補助後依逾期繳納保費數之</t>
    </r>
    <r>
      <rPr>
        <sz val="12"/>
        <rFont val="Times New Roman"/>
        <family val="1"/>
      </rPr>
      <t>0.1%</t>
    </r>
    <r>
      <rPr>
        <sz val="12"/>
        <rFont val="標楷體"/>
        <family val="4"/>
        <charset val="136"/>
      </rPr>
      <t>，普通事故按平均逾期</t>
    </r>
    <r>
      <rPr>
        <sz val="12"/>
        <rFont val="Times New Roman"/>
        <family val="1"/>
      </rPr>
      <t>27</t>
    </r>
    <r>
      <rPr>
        <sz val="12"/>
        <rFont val="標楷體"/>
        <family val="4"/>
        <charset val="136"/>
      </rPr>
      <t>天計列</t>
    </r>
    <r>
      <rPr>
        <sz val="12"/>
        <rFont val="Times New Roman"/>
        <family val="1"/>
      </rPr>
      <t>462,992</t>
    </r>
    <r>
      <rPr>
        <sz val="12"/>
        <rFont val="標楷體"/>
        <family val="4"/>
        <charset val="136"/>
      </rPr>
      <t>千元，職業災害按平均逾期</t>
    </r>
    <r>
      <rPr>
        <sz val="12"/>
        <rFont val="Times New Roman"/>
        <family val="1"/>
      </rPr>
      <t>38</t>
    </r>
    <r>
      <rPr>
        <sz val="12"/>
        <rFont val="標楷體"/>
        <family val="4"/>
        <charset val="136"/>
      </rPr>
      <t>天計列</t>
    </r>
    <r>
      <rPr>
        <sz val="12"/>
        <rFont val="Times New Roman"/>
        <family val="1"/>
      </rPr>
      <t>4,770</t>
    </r>
    <r>
      <rPr>
        <sz val="12"/>
        <rFont val="標楷體"/>
        <family val="4"/>
        <charset val="136"/>
      </rPr>
      <t>千元。</t>
    </r>
    <phoneticPr fontId="22" type="noConversion"/>
  </si>
  <si>
    <t>保險費全部由投保單位負擔。</t>
    <phoneticPr fontId="5" type="noConversion"/>
  </si>
  <si>
    <t xml:space="preserve"> 　   特別加保對象</t>
    <phoneticPr fontId="5" type="noConversion"/>
  </si>
  <si>
    <t>　    家庭僱用外籍幫傭
      與外籍看護工</t>
    <phoneticPr fontId="5" type="noConversion"/>
  </si>
  <si>
    <r>
      <rPr>
        <sz val="12"/>
        <rFont val="標楷體"/>
        <family val="4"/>
        <charset val="136"/>
      </rPr>
      <t>保險費由被保險人負擔</t>
    </r>
    <r>
      <rPr>
        <sz val="12"/>
        <rFont val="Times New Roman"/>
        <family val="1"/>
      </rPr>
      <t>20%</t>
    </r>
    <r>
      <rPr>
        <sz val="12"/>
        <rFont val="標楷體"/>
        <family val="4"/>
        <charset val="136"/>
      </rPr>
      <t>，政府補助</t>
    </r>
    <r>
      <rPr>
        <sz val="12"/>
        <rFont val="Times New Roman"/>
        <family val="1"/>
      </rPr>
      <t>80%</t>
    </r>
    <r>
      <rPr>
        <sz val="12"/>
        <rFont val="標楷體"/>
        <family val="4"/>
        <charset val="136"/>
      </rPr>
      <t>。</t>
    </r>
    <phoneticPr fontId="22" type="noConversion"/>
  </si>
  <si>
    <t>保險費全部由投保單位負擔。</t>
    <phoneticPr fontId="5" type="noConversion"/>
  </si>
  <si>
    <t xml:space="preserve">      非登記有案事業單
      位之勞工，公告納
      為自願加保者 </t>
    <phoneticPr fontId="5" type="noConversion"/>
  </si>
  <si>
    <r>
      <rPr>
        <sz val="12"/>
        <rFont val="標楷體"/>
        <family val="4"/>
        <charset val="136"/>
      </rPr>
      <t>保險費由被保險人負擔</t>
    </r>
    <r>
      <rPr>
        <sz val="12"/>
        <rFont val="Times New Roman"/>
        <family val="1"/>
      </rPr>
      <t>80%</t>
    </r>
    <r>
      <rPr>
        <sz val="12"/>
        <rFont val="標楷體"/>
        <family val="4"/>
        <charset val="136"/>
      </rPr>
      <t>，政府補助</t>
    </r>
    <r>
      <rPr>
        <sz val="12"/>
        <rFont val="Times New Roman"/>
        <family val="1"/>
      </rPr>
      <t>20%</t>
    </r>
    <r>
      <rPr>
        <sz val="12"/>
        <rFont val="標楷體"/>
        <family val="4"/>
        <charset val="136"/>
      </rPr>
      <t>。</t>
    </r>
    <phoneticPr fontId="22" type="noConversion"/>
  </si>
  <si>
    <t>保險費全部由投保單位負擔。</t>
    <phoneticPr fontId="22" type="noConversion"/>
  </si>
  <si>
    <r>
      <rPr>
        <sz val="12"/>
        <rFont val="標楷體"/>
        <family val="4"/>
        <charset val="136"/>
      </rPr>
      <t>扣除政府機關及政府補助後依逾期繳納保費數之</t>
    </r>
    <r>
      <rPr>
        <sz val="12"/>
        <rFont val="Times New Roman"/>
        <family val="1"/>
      </rPr>
      <t>0.2%</t>
    </r>
    <r>
      <rPr>
        <sz val="12"/>
        <rFont val="標楷體"/>
        <family val="4"/>
        <charset val="136"/>
      </rPr>
      <t>，按平均逾期</t>
    </r>
    <r>
      <rPr>
        <sz val="12"/>
        <rFont val="Times New Roman"/>
        <family val="1"/>
      </rPr>
      <t>18</t>
    </r>
    <r>
      <rPr>
        <sz val="12"/>
        <rFont val="標楷體"/>
        <family val="4"/>
        <charset val="136"/>
      </rPr>
      <t>天計列</t>
    </r>
    <r>
      <rPr>
        <sz val="12"/>
        <rFont val="Times New Roman"/>
        <family val="1"/>
      </rPr>
      <t>10,625</t>
    </r>
    <r>
      <rPr>
        <sz val="12"/>
        <rFont val="標楷體"/>
        <family val="4"/>
        <charset val="136"/>
      </rPr>
      <t>千元。</t>
    </r>
    <phoneticPr fontId="22" type="noConversion"/>
  </si>
  <si>
    <t xml:space="preserve">      職業災害</t>
    <phoneticPr fontId="5" type="noConversion"/>
  </si>
  <si>
    <t>　　  普通事故</t>
    <phoneticPr fontId="5" type="noConversion"/>
  </si>
  <si>
    <t>業務外賸餘（短絀）</t>
    <phoneticPr fontId="5" type="noConversion"/>
  </si>
  <si>
    <t>　　  普通事故</t>
    <phoneticPr fontId="5" type="noConversion"/>
  </si>
  <si>
    <t>　　雜項費用</t>
    <phoneticPr fontId="5" type="noConversion"/>
  </si>
  <si>
    <t>　其他業務外費用</t>
    <phoneticPr fontId="5" type="noConversion"/>
  </si>
  <si>
    <t>業務外費用</t>
    <phoneticPr fontId="5" type="noConversion"/>
  </si>
  <si>
    <t>　　雜項收入</t>
    <phoneticPr fontId="5" type="noConversion"/>
  </si>
  <si>
    <t xml:space="preserve">      職業災害</t>
    <phoneticPr fontId="5" type="noConversion"/>
  </si>
  <si>
    <t>　　收回呆帳</t>
    <phoneticPr fontId="5" type="noConversion"/>
  </si>
  <si>
    <t>　　違規罰款收入</t>
    <phoneticPr fontId="5" type="noConversion"/>
  </si>
  <si>
    <t>　其他業務外收入</t>
    <phoneticPr fontId="5" type="noConversion"/>
  </si>
  <si>
    <t>　　利息收入</t>
    <phoneticPr fontId="5" type="noConversion"/>
  </si>
  <si>
    <t>　財務收入</t>
    <phoneticPr fontId="5" type="noConversion"/>
  </si>
  <si>
    <t>業務外收入</t>
    <phoneticPr fontId="5" type="noConversion"/>
  </si>
  <si>
    <t>業務賸餘（短絀）</t>
    <phoneticPr fontId="5" type="noConversion"/>
  </si>
  <si>
    <t>　　雜項業務成本</t>
    <phoneticPr fontId="5" type="noConversion"/>
  </si>
  <si>
    <t>　其他業務成本</t>
    <phoneticPr fontId="5" type="noConversion"/>
  </si>
  <si>
    <t>　　呆帳</t>
    <phoneticPr fontId="5" type="noConversion"/>
  </si>
  <si>
    <t>　　提存責任準備</t>
    <phoneticPr fontId="5" type="noConversion"/>
  </si>
  <si>
    <t>　　保險給付</t>
    <phoneticPr fontId="5" type="noConversion"/>
  </si>
  <si>
    <t>　保險成本</t>
    <phoneticPr fontId="5" type="noConversion"/>
  </si>
  <si>
    <t>　　兌換短絀</t>
    <phoneticPr fontId="5" type="noConversion"/>
  </si>
  <si>
    <t>　　融資業務成本</t>
    <phoneticPr fontId="5" type="noConversion"/>
  </si>
  <si>
    <t>　　投資業務成本</t>
    <phoneticPr fontId="5" type="noConversion"/>
  </si>
  <si>
    <t xml:space="preserve">  投融資業務成本</t>
    <phoneticPr fontId="5" type="noConversion"/>
  </si>
  <si>
    <r>
      <t>　　</t>
    </r>
    <r>
      <rPr>
        <sz val="9"/>
        <rFont val="標楷體"/>
        <family val="4"/>
        <charset val="136"/>
      </rPr>
      <t>投資性不動產成本</t>
    </r>
    <phoneticPr fontId="5" type="noConversion"/>
  </si>
  <si>
    <t xml:space="preserve">  出租資產成本</t>
    <phoneticPr fontId="5" type="noConversion"/>
  </si>
  <si>
    <t>業務成本與費用</t>
    <phoneticPr fontId="5" type="noConversion"/>
  </si>
  <si>
    <t>　　雜項業務收入</t>
    <phoneticPr fontId="5" type="noConversion"/>
  </si>
  <si>
    <t>　　其他補助收入</t>
    <phoneticPr fontId="5" type="noConversion"/>
  </si>
  <si>
    <t>　其他業務收入</t>
    <phoneticPr fontId="5" type="noConversion"/>
  </si>
  <si>
    <t xml:space="preserve">  　收回責任準備</t>
    <phoneticPr fontId="5" type="noConversion"/>
  </si>
  <si>
    <t>　　保費收入</t>
    <phoneticPr fontId="5" type="noConversion"/>
  </si>
  <si>
    <t>　保險收入</t>
    <phoneticPr fontId="5" type="noConversion"/>
  </si>
  <si>
    <t>　　存款利息收入</t>
    <phoneticPr fontId="5" type="noConversion"/>
  </si>
  <si>
    <t>　　手續費收入</t>
    <phoneticPr fontId="5" type="noConversion"/>
  </si>
  <si>
    <t>　　兌換賸餘</t>
    <phoneticPr fontId="5" type="noConversion"/>
  </si>
  <si>
    <t>　　融資業務收入</t>
    <phoneticPr fontId="5" type="noConversion"/>
  </si>
  <si>
    <t>　　投資業務收入</t>
    <phoneticPr fontId="5" type="noConversion"/>
  </si>
  <si>
    <t>　投融資業務收入</t>
    <phoneticPr fontId="5" type="noConversion"/>
  </si>
  <si>
    <r>
      <t>　　</t>
    </r>
    <r>
      <rPr>
        <sz val="9"/>
        <rFont val="標楷體"/>
        <family val="4"/>
        <charset val="136"/>
      </rPr>
      <t>投資性不動產收入</t>
    </r>
    <phoneticPr fontId="5" type="noConversion"/>
  </si>
  <si>
    <t>　租金及權利金收入</t>
    <phoneticPr fontId="5" type="noConversion"/>
  </si>
  <si>
    <r>
      <rPr>
        <sz val="11"/>
        <rFont val="標楷體"/>
        <family val="4"/>
        <charset val="136"/>
      </rPr>
      <t>金</t>
    </r>
    <r>
      <rPr>
        <sz val="11"/>
        <rFont val="Times New Roman"/>
        <family val="1"/>
      </rPr>
      <t xml:space="preserve"> </t>
    </r>
    <r>
      <rPr>
        <sz val="11"/>
        <rFont val="標楷體"/>
        <family val="4"/>
        <charset val="136"/>
      </rPr>
      <t>額</t>
    </r>
    <phoneticPr fontId="5"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</si>
  <si>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5"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</si>
  <si>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5" type="noConversion"/>
  </si>
  <si>
    <t>現金及約當現金之淨增（淨減）</t>
    <phoneticPr fontId="5" type="noConversion"/>
  </si>
  <si>
    <t>　　籌資活動之淨現金流入（流出）</t>
    <phoneticPr fontId="5" type="noConversion"/>
  </si>
  <si>
    <t>係增加其他負債0千元。</t>
    <phoneticPr fontId="5" type="noConversion"/>
  </si>
  <si>
    <t xml:space="preserve">　增加短期債務、流動金融負債及其他負債
    </t>
    <phoneticPr fontId="5" type="noConversion"/>
  </si>
  <si>
    <t>籌資活動之現金流量</t>
    <phoneticPr fontId="5" type="noConversion"/>
  </si>
  <si>
    <t>　　投資活動之淨現金流入（流出）</t>
    <phoneticPr fontId="5" type="noConversion"/>
  </si>
  <si>
    <r>
      <rPr>
        <sz val="12"/>
        <rFont val="標楷體"/>
        <family val="4"/>
        <charset val="136"/>
      </rPr>
      <t>係增加無形資產。</t>
    </r>
    <phoneticPr fontId="5" type="noConversion"/>
  </si>
  <si>
    <t>　增加無形資產、遞延借項及其他資產</t>
    <phoneticPr fontId="5" type="noConversion"/>
  </si>
  <si>
    <r>
      <rPr>
        <sz val="12"/>
        <rFont val="標楷體"/>
        <family val="4"/>
        <charset val="136"/>
      </rPr>
      <t>係增加長期貸款</t>
    </r>
    <r>
      <rPr>
        <sz val="12"/>
        <rFont val="Times New Roman"/>
        <family val="1"/>
      </rPr>
      <t>10,169,315</t>
    </r>
    <r>
      <rPr>
        <sz val="12"/>
        <rFont val="標楷體"/>
        <family val="4"/>
        <charset val="136"/>
      </rPr>
      <t>千元。</t>
    </r>
    <phoneticPr fontId="5" type="noConversion"/>
  </si>
  <si>
    <t>　增加流動金融資產及短期貸墊款</t>
    <phoneticPr fontId="5" type="noConversion"/>
  </si>
  <si>
    <t xml:space="preserve">  收取利息</t>
    <phoneticPr fontId="5" type="noConversion"/>
  </si>
  <si>
    <t>　減少投資、長期應收款、貸墊款及準備金</t>
    <phoneticPr fontId="5" type="noConversion"/>
  </si>
  <si>
    <t>　減少流動金融資產及短期貸墊款</t>
    <phoneticPr fontId="5" type="noConversion"/>
  </si>
  <si>
    <t>投資活動之現金流量</t>
    <phoneticPr fontId="5" type="noConversion"/>
  </si>
  <si>
    <t>　　業務活動之淨現金流入（流出）</t>
    <phoneticPr fontId="5" type="noConversion"/>
  </si>
  <si>
    <t xml:space="preserve">  未計利息股利之現金流入（流出）</t>
    <phoneticPr fontId="5" type="noConversion"/>
  </si>
  <si>
    <r>
      <rPr>
        <sz val="12"/>
        <rFont val="標楷體"/>
        <family val="4"/>
        <charset val="136"/>
      </rPr>
      <t>千元</t>
    </r>
    <phoneticPr fontId="5" type="noConversion"/>
  </si>
  <si>
    <r>
      <t>7.</t>
    </r>
    <r>
      <rPr>
        <sz val="12"/>
        <rFont val="標楷體"/>
        <family val="4"/>
        <charset val="136"/>
      </rPr>
      <t>其他</t>
    </r>
    <phoneticPr fontId="5" type="noConversion"/>
  </si>
  <si>
    <t>　　</t>
    <phoneticPr fontId="5" type="noConversion"/>
  </si>
  <si>
    <r>
      <t>5.</t>
    </r>
    <r>
      <rPr>
        <sz val="12"/>
        <rFont val="標楷體"/>
        <family val="4"/>
        <charset val="136"/>
      </rPr>
      <t>流動資產淨減</t>
    </r>
    <phoneticPr fontId="5" type="noConversion"/>
  </si>
  <si>
    <r>
      <t>4.</t>
    </r>
    <r>
      <rPr>
        <sz val="12"/>
        <rFont val="標楷體"/>
        <family val="4"/>
        <charset val="136"/>
      </rPr>
      <t>攤銷</t>
    </r>
    <phoneticPr fontId="5" type="noConversion"/>
  </si>
  <si>
    <r>
      <t>3.</t>
    </r>
    <r>
      <rPr>
        <sz val="12"/>
        <rFont val="標楷體"/>
        <family val="4"/>
        <charset val="136"/>
      </rPr>
      <t>折舊</t>
    </r>
    <phoneticPr fontId="5" type="noConversion"/>
  </si>
  <si>
    <t xml:space="preserve">
註：本年度信託代理與保證資產（負債）預計為220,637千元，係包括（應付）保證品72,250千元及應收（受託）代收款148,387千元。                 
</t>
    <phoneticPr fontId="5" type="noConversion"/>
  </si>
  <si>
    <t>合計</t>
    <phoneticPr fontId="5" type="noConversion"/>
  </si>
  <si>
    <t>　累積賸餘</t>
    <phoneticPr fontId="5" type="noConversion"/>
  </si>
  <si>
    <t>累積餘絀</t>
    <phoneticPr fontId="5" type="noConversion"/>
  </si>
  <si>
    <t>　資本公積</t>
    <phoneticPr fontId="5" type="noConversion"/>
  </si>
  <si>
    <t>公積</t>
    <phoneticPr fontId="5" type="noConversion"/>
  </si>
  <si>
    <t>　基金</t>
    <phoneticPr fontId="5" type="noConversion"/>
  </si>
  <si>
    <t>基金</t>
    <phoneticPr fontId="5" type="noConversion"/>
  </si>
  <si>
    <t>淨值</t>
    <phoneticPr fontId="5" type="noConversion"/>
  </si>
  <si>
    <t>　什項負債</t>
    <phoneticPr fontId="5" type="noConversion"/>
  </si>
  <si>
    <t>　負債準備</t>
    <phoneticPr fontId="5" type="noConversion"/>
  </si>
  <si>
    <t>　遞延負債</t>
    <phoneticPr fontId="5" type="noConversion"/>
  </si>
  <si>
    <t>其他負債</t>
    <phoneticPr fontId="5" type="noConversion"/>
  </si>
  <si>
    <t>　流動金融負債</t>
    <phoneticPr fontId="5" type="noConversion"/>
  </si>
  <si>
    <t>　預收款項</t>
    <phoneticPr fontId="5" type="noConversion"/>
  </si>
  <si>
    <t>　應付款項</t>
    <phoneticPr fontId="5" type="noConversion"/>
  </si>
  <si>
    <t>流動負債</t>
    <phoneticPr fontId="5" type="noConversion"/>
  </si>
  <si>
    <t>負債</t>
    <phoneticPr fontId="5" type="noConversion"/>
  </si>
  <si>
    <t>合計</t>
    <phoneticPr fontId="5" type="noConversion"/>
  </si>
  <si>
    <t>　待處理資產</t>
    <phoneticPr fontId="5" type="noConversion"/>
  </si>
  <si>
    <t>　什項資產</t>
    <phoneticPr fontId="5" type="noConversion"/>
  </si>
  <si>
    <t>　遞延資產</t>
    <phoneticPr fontId="5" type="noConversion"/>
  </si>
  <si>
    <t>其他資產</t>
    <phoneticPr fontId="5" type="noConversion"/>
  </si>
  <si>
    <t>　投資性不動產</t>
    <phoneticPr fontId="5" type="noConversion"/>
  </si>
  <si>
    <t>投資性不動產</t>
    <phoneticPr fontId="5" type="noConversion"/>
  </si>
  <si>
    <t>　長期貸款</t>
    <phoneticPr fontId="5" type="noConversion"/>
  </si>
  <si>
    <t xml:space="preserve">  非流動金融資產</t>
    <phoneticPr fontId="5" type="noConversion"/>
  </si>
  <si>
    <t>投資、長期應收款、貸墊款及準備金</t>
    <phoneticPr fontId="5" type="noConversion"/>
  </si>
  <si>
    <t>　短期貸墊款</t>
    <phoneticPr fontId="5" type="noConversion"/>
  </si>
  <si>
    <t>　預付款項</t>
    <phoneticPr fontId="5" type="noConversion"/>
  </si>
  <si>
    <t>　應收款項</t>
    <phoneticPr fontId="5" type="noConversion"/>
  </si>
  <si>
    <t>　流動金融資產</t>
    <phoneticPr fontId="5" type="noConversion"/>
  </si>
  <si>
    <t>　現金</t>
    <phoneticPr fontId="5" type="noConversion"/>
  </si>
  <si>
    <t>流動資產</t>
    <phoneticPr fontId="5" type="noConversion"/>
  </si>
  <si>
    <t>資產</t>
    <phoneticPr fontId="5" type="noConversion"/>
  </si>
  <si>
    <t>比較增減</t>
    <phoneticPr fontId="5" type="noConversion"/>
  </si>
  <si>
    <r>
      <t>110</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預計數</t>
    </r>
    <phoneticPr fontId="5" type="noConversion"/>
  </si>
  <si>
    <r>
      <t>111</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預計數</t>
    </r>
    <phoneticPr fontId="5" type="noConversion"/>
  </si>
  <si>
    <t>科目</t>
    <phoneticPr fontId="5" type="noConversion"/>
  </si>
  <si>
    <r>
      <t>109</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實際數</t>
    </r>
    <phoneticPr fontId="5" type="noConversion"/>
  </si>
  <si>
    <t>註：百分比及前年度決算數細數之和與總數或略有出入，係四捨五入關係。以下各表同。</t>
    <phoneticPr fontId="5" type="noConversion"/>
  </si>
  <si>
    <t>本期賸餘（短絀）</t>
    <phoneticPr fontId="5" type="noConversion"/>
  </si>
  <si>
    <t>業務外賸餘（短絀）</t>
    <phoneticPr fontId="5" type="noConversion"/>
  </si>
  <si>
    <t>　　雜項費用</t>
    <phoneticPr fontId="5" type="noConversion"/>
  </si>
  <si>
    <t>　其他業務外費用</t>
    <phoneticPr fontId="5" type="noConversion"/>
  </si>
  <si>
    <t>業務外費用</t>
    <phoneticPr fontId="5" type="noConversion"/>
  </si>
  <si>
    <t>　　違規罰款收入</t>
    <phoneticPr fontId="5" type="noConversion"/>
  </si>
  <si>
    <t>　其他業務外收入</t>
    <phoneticPr fontId="5" type="noConversion"/>
  </si>
  <si>
    <t>　　利息收入</t>
    <phoneticPr fontId="5" type="noConversion"/>
  </si>
  <si>
    <t>　財務收入</t>
    <phoneticPr fontId="5" type="noConversion"/>
  </si>
  <si>
    <t>業務外收入</t>
    <phoneticPr fontId="5" type="noConversion"/>
  </si>
  <si>
    <t>業務賸餘（短絀）</t>
    <phoneticPr fontId="5" type="noConversion"/>
  </si>
  <si>
    <t>　其他業務成本</t>
    <phoneticPr fontId="5" type="noConversion"/>
  </si>
  <si>
    <t>　　呆帳</t>
    <phoneticPr fontId="5" type="noConversion"/>
  </si>
  <si>
    <t>　　提存責任準備</t>
    <phoneticPr fontId="5" type="noConversion"/>
  </si>
  <si>
    <t>　　兌換短絀</t>
    <phoneticPr fontId="5" type="noConversion"/>
  </si>
  <si>
    <t>　　投資業務成本</t>
    <phoneticPr fontId="5" type="noConversion"/>
  </si>
  <si>
    <t xml:space="preserve">  投融資業務成本</t>
    <phoneticPr fontId="5" type="noConversion"/>
  </si>
  <si>
    <t>業務成本與費用</t>
    <phoneticPr fontId="5" type="noConversion"/>
  </si>
  <si>
    <t xml:space="preserve">  　收回責任準備</t>
    <phoneticPr fontId="5" type="noConversion"/>
  </si>
  <si>
    <t>　　保費收入</t>
    <phoneticPr fontId="5" type="noConversion"/>
  </si>
  <si>
    <t>　　兌換賸餘</t>
    <phoneticPr fontId="5" type="noConversion"/>
  </si>
  <si>
    <t>　　投資業務收入</t>
    <phoneticPr fontId="5" type="noConversion"/>
  </si>
  <si>
    <t>　投融資業務收入</t>
    <phoneticPr fontId="5" type="noConversion"/>
  </si>
  <si>
    <r>
      <rPr>
        <sz val="11"/>
        <rFont val="標楷體"/>
        <family val="4"/>
        <charset val="136"/>
      </rPr>
      <t>金</t>
    </r>
    <r>
      <rPr>
        <sz val="11"/>
        <rFont val="Times New Roman"/>
        <family val="1"/>
      </rPr>
      <t xml:space="preserve"> </t>
    </r>
    <r>
      <rPr>
        <sz val="11"/>
        <rFont val="標楷體"/>
        <family val="4"/>
        <charset val="136"/>
      </rPr>
      <t>額</t>
    </r>
    <phoneticPr fontId="5" type="noConversion"/>
  </si>
  <si>
    <r>
      <rPr>
        <b/>
        <sz val="12"/>
        <rFont val="標楷體"/>
        <family val="4"/>
        <charset val="136"/>
      </rPr>
      <t>現金及約當現金之淨增（淨減）</t>
    </r>
    <phoneticPr fontId="5" type="noConversion"/>
  </si>
  <si>
    <r>
      <rPr>
        <b/>
        <sz val="12"/>
        <rFont val="標楷體"/>
        <family val="4"/>
        <charset val="136"/>
      </rPr>
      <t>　　籌資活動之淨現金流入（流出）</t>
    </r>
    <phoneticPr fontId="5" type="noConversion"/>
  </si>
  <si>
    <r>
      <rPr>
        <sz val="12"/>
        <rFont val="標楷體"/>
        <family val="4"/>
        <charset val="136"/>
      </rPr>
      <t>支付利息</t>
    </r>
    <r>
      <rPr>
        <sz val="12"/>
        <rFont val="Times New Roman"/>
        <family val="1"/>
      </rPr>
      <t xml:space="preserve"> </t>
    </r>
    <r>
      <rPr>
        <sz val="12"/>
        <rFont val="標楷體"/>
        <family val="4"/>
        <charset val="136"/>
      </rPr>
      <t>千元。</t>
    </r>
    <phoneticPr fontId="5" type="noConversion"/>
  </si>
  <si>
    <r>
      <t xml:space="preserve">   </t>
    </r>
    <r>
      <rPr>
        <sz val="12"/>
        <rFont val="標楷體"/>
        <family val="4"/>
        <charset val="136"/>
      </rPr>
      <t>支付利息</t>
    </r>
    <phoneticPr fontId="5" type="noConversion"/>
  </si>
  <si>
    <r>
      <rPr>
        <sz val="12"/>
        <rFont val="標楷體"/>
        <family val="4"/>
        <charset val="136"/>
      </rPr>
      <t>係減少其他負債</t>
    </r>
    <r>
      <rPr>
        <sz val="12"/>
        <rFont val="標楷體"/>
        <family val="4"/>
        <charset val="136"/>
      </rPr>
      <t>千元。</t>
    </r>
    <phoneticPr fontId="5" type="noConversion"/>
  </si>
  <si>
    <r>
      <rPr>
        <sz val="12"/>
        <rFont val="標楷體"/>
        <family val="4"/>
        <charset val="136"/>
      </rPr>
      <t xml:space="preserve">　減少短期債務、流動金融負債及其他負債
</t>
    </r>
    <r>
      <rPr>
        <sz val="12"/>
        <rFont val="Times New Roman"/>
        <family val="1"/>
      </rPr>
      <t xml:space="preserve">    </t>
    </r>
    <phoneticPr fontId="5" type="noConversion"/>
  </si>
  <si>
    <r>
      <rPr>
        <sz val="12"/>
        <rFont val="標楷體"/>
        <family val="4"/>
        <charset val="136"/>
      </rPr>
      <t>係增加短期債務</t>
    </r>
    <r>
      <rPr>
        <sz val="12"/>
        <rFont val="Times New Roman"/>
        <family val="1"/>
      </rPr>
      <t xml:space="preserve">  </t>
    </r>
    <r>
      <rPr>
        <sz val="12"/>
        <rFont val="標楷體"/>
        <family val="4"/>
        <charset val="136"/>
      </rPr>
      <t>千元及勞工保險業務其他負債</t>
    </r>
    <r>
      <rPr>
        <sz val="12"/>
        <rFont val="Times New Roman"/>
        <family val="1"/>
      </rPr>
      <t xml:space="preserve">    </t>
    </r>
    <r>
      <rPr>
        <sz val="12"/>
        <rFont val="標楷體"/>
        <family val="4"/>
        <charset val="136"/>
      </rPr>
      <t>千元。</t>
    </r>
    <phoneticPr fontId="5" type="noConversion"/>
  </si>
  <si>
    <r>
      <rPr>
        <sz val="12"/>
        <rFont val="標楷體"/>
        <family val="4"/>
        <charset val="136"/>
      </rPr>
      <t xml:space="preserve">　增加短期債務、流動金融負債及其他負債
</t>
    </r>
    <r>
      <rPr>
        <sz val="12"/>
        <rFont val="Times New Roman"/>
        <family val="1"/>
      </rPr>
      <t xml:space="preserve">    </t>
    </r>
    <phoneticPr fontId="5" type="noConversion"/>
  </si>
  <si>
    <r>
      <rPr>
        <b/>
        <sz val="12"/>
        <rFont val="標楷體"/>
        <family val="4"/>
        <charset val="136"/>
      </rPr>
      <t>籌資活動之現金流量</t>
    </r>
    <phoneticPr fontId="5" type="noConversion"/>
  </si>
  <si>
    <r>
      <rPr>
        <b/>
        <sz val="12"/>
        <rFont val="標楷體"/>
        <family val="4"/>
        <charset val="136"/>
      </rPr>
      <t>　　投資活動之淨現金流入（流出）</t>
    </r>
    <phoneticPr fontId="5" type="noConversion"/>
  </si>
  <si>
    <r>
      <rPr>
        <sz val="12"/>
        <rFont val="標楷體"/>
        <family val="4"/>
        <charset val="136"/>
      </rPr>
      <t>　增加無形資產、遞延借項及其他資產</t>
    </r>
    <phoneticPr fontId="5" type="noConversion"/>
  </si>
  <si>
    <r>
      <rPr>
        <sz val="12"/>
        <rFont val="標楷體"/>
        <family val="4"/>
        <charset val="136"/>
      </rPr>
      <t>係增加投資</t>
    </r>
    <r>
      <rPr>
        <sz val="12"/>
        <rFont val="Times New Roman"/>
        <family val="1"/>
      </rPr>
      <t>-</t>
    </r>
    <r>
      <rPr>
        <sz val="12"/>
        <rFont val="標楷體"/>
        <family val="4"/>
        <charset val="136"/>
      </rPr>
      <t>非流動金融資產</t>
    </r>
    <r>
      <rPr>
        <sz val="12"/>
        <rFont val="Times New Roman"/>
        <family val="1"/>
      </rPr>
      <t>3,743,675</t>
    </r>
    <r>
      <rPr>
        <sz val="12"/>
        <rFont val="標楷體"/>
        <family val="4"/>
        <charset val="136"/>
      </rPr>
      <t>千元。</t>
    </r>
    <phoneticPr fontId="5" type="noConversion"/>
  </si>
  <si>
    <r>
      <rPr>
        <sz val="12"/>
        <rFont val="標楷體"/>
        <family val="4"/>
        <charset val="136"/>
      </rPr>
      <t>　增加投資、長期應收款、貸墊款及準備金</t>
    </r>
    <phoneticPr fontId="5" type="noConversion"/>
  </si>
  <si>
    <r>
      <rPr>
        <sz val="12"/>
        <rFont val="標楷體"/>
        <family val="4"/>
        <charset val="136"/>
      </rPr>
      <t>係增加流動金融資產</t>
    </r>
    <r>
      <rPr>
        <sz val="12"/>
        <rFont val="Times New Roman"/>
        <family val="1"/>
      </rPr>
      <t>1,799,991</t>
    </r>
    <r>
      <rPr>
        <sz val="12"/>
        <rFont val="標楷體"/>
        <family val="4"/>
        <charset val="136"/>
      </rPr>
      <t>千元。</t>
    </r>
    <phoneticPr fontId="5" type="noConversion"/>
  </si>
  <si>
    <r>
      <rPr>
        <sz val="12"/>
        <rFont val="標楷體"/>
        <family val="4"/>
        <charset val="136"/>
      </rPr>
      <t>　增加流動金融資產及短期貸墊款</t>
    </r>
    <phoneticPr fontId="5" type="noConversion"/>
  </si>
  <si>
    <r>
      <rPr>
        <sz val="12"/>
        <rFont val="標楷體"/>
        <family val="4"/>
        <charset val="136"/>
      </rPr>
      <t>收取利息</t>
    </r>
    <r>
      <rPr>
        <sz val="12"/>
        <rFont val="Times New Roman"/>
        <family val="1"/>
      </rPr>
      <t>1,701,619</t>
    </r>
    <r>
      <rPr>
        <sz val="12"/>
        <rFont val="標楷體"/>
        <family val="4"/>
        <charset val="136"/>
      </rPr>
      <t>千元。</t>
    </r>
    <phoneticPr fontId="5" type="noConversion"/>
  </si>
  <si>
    <r>
      <t xml:space="preserve">    </t>
    </r>
    <r>
      <rPr>
        <sz val="12"/>
        <rFont val="標楷體"/>
        <family val="4"/>
        <charset val="136"/>
      </rPr>
      <t>收取利息</t>
    </r>
    <phoneticPr fontId="5" type="noConversion"/>
  </si>
  <si>
    <r>
      <rPr>
        <sz val="12"/>
        <rFont val="標楷體"/>
        <family val="4"/>
        <charset val="136"/>
      </rPr>
      <t>　減少流動金融資產及短期貸墊款</t>
    </r>
    <phoneticPr fontId="5" type="noConversion"/>
  </si>
  <si>
    <r>
      <rPr>
        <b/>
        <sz val="12"/>
        <rFont val="標楷體"/>
        <family val="4"/>
        <charset val="136"/>
      </rPr>
      <t>投資活動之現金流量</t>
    </r>
    <phoneticPr fontId="5" type="noConversion"/>
  </si>
  <si>
    <r>
      <rPr>
        <b/>
        <sz val="12"/>
        <rFont val="標楷體"/>
        <family val="4"/>
        <charset val="136"/>
      </rPr>
      <t>　　業務活動之淨現金流入（流出）</t>
    </r>
    <phoneticPr fontId="5" type="noConversion"/>
  </si>
  <si>
    <r>
      <t>收取利息</t>
    </r>
    <r>
      <rPr>
        <sz val="12"/>
        <rFont val="Times New Roman"/>
        <family val="1"/>
      </rPr>
      <t>73</t>
    </r>
    <r>
      <rPr>
        <sz val="12"/>
        <rFont val="標楷體"/>
        <family val="4"/>
        <charset val="136"/>
      </rPr>
      <t>千元。</t>
    </r>
    <phoneticPr fontId="5" type="noConversion"/>
  </si>
  <si>
    <t>　無形資產</t>
    <phoneticPr fontId="5" type="noConversion"/>
  </si>
  <si>
    <t>無形資產</t>
    <phoneticPr fontId="5" type="noConversion"/>
  </si>
  <si>
    <t>　　  已加保勞工</t>
    <phoneticPr fontId="5" type="noConversion"/>
  </si>
  <si>
    <t>業務外賸餘（短絀）</t>
    <phoneticPr fontId="5" type="noConversion"/>
  </si>
  <si>
    <t>　　  未加保勞工</t>
    <phoneticPr fontId="5" type="noConversion"/>
  </si>
  <si>
    <t xml:space="preserve">    雜項費用</t>
    <phoneticPr fontId="5" type="noConversion"/>
  </si>
  <si>
    <t xml:space="preserve">  其他業務外費用</t>
    <phoneticPr fontId="5" type="noConversion"/>
  </si>
  <si>
    <t>業務外費用</t>
    <phoneticPr fontId="5" type="noConversion"/>
  </si>
  <si>
    <t xml:space="preserve">    雜項收入</t>
    <phoneticPr fontId="5" type="noConversion"/>
  </si>
  <si>
    <t xml:space="preserve">    收回呆帳</t>
    <phoneticPr fontId="5" type="noConversion"/>
  </si>
  <si>
    <t xml:space="preserve">    違規罰款收入</t>
    <phoneticPr fontId="5" type="noConversion"/>
  </si>
  <si>
    <t xml:space="preserve">  其他業務外收入</t>
    <phoneticPr fontId="5" type="noConversion"/>
  </si>
  <si>
    <t>　　  未加保勞工</t>
    <phoneticPr fontId="5" type="noConversion"/>
  </si>
  <si>
    <t>　　  已加保勞工</t>
    <phoneticPr fontId="5" type="noConversion"/>
  </si>
  <si>
    <t>　　雜項業務成本</t>
    <phoneticPr fontId="5" type="noConversion"/>
  </si>
  <si>
    <t>　  呆帳</t>
    <phoneticPr fontId="5" type="noConversion"/>
  </si>
  <si>
    <t>　    已加保勞工</t>
    <phoneticPr fontId="5" type="noConversion"/>
  </si>
  <si>
    <t xml:space="preserve">　  保險給付  </t>
    <phoneticPr fontId="5" type="noConversion"/>
  </si>
  <si>
    <t xml:space="preserve">  保險成本</t>
    <phoneticPr fontId="5" type="noConversion"/>
  </si>
  <si>
    <t>　保險收入</t>
    <phoneticPr fontId="5" type="noConversion"/>
  </si>
  <si>
    <t>　　存款利息收入</t>
    <phoneticPr fontId="5" type="noConversion"/>
  </si>
  <si>
    <t xml:space="preserve">      </t>
    <phoneticPr fontId="5" type="noConversion"/>
  </si>
  <si>
    <r>
      <rPr>
        <sz val="12"/>
        <rFont val="標楷體"/>
        <family val="4"/>
        <charset val="136"/>
      </rPr>
      <t>係增加流動金融資產</t>
    </r>
    <r>
      <rPr>
        <sz val="12"/>
        <rFont val="Times New Roman"/>
        <family val="1"/>
      </rPr>
      <t>109,200</t>
    </r>
    <r>
      <rPr>
        <sz val="12"/>
        <rFont val="標楷體"/>
        <family val="4"/>
        <charset val="136"/>
      </rPr>
      <t>千元。</t>
    </r>
    <phoneticPr fontId="5" type="noConversion"/>
  </si>
  <si>
    <r>
      <rPr>
        <sz val="12"/>
        <rFont val="標楷體"/>
        <family val="4"/>
        <charset val="136"/>
      </rPr>
      <t>收取利息</t>
    </r>
    <r>
      <rPr>
        <sz val="12"/>
        <rFont val="Times New Roman"/>
        <family val="1"/>
      </rPr>
      <t>332</t>
    </r>
    <r>
      <rPr>
        <sz val="12"/>
        <rFont val="標楷體"/>
        <family val="4"/>
        <charset val="136"/>
      </rPr>
      <t>千元。</t>
    </r>
    <phoneticPr fontId="5" type="noConversion"/>
  </si>
  <si>
    <r>
      <rPr>
        <sz val="12"/>
        <rFont val="標楷體"/>
        <family val="4"/>
        <charset val="136"/>
      </rPr>
      <t>本科目勞動部勞工保險局辦理</t>
    </r>
    <r>
      <rPr>
        <sz val="12"/>
        <rFont val="Times New Roman"/>
        <family val="1"/>
      </rPr>
      <t>68,000</t>
    </r>
    <r>
      <rPr>
        <sz val="12"/>
        <rFont val="標楷體"/>
        <family val="4"/>
        <charset val="136"/>
      </rPr>
      <t>千元；勞動部勞動基金運用局辦理</t>
    </r>
    <r>
      <rPr>
        <sz val="12"/>
        <rFont val="Times New Roman"/>
        <family val="1"/>
      </rPr>
      <t>935,916</t>
    </r>
    <r>
      <rPr>
        <sz val="12"/>
        <rFont val="標楷體"/>
        <family val="4"/>
        <charset val="136"/>
      </rPr>
      <t>千元。</t>
    </r>
    <phoneticPr fontId="5" type="noConversion"/>
  </si>
  <si>
    <t>1.</t>
    <phoneticPr fontId="5" type="noConversion"/>
  </si>
  <si>
    <t>2.</t>
    <phoneticPr fontId="5" type="noConversion"/>
  </si>
  <si>
    <r>
      <rPr>
        <sz val="12"/>
        <rFont val="標楷體"/>
        <family val="4"/>
        <charset val="136"/>
      </rPr>
      <t>普通事故：編列</t>
    </r>
    <r>
      <rPr>
        <sz val="12"/>
        <rFont val="Times New Roman"/>
        <family val="1"/>
      </rPr>
      <t>518,440,489</t>
    </r>
    <r>
      <rPr>
        <sz val="12"/>
        <rFont val="標楷體"/>
        <family val="4"/>
        <charset val="136"/>
      </rPr>
      <t>千元，主要包含生育、傷病、失能、老年及死亡五項給付。</t>
    </r>
    <phoneticPr fontId="5" type="noConversion"/>
  </si>
  <si>
    <r>
      <rPr>
        <sz val="12"/>
        <rFont val="標楷體"/>
        <family val="4"/>
        <charset val="136"/>
      </rPr>
      <t>職業災害：編列</t>
    </r>
    <r>
      <rPr>
        <sz val="12"/>
        <rFont val="Times New Roman"/>
        <family val="1"/>
      </rPr>
      <t>2,535,367</t>
    </r>
    <r>
      <rPr>
        <sz val="12"/>
        <rFont val="標楷體"/>
        <family val="4"/>
        <charset val="136"/>
      </rPr>
      <t>千元，主要包含傷病、醫療、失能及死亡四項給付。</t>
    </r>
    <phoneticPr fontId="5" type="noConversion"/>
  </si>
  <si>
    <r>
      <rPr>
        <sz val="12"/>
        <rFont val="標楷體"/>
        <family val="4"/>
        <charset val="136"/>
      </rPr>
      <t>農保：編列</t>
    </r>
    <r>
      <rPr>
        <sz val="12"/>
        <rFont val="Times New Roman"/>
        <family val="1"/>
      </rPr>
      <t>6,623,421</t>
    </r>
    <r>
      <rPr>
        <sz val="12"/>
        <rFont val="標楷體"/>
        <family val="4"/>
        <charset val="136"/>
      </rPr>
      <t>千元，主要包含生育給付、身心障礙給付及喪葬津貼。</t>
    </r>
    <phoneticPr fontId="5" type="noConversion"/>
  </si>
  <si>
    <r>
      <rPr>
        <sz val="12"/>
        <rFont val="標楷體"/>
        <family val="4"/>
        <charset val="136"/>
      </rPr>
      <t>農職保：編列</t>
    </r>
    <r>
      <rPr>
        <sz val="12"/>
        <rFont val="Times New Roman"/>
        <family val="1"/>
      </rPr>
      <t>129,268</t>
    </r>
    <r>
      <rPr>
        <sz val="12"/>
        <rFont val="標楷體"/>
        <family val="4"/>
        <charset val="136"/>
      </rPr>
      <t>千元，主要包含傷害給付、身心障礙給付、就醫津貼及喪葬津貼。</t>
    </r>
    <phoneticPr fontId="5" type="noConversion"/>
  </si>
  <si>
    <r>
      <t>1.</t>
    </r>
    <r>
      <rPr>
        <sz val="12"/>
        <rFont val="標楷體"/>
        <family val="4"/>
        <charset val="136"/>
      </rPr>
      <t/>
    </r>
    <phoneticPr fontId="5" type="noConversion"/>
  </si>
  <si>
    <r>
      <t>2.</t>
    </r>
    <r>
      <rPr>
        <sz val="12"/>
        <rFont val="標楷體"/>
        <family val="4"/>
        <charset val="136"/>
      </rPr>
      <t/>
    </r>
    <phoneticPr fontId="5" type="noConversion"/>
  </si>
  <si>
    <r>
      <t>編列</t>
    </r>
    <r>
      <rPr>
        <sz val="12"/>
        <rFont val="Times New Roman"/>
        <family val="1"/>
      </rPr>
      <t>872</t>
    </r>
    <r>
      <rPr>
        <sz val="12"/>
        <rFont val="標楷體"/>
        <family val="4"/>
        <charset val="136"/>
      </rPr>
      <t>千元，係郵費、電話費及數據通信費等。</t>
    </r>
    <phoneticPr fontId="5" type="noConversion"/>
  </si>
  <si>
    <r>
      <t>編列</t>
    </r>
    <r>
      <rPr>
        <sz val="12"/>
        <rFont val="Times New Roman"/>
        <family val="1"/>
      </rPr>
      <t>5,967</t>
    </r>
    <r>
      <rPr>
        <sz val="12"/>
        <rFont val="標楷體"/>
        <family val="4"/>
        <charset val="136"/>
      </rPr>
      <t>千元，係按國內出差旅費報支要點規定之國內旅費等。</t>
    </r>
    <phoneticPr fontId="5" type="noConversion"/>
  </si>
  <si>
    <r>
      <t>編列</t>
    </r>
    <r>
      <rPr>
        <sz val="12"/>
        <rFont val="Times New Roman"/>
        <family val="1"/>
      </rPr>
      <t>1,700</t>
    </r>
    <r>
      <rPr>
        <sz val="12"/>
        <rFont val="標楷體"/>
        <family val="4"/>
        <charset val="136"/>
      </rPr>
      <t>千元，係各種文件、表單、報表、書函等之印刷及裝訂費。</t>
    </r>
    <phoneticPr fontId="5" type="noConversion"/>
  </si>
  <si>
    <r>
      <t>編列</t>
    </r>
    <r>
      <rPr>
        <sz val="12"/>
        <rFont val="Times New Roman"/>
        <family val="1"/>
      </rPr>
      <t>9,030</t>
    </r>
    <r>
      <rPr>
        <sz val="12"/>
        <rFont val="標楷體"/>
        <family val="4"/>
        <charset val="136"/>
      </rPr>
      <t>千元，係運用研究成果與配合產業特性或展示主題，製作勞動及安全衛生展品，進行多元化展示，推廣安全衛生意識等。</t>
    </r>
    <phoneticPr fontId="5" type="noConversion"/>
  </si>
  <si>
    <r>
      <t>編列</t>
    </r>
    <r>
      <rPr>
        <sz val="12"/>
        <rFont val="Times New Roman"/>
        <family val="1"/>
      </rPr>
      <t>1,100</t>
    </r>
    <r>
      <rPr>
        <sz val="12"/>
        <rFont val="標楷體"/>
        <family val="4"/>
        <charset val="136"/>
      </rPr>
      <t>千元，係租賃檢查車輛租金。</t>
    </r>
    <phoneticPr fontId="5" type="noConversion"/>
  </si>
  <si>
    <r>
      <t>編列</t>
    </r>
    <r>
      <rPr>
        <sz val="12"/>
        <rFont val="Times New Roman"/>
        <family val="1"/>
      </rPr>
      <t>507,108</t>
    </r>
    <r>
      <rPr>
        <sz val="12"/>
        <rFont val="標楷體"/>
        <family val="4"/>
        <charset val="136"/>
      </rPr>
      <t>千元，係補助職業及機械設備輔導、認可醫療機構辦理傷病診治服務、通報及轉介、認可職能復健機構辦理職能復健服務、職災勞工個案主動服務經費、提供事業單位輔助設施補助，捐助成立財團法人職業災害預防及重建中心。</t>
    </r>
    <phoneticPr fontId="5" type="noConversion"/>
  </si>
  <si>
    <r>
      <t>編列</t>
    </r>
    <r>
      <rPr>
        <sz val="12"/>
        <rFont val="Times New Roman"/>
        <family val="1"/>
      </rPr>
      <t>30,000</t>
    </r>
    <r>
      <rPr>
        <sz val="12"/>
        <rFont val="標楷體"/>
        <family val="4"/>
        <charset val="136"/>
      </rPr>
      <t>千元，係職災勞工保護主動服務慰問金之經費。</t>
    </r>
    <phoneticPr fontId="5" type="noConversion"/>
  </si>
  <si>
    <r>
      <t>編列</t>
    </r>
    <r>
      <rPr>
        <sz val="12"/>
        <rFont val="Times New Roman"/>
        <family val="1"/>
      </rPr>
      <t>60</t>
    </r>
    <r>
      <rPr>
        <sz val="12"/>
        <rFont val="標楷體"/>
        <family val="4"/>
        <charset val="136"/>
      </rPr>
      <t>千元，係責任保險費等。</t>
    </r>
    <phoneticPr fontId="5" type="noConversion"/>
  </si>
  <si>
    <r>
      <rPr>
        <b/>
        <sz val="12"/>
        <rFont val="標楷體"/>
        <family val="4"/>
        <charset val="136"/>
      </rPr>
      <t xml:space="preserve">   醫療給付</t>
    </r>
    <r>
      <rPr>
        <b/>
        <sz val="12"/>
        <rFont val="Times New Roman"/>
        <family val="1"/>
      </rPr>
      <t xml:space="preserve"> </t>
    </r>
    <phoneticPr fontId="22" type="noConversion"/>
  </si>
  <si>
    <t xml:space="preserve">   失能補助</t>
    <phoneticPr fontId="22" type="noConversion"/>
  </si>
  <si>
    <t xml:space="preserve">   死亡補助</t>
    <phoneticPr fontId="22" type="noConversion"/>
  </si>
  <si>
    <t xml:space="preserve">   職業疾病生活津貼</t>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</si>
  <si>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住院費用</t>
    </r>
    <phoneticPr fontId="22" type="noConversion"/>
  </si>
  <si>
    <r>
      <rPr>
        <sz val="10.6"/>
        <rFont val="標楷體"/>
        <family val="4"/>
        <charset val="136"/>
      </rPr>
      <t>　</t>
    </r>
    <r>
      <rPr>
        <sz val="10.6"/>
        <rFont val="Times New Roman"/>
        <family val="1"/>
      </rPr>
      <t xml:space="preserve">         </t>
    </r>
    <r>
      <rPr>
        <sz val="10.6"/>
        <rFont val="標楷體"/>
        <family val="4"/>
        <charset val="136"/>
      </rPr>
      <t>職業疾病相當勞保失能給付
　</t>
    </r>
    <r>
      <rPr>
        <sz val="10.6"/>
        <rFont val="Times New Roman"/>
        <family val="1"/>
      </rPr>
      <t xml:space="preserve">  </t>
    </r>
    <r>
      <rPr>
        <sz val="10.6"/>
        <rFont val="標楷體"/>
        <family val="4"/>
        <charset val="136"/>
      </rPr>
      <t>　</t>
    </r>
    <r>
      <rPr>
        <sz val="10.6"/>
        <rFont val="Times New Roman"/>
        <family val="1"/>
      </rPr>
      <t xml:space="preserve">   1-3</t>
    </r>
    <r>
      <rPr>
        <sz val="10.6"/>
        <rFont val="標楷體"/>
        <family val="4"/>
        <charset val="136"/>
      </rPr>
      <t>等級且喪失全部工作能力</t>
    </r>
    <phoneticPr fontId="22"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</si>
  <si>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1-7</t>
    </r>
    <r>
      <rPr>
        <sz val="10.5"/>
        <rFont val="標楷體"/>
        <family val="4"/>
        <charset val="136"/>
      </rPr>
      <t>等級且喪失部分工作能力</t>
    </r>
    <phoneticPr fontId="22" type="noConversion"/>
  </si>
  <si>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8-10</t>
    </r>
    <r>
      <rPr>
        <sz val="10.5"/>
        <rFont val="標楷體"/>
        <family val="4"/>
        <charset val="136"/>
      </rPr>
      <t>等級且喪失部分工作能力</t>
    </r>
    <phoneticPr fontId="22" type="noConversion"/>
  </si>
  <si>
    <t xml:space="preserve">   失能生活津貼</t>
    <phoneticPr fontId="22" type="noConversion"/>
  </si>
  <si>
    <r>
      <rPr>
        <sz val="10.5"/>
        <rFont val="標楷體"/>
        <family val="4"/>
        <charset val="136"/>
      </rPr>
      <t>　</t>
    </r>
    <r>
      <rPr>
        <sz val="10.5"/>
        <rFont val="Times New Roman"/>
        <family val="1"/>
      </rPr>
      <t xml:space="preserve">         </t>
    </r>
    <r>
      <rPr>
        <sz val="10.5"/>
        <rFont val="標楷體"/>
        <family val="4"/>
        <charset val="136"/>
      </rPr>
      <t>符合勞保失能給付
　</t>
    </r>
    <r>
      <rPr>
        <sz val="10.5"/>
        <rFont val="Times New Roman"/>
        <family val="1"/>
      </rPr>
      <t xml:space="preserve">         1-3</t>
    </r>
    <r>
      <rPr>
        <sz val="10.5"/>
        <rFont val="標楷體"/>
        <family val="4"/>
        <charset val="136"/>
      </rPr>
      <t>等級且喪失全部工作能力</t>
    </r>
    <phoneticPr fontId="22" type="noConversion"/>
  </si>
  <si>
    <r>
      <rPr>
        <sz val="10.5"/>
        <rFont val="標楷體"/>
        <family val="4"/>
        <charset val="136"/>
      </rPr>
      <t>　</t>
    </r>
    <r>
      <rPr>
        <sz val="10.5"/>
        <rFont val="Times New Roman"/>
        <family val="1"/>
      </rPr>
      <t xml:space="preserve">         </t>
    </r>
    <r>
      <rPr>
        <sz val="10.5"/>
        <rFont val="標楷體"/>
        <family val="4"/>
        <charset val="136"/>
      </rPr>
      <t>符合勞保失能給付
　</t>
    </r>
    <r>
      <rPr>
        <sz val="10.5"/>
        <rFont val="Times New Roman"/>
        <family val="1"/>
      </rPr>
      <t xml:space="preserve">         1-7</t>
    </r>
    <r>
      <rPr>
        <sz val="10.5"/>
        <rFont val="標楷體"/>
        <family val="4"/>
        <charset val="136"/>
      </rPr>
      <t>等級且喪失部分工作能力</t>
    </r>
    <phoneticPr fontId="22" type="noConversion"/>
  </si>
  <si>
    <t xml:space="preserve">   職業訓練生活津貼</t>
    <phoneticPr fontId="22" type="noConversion"/>
  </si>
  <si>
    <t xml:space="preserve">   器具補助</t>
    <phoneticPr fontId="22" type="noConversion"/>
  </si>
  <si>
    <t xml:space="preserve">   看護補助</t>
    <phoneticPr fontId="22" type="noConversion"/>
  </si>
  <si>
    <t xml:space="preserve">   家屬補助</t>
    <phoneticPr fontId="22"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</si>
  <si>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1-3</t>
    </r>
    <r>
      <rPr>
        <sz val="10.5"/>
        <rFont val="標楷體"/>
        <family val="4"/>
        <charset val="136"/>
      </rPr>
      <t>等級且喪失全部工作能力</t>
    </r>
    <phoneticPr fontId="22"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</si>
  <si>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1-7</t>
    </r>
    <r>
      <rPr>
        <sz val="10.5"/>
        <rFont val="標楷體"/>
        <family val="4"/>
        <charset val="136"/>
      </rPr>
      <t>等級且喪失部分工作能力</t>
    </r>
    <phoneticPr fontId="22" type="noConversion"/>
  </si>
  <si>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8-10</t>
    </r>
    <r>
      <rPr>
        <sz val="10.5"/>
        <rFont val="標楷體"/>
        <family val="4"/>
        <charset val="136"/>
      </rPr>
      <t>等級且喪失部分工作能力</t>
    </r>
    <r>
      <rPr>
        <sz val="10.5"/>
        <rFont val="Times New Roman"/>
        <family val="1"/>
      </rPr>
      <t xml:space="preserve"> </t>
    </r>
    <phoneticPr fontId="22" type="noConversion"/>
  </si>
  <si>
    <r>
      <rPr>
        <b/>
        <sz val="12"/>
        <rFont val="標楷體"/>
        <family val="4"/>
        <charset val="136"/>
      </rPr>
      <t xml:space="preserve">   職業疾病生活津貼</t>
    </r>
    <r>
      <rPr>
        <b/>
        <sz val="12"/>
        <rFont val="Times New Roman"/>
        <family val="1"/>
      </rPr>
      <t>-</t>
    </r>
    <r>
      <rPr>
        <b/>
        <sz val="12"/>
        <rFont val="標楷體"/>
        <family val="4"/>
        <charset val="136"/>
      </rPr>
      <t>勞保
   效力終止</t>
    </r>
    <phoneticPr fontId="22" type="noConversion"/>
  </si>
  <si>
    <t xml:space="preserve">   複檢費用</t>
    <phoneticPr fontId="22" type="noConversion"/>
  </si>
  <si>
    <t xml:space="preserve">   委託鑑定費用</t>
    <phoneticPr fontId="22"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</si>
  <si>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11-15</t>
    </r>
    <r>
      <rPr>
        <sz val="10.5"/>
        <rFont val="標楷體"/>
        <family val="4"/>
        <charset val="136"/>
      </rPr>
      <t xml:space="preserve">等級且喪失部分工作能
</t>
    </r>
    <r>
      <rPr>
        <sz val="10.5"/>
        <rFont val="Times New Roman"/>
        <family val="1"/>
      </rPr>
      <t xml:space="preserve">            </t>
    </r>
    <r>
      <rPr>
        <sz val="10.5"/>
        <rFont val="標楷體"/>
        <family val="4"/>
        <charset val="136"/>
      </rPr>
      <t>力</t>
    </r>
    <phoneticPr fontId="22"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</si>
  <si>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11-15</t>
    </r>
    <r>
      <rPr>
        <sz val="10.5"/>
        <rFont val="標楷體"/>
        <family val="4"/>
        <charset val="136"/>
      </rPr>
      <t xml:space="preserve">等級且喪失部分工作能
</t>
    </r>
    <r>
      <rPr>
        <sz val="10.5"/>
        <rFont val="Times New Roman"/>
        <family val="1"/>
      </rPr>
      <t xml:space="preserve">            </t>
    </r>
    <r>
      <rPr>
        <sz val="10.5"/>
        <rFont val="標楷體"/>
        <family val="4"/>
        <charset val="136"/>
      </rPr>
      <t>力</t>
    </r>
    <phoneticPr fontId="22" type="noConversion"/>
  </si>
  <si>
    <r>
      <t xml:space="preserve">    </t>
    </r>
    <r>
      <rPr>
        <b/>
        <sz val="12"/>
        <rFont val="標楷體"/>
        <family val="4"/>
        <charset val="136"/>
      </rPr>
      <t>勞職保及保護</t>
    </r>
    <phoneticPr fontId="22" type="noConversion"/>
  </si>
  <si>
    <t>　捐助、補助與獎助</t>
    <phoneticPr fontId="5" type="noConversion"/>
  </si>
  <si>
    <t>　印刷裝訂及公告費</t>
    <phoneticPr fontId="5" type="noConversion"/>
  </si>
  <si>
    <r>
      <t>編列</t>
    </r>
    <r>
      <rPr>
        <sz val="12"/>
        <rFont val="Times New Roman"/>
        <family val="1"/>
      </rPr>
      <t>1,567</t>
    </r>
    <r>
      <rPr>
        <sz val="12"/>
        <rFont val="標楷體"/>
        <family val="4"/>
        <charset val="136"/>
      </rPr>
      <t>千元，係租賃車輛之燃料等。</t>
    </r>
    <phoneticPr fontId="5" type="noConversion"/>
  </si>
  <si>
    <r>
      <t>編列</t>
    </r>
    <r>
      <rPr>
        <sz val="12"/>
        <rFont val="Times New Roman"/>
        <family val="1"/>
      </rPr>
      <t>1,533</t>
    </r>
    <r>
      <rPr>
        <sz val="12"/>
        <rFont val="標楷體"/>
        <family val="4"/>
        <charset val="136"/>
      </rPr>
      <t>千元，係各種辦公用品及其他雜支等。</t>
    </r>
    <phoneticPr fontId="5" type="noConversion"/>
  </si>
  <si>
    <t xml:space="preserve">  勞職保及保護</t>
    <phoneticPr fontId="5" type="noConversion"/>
  </si>
  <si>
    <t>　　　  印刷裝訂及公告費</t>
    <phoneticPr fontId="5" type="noConversion"/>
  </si>
  <si>
    <r>
      <rPr>
        <sz val="12"/>
        <rFont val="標楷體"/>
        <family val="4"/>
        <charset val="136"/>
      </rPr>
      <t>係增加其他負債</t>
    </r>
    <r>
      <rPr>
        <sz val="12"/>
        <rFont val="Times New Roman"/>
        <family val="1"/>
      </rPr>
      <t>231,912</t>
    </r>
    <r>
      <rPr>
        <sz val="12"/>
        <rFont val="標楷體"/>
        <family val="4"/>
        <charset val="136"/>
      </rPr>
      <t>千元。</t>
    </r>
    <phoneticPr fontId="5" type="noConversion"/>
  </si>
  <si>
    <t xml:space="preserve">　減少短期債務、流動金融負債及其他負債
    </t>
    <phoneticPr fontId="5" type="noConversion"/>
  </si>
  <si>
    <t>　其他籌資活動之現金流出</t>
    <phoneticPr fontId="5" type="noConversion"/>
  </si>
  <si>
    <t>　什項負債</t>
    <phoneticPr fontId="5" type="noConversion"/>
  </si>
  <si>
    <t>　負債準備</t>
    <phoneticPr fontId="5" type="noConversion"/>
  </si>
  <si>
    <t>其他負債</t>
    <phoneticPr fontId="5" type="noConversion"/>
  </si>
  <si>
    <t>　應付款項</t>
    <phoneticPr fontId="5" type="noConversion"/>
  </si>
  <si>
    <t>　無形資產</t>
    <phoneticPr fontId="5" type="noConversion"/>
  </si>
  <si>
    <t>投資、長期應收款、貸墊款及準備金</t>
    <phoneticPr fontId="5" type="noConversion"/>
  </si>
  <si>
    <t>　預付款項</t>
    <phoneticPr fontId="5" type="noConversion"/>
  </si>
  <si>
    <t xml:space="preserve">  流動金融資產</t>
    <phoneticPr fontId="5" type="noConversion"/>
  </si>
  <si>
    <t>流動資產</t>
    <phoneticPr fontId="5" type="noConversion"/>
  </si>
  <si>
    <r>
      <t>110</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預計數</t>
    </r>
    <phoneticPr fontId="5" type="noConversion"/>
  </si>
  <si>
    <r>
      <t>111</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預計數</t>
    </r>
    <phoneticPr fontId="5" type="noConversion"/>
  </si>
  <si>
    <t>科目</t>
    <phoneticPr fontId="5" type="noConversion"/>
  </si>
  <si>
    <r>
      <t>109</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實際數</t>
    </r>
    <phoneticPr fontId="5"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</si>
  <si>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5"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</si>
  <si>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5"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</si>
  <si>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5" type="noConversion"/>
  </si>
  <si>
    <r>
      <rPr>
        <sz val="12"/>
        <rFont val="標楷體"/>
        <family val="4"/>
        <charset val="136"/>
      </rPr>
      <t>項目</t>
    </r>
    <phoneticPr fontId="5" type="noConversion"/>
  </si>
  <si>
    <r>
      <rPr>
        <sz val="12"/>
        <rFont val="標楷體"/>
        <family val="4"/>
        <charset val="136"/>
      </rPr>
      <t>預算數</t>
    </r>
    <phoneticPr fontId="5" type="noConversion"/>
  </si>
  <si>
    <r>
      <rPr>
        <sz val="12"/>
        <rFont val="標楷體"/>
        <family val="4"/>
        <charset val="136"/>
      </rPr>
      <t>說明</t>
    </r>
    <phoneticPr fontId="5" type="noConversion"/>
  </si>
  <si>
    <r>
      <rPr>
        <sz val="12"/>
        <rFont val="標楷體"/>
        <family val="4"/>
        <charset val="136"/>
      </rPr>
      <t>　本期賸餘（短絀）</t>
    </r>
    <phoneticPr fontId="5" type="noConversion"/>
  </si>
  <si>
    <r>
      <t xml:space="preserve">    </t>
    </r>
    <r>
      <rPr>
        <sz val="12"/>
        <rFont val="標楷體"/>
        <family val="4"/>
        <charset val="136"/>
      </rPr>
      <t>利息股利之調整</t>
    </r>
    <phoneticPr fontId="5" type="noConversion"/>
  </si>
  <si>
    <r>
      <rPr>
        <sz val="12"/>
        <rFont val="標楷體"/>
        <family val="4"/>
        <charset val="136"/>
      </rPr>
      <t>　調整項目</t>
    </r>
    <phoneticPr fontId="5" type="noConversion"/>
  </si>
  <si>
    <r>
      <t>1.</t>
    </r>
    <r>
      <rPr>
        <sz val="12"/>
        <rFont val="標楷體"/>
        <family val="4"/>
        <charset val="136"/>
      </rPr>
      <t xml:space="preserve">提存呆帳
</t>
    </r>
    <r>
      <rPr>
        <sz val="12"/>
        <rFont val="Times New Roman"/>
        <family val="1"/>
      </rPr>
      <t xml:space="preserve">   
   </t>
    </r>
    <phoneticPr fontId="5" type="noConversion"/>
  </si>
  <si>
    <r>
      <rPr>
        <sz val="12"/>
        <rFont val="標楷體"/>
        <family val="4"/>
        <charset val="136"/>
      </rPr>
      <t>千元</t>
    </r>
    <phoneticPr fontId="5" type="noConversion"/>
  </si>
  <si>
    <r>
      <t>2.</t>
    </r>
    <r>
      <rPr>
        <sz val="12"/>
        <rFont val="標楷體"/>
        <family val="4"/>
        <charset val="136"/>
      </rPr>
      <t>收回責任準備</t>
    </r>
    <r>
      <rPr>
        <sz val="12"/>
        <rFont val="Times New Roman"/>
        <family val="1"/>
      </rPr>
      <t/>
    </r>
    <phoneticPr fontId="5" type="noConversion"/>
  </si>
  <si>
    <r>
      <t>3.</t>
    </r>
    <r>
      <rPr>
        <sz val="12"/>
        <rFont val="標楷體"/>
        <family val="4"/>
        <charset val="136"/>
      </rPr>
      <t>流動資產淨增</t>
    </r>
    <phoneticPr fontId="5" type="noConversion"/>
  </si>
  <si>
    <r>
      <t>收取利息</t>
    </r>
    <r>
      <rPr>
        <sz val="12"/>
        <rFont val="Times New Roman"/>
        <family val="1"/>
      </rPr>
      <t>13</t>
    </r>
    <r>
      <rPr>
        <sz val="12"/>
        <rFont val="標楷體"/>
        <family val="4"/>
        <charset val="136"/>
      </rPr>
      <t>千元。</t>
    </r>
    <phoneticPr fontId="5" type="noConversion"/>
  </si>
  <si>
    <r>
      <rPr>
        <sz val="12"/>
        <rFont val="標楷體"/>
        <family val="4"/>
        <charset val="136"/>
      </rPr>
      <t>　減少流動金融資產及短期貸墊款</t>
    </r>
    <phoneticPr fontId="5" type="noConversion"/>
  </si>
  <si>
    <r>
      <t>係減少流動金融資產</t>
    </r>
    <r>
      <rPr>
        <sz val="12"/>
        <rFont val="Times New Roman"/>
        <family val="1"/>
      </rPr>
      <t>667,290</t>
    </r>
    <r>
      <rPr>
        <sz val="12"/>
        <rFont val="標楷體"/>
        <family val="4"/>
        <charset val="136"/>
      </rPr>
      <t>千元。</t>
    </r>
    <phoneticPr fontId="5" type="noConversion"/>
  </si>
  <si>
    <r>
      <rPr>
        <sz val="12"/>
        <rFont val="標楷體"/>
        <family val="4"/>
        <charset val="136"/>
      </rPr>
      <t>減少投資</t>
    </r>
    <r>
      <rPr>
        <sz val="12"/>
        <rFont val="Times New Roman"/>
        <family val="1"/>
      </rPr>
      <t>-</t>
    </r>
    <r>
      <rPr>
        <sz val="12"/>
        <rFont val="標楷體"/>
        <family val="4"/>
        <charset val="136"/>
      </rPr>
      <t>非流動金融資產</t>
    </r>
    <r>
      <rPr>
        <sz val="12"/>
        <rFont val="Times New Roman"/>
        <family val="1"/>
      </rPr>
      <t>159,800</t>
    </r>
    <r>
      <rPr>
        <sz val="12"/>
        <rFont val="標楷體"/>
        <family val="4"/>
        <charset val="136"/>
      </rPr>
      <t>千元。</t>
    </r>
    <phoneticPr fontId="5" type="noConversion"/>
  </si>
  <si>
    <r>
      <rPr>
        <sz val="12"/>
        <rFont val="標楷體"/>
        <family val="4"/>
        <charset val="136"/>
      </rPr>
      <t>　增加流動金融資產及短期貸墊款</t>
    </r>
    <phoneticPr fontId="5" type="noConversion"/>
  </si>
  <si>
    <r>
      <rPr>
        <sz val="12"/>
        <rFont val="標楷體"/>
        <family val="4"/>
        <charset val="136"/>
      </rPr>
      <t>　增加投資、長期應收款、貸墊款及準備金</t>
    </r>
    <phoneticPr fontId="5" type="noConversion"/>
  </si>
  <si>
    <r>
      <rPr>
        <sz val="12"/>
        <rFont val="標楷體"/>
        <family val="4"/>
        <charset val="136"/>
      </rPr>
      <t>　增加無形資產、遞延借項及其他資產</t>
    </r>
    <phoneticPr fontId="5" type="noConversion"/>
  </si>
  <si>
    <r>
      <rPr>
        <sz val="12"/>
        <rFont val="標楷體"/>
        <family val="4"/>
        <charset val="136"/>
      </rPr>
      <t>支付利息千元。</t>
    </r>
    <phoneticPr fontId="5" type="noConversion"/>
  </si>
  <si>
    <r>
      <rPr>
        <sz val="12"/>
        <rFont val="Times New Roman"/>
        <family val="1"/>
      </rPr>
      <t>111</t>
    </r>
    <r>
      <rPr>
        <sz val="12"/>
        <rFont val="標楷體"/>
        <family val="4"/>
        <charset val="136"/>
      </rPr>
      <t>年</t>
    </r>
    <r>
      <rPr>
        <sz val="12"/>
        <rFont val="Times New Roman"/>
        <family val="1"/>
      </rPr>
      <t>4</t>
    </r>
    <r>
      <rPr>
        <sz val="12"/>
        <rFont val="標楷體"/>
        <family val="4"/>
        <charset val="136"/>
      </rPr>
      <t>月底之現金及約當現金</t>
    </r>
    <r>
      <rPr>
        <sz val="12"/>
        <rFont val="Times New Roman"/>
        <family val="1"/>
      </rPr>
      <t>2,111,488</t>
    </r>
    <r>
      <rPr>
        <sz val="12"/>
        <rFont val="標楷體"/>
        <family val="4"/>
        <charset val="136"/>
      </rPr>
      <t>千元，配合「勞職保及保護」業務於</t>
    </r>
    <r>
      <rPr>
        <sz val="12"/>
        <rFont val="Times New Roman"/>
        <family val="1"/>
      </rPr>
      <t>111</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日開辦，移列至該業務。</t>
    </r>
    <phoneticPr fontId="5" type="noConversion"/>
  </si>
  <si>
    <r>
      <rPr>
        <sz val="12"/>
        <rFont val="Times New Roman"/>
        <family val="1"/>
      </rPr>
      <t>111</t>
    </r>
    <r>
      <rPr>
        <sz val="12"/>
        <rFont val="標楷體"/>
        <family val="4"/>
        <charset val="136"/>
      </rPr>
      <t>年</t>
    </r>
    <r>
      <rPr>
        <sz val="12"/>
        <rFont val="Times New Roman"/>
        <family val="1"/>
      </rPr>
      <t>4</t>
    </r>
    <r>
      <rPr>
        <sz val="12"/>
        <rFont val="標楷體"/>
        <family val="4"/>
        <charset val="136"/>
      </rPr>
      <t>月底勞工保險職業災害部分之現金及約當現金</t>
    </r>
    <r>
      <rPr>
        <sz val="12"/>
        <rFont val="Times New Roman"/>
        <family val="1"/>
      </rPr>
      <t>2,209,559</t>
    </r>
    <r>
      <rPr>
        <sz val="12"/>
        <rFont val="標楷體"/>
        <family val="4"/>
        <charset val="136"/>
      </rPr>
      <t>千元，配合「勞職保及保護」業務於</t>
    </r>
    <r>
      <rPr>
        <sz val="12"/>
        <rFont val="Times New Roman"/>
        <family val="1"/>
      </rPr>
      <t>111</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日開辦，移列至該業務。</t>
    </r>
    <phoneticPr fontId="5" type="noConversion"/>
  </si>
  <si>
    <r>
      <t>配合本業務於</t>
    </r>
    <r>
      <rPr>
        <sz val="12"/>
        <rFont val="Times New Roman"/>
        <family val="1"/>
      </rPr>
      <t>111</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日開辦，由勞工保險職業災害部分及職業災害勞工保護部分之</t>
    </r>
    <r>
      <rPr>
        <sz val="12"/>
        <rFont val="Times New Roman"/>
        <family val="1"/>
      </rPr>
      <t>111</t>
    </r>
    <r>
      <rPr>
        <sz val="12"/>
        <rFont val="標楷體"/>
        <family val="4"/>
        <charset val="136"/>
      </rPr>
      <t>年</t>
    </r>
    <r>
      <rPr>
        <sz val="12"/>
        <rFont val="Times New Roman"/>
        <family val="1"/>
      </rPr>
      <t>4</t>
    </r>
    <r>
      <rPr>
        <sz val="12"/>
        <rFont val="標楷體"/>
        <family val="4"/>
        <charset val="136"/>
      </rPr>
      <t>月底現金及約當現金共計</t>
    </r>
    <r>
      <rPr>
        <sz val="12"/>
        <rFont val="Times New Roman"/>
        <family val="1"/>
      </rPr>
      <t>4,321,047</t>
    </r>
    <r>
      <rPr>
        <sz val="12"/>
        <rFont val="標楷體"/>
        <family val="4"/>
        <charset val="136"/>
      </rPr>
      <t>千元，移列至本業務。</t>
    </r>
    <phoneticPr fontId="5" type="noConversion"/>
  </si>
  <si>
    <r>
      <t>111</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預計數</t>
    </r>
    <phoneticPr fontId="5" type="noConversion"/>
  </si>
  <si>
    <t>　其他籌資活動之現金流入</t>
    <phoneticPr fontId="5" type="noConversion"/>
  </si>
  <si>
    <r>
      <t>4.</t>
    </r>
    <r>
      <rPr>
        <sz val="12"/>
        <rFont val="標楷體"/>
        <family val="4"/>
        <charset val="136"/>
      </rPr>
      <t>流動負債淨增</t>
    </r>
    <phoneticPr fontId="5" type="noConversion"/>
  </si>
  <si>
    <r>
      <rPr>
        <sz val="12"/>
        <rFont val="標楷體"/>
        <family val="4"/>
        <charset val="136"/>
      </rPr>
      <t>收取利息</t>
    </r>
    <r>
      <rPr>
        <sz val="12"/>
        <rFont val="Times New Roman"/>
        <family val="1"/>
      </rPr>
      <t>105,444</t>
    </r>
    <r>
      <rPr>
        <sz val="12"/>
        <rFont val="標楷體"/>
        <family val="4"/>
        <charset val="136"/>
      </rPr>
      <t>千元。</t>
    </r>
    <phoneticPr fontId="5" type="noConversion"/>
  </si>
  <si>
    <r>
      <t>1.</t>
    </r>
    <r>
      <rPr>
        <sz val="12"/>
        <rFont val="標楷體"/>
        <family val="4"/>
        <charset val="136"/>
      </rPr>
      <t>收回責任準備</t>
    </r>
    <r>
      <rPr>
        <sz val="12"/>
        <rFont val="Times New Roman"/>
        <family val="1"/>
      </rPr>
      <t/>
    </r>
    <phoneticPr fontId="5" type="noConversion"/>
  </si>
  <si>
    <r>
      <t>2.</t>
    </r>
    <r>
      <rPr>
        <sz val="12"/>
        <rFont val="標楷體"/>
        <family val="4"/>
        <charset val="136"/>
      </rPr>
      <t>流動資產淨減</t>
    </r>
    <phoneticPr fontId="5" type="noConversion"/>
  </si>
  <si>
    <r>
      <rPr>
        <sz val="12"/>
        <rFont val="標楷體"/>
        <family val="4"/>
        <charset val="136"/>
      </rPr>
      <t>收取利息</t>
    </r>
    <r>
      <rPr>
        <sz val="12"/>
        <rFont val="Times New Roman"/>
        <family val="1"/>
      </rPr>
      <t>26,075</t>
    </r>
    <r>
      <rPr>
        <sz val="12"/>
        <rFont val="標楷體"/>
        <family val="4"/>
        <charset val="136"/>
      </rPr>
      <t>千元。</t>
    </r>
    <phoneticPr fontId="5" type="noConversion"/>
  </si>
  <si>
    <r>
      <rPr>
        <sz val="12"/>
        <rFont val="標楷體"/>
        <family val="4"/>
        <charset val="136"/>
      </rPr>
      <t>係減少其他負債</t>
    </r>
    <r>
      <rPr>
        <sz val="12"/>
        <rFont val="Times New Roman"/>
        <family val="1"/>
      </rPr>
      <t>25,492,851</t>
    </r>
    <r>
      <rPr>
        <sz val="12"/>
        <rFont val="標楷體"/>
        <family val="4"/>
        <charset val="136"/>
      </rPr>
      <t>千元。</t>
    </r>
    <phoneticPr fontId="5" type="noConversion"/>
  </si>
  <si>
    <r>
      <rPr>
        <sz val="12"/>
        <rFont val="標楷體"/>
        <family val="4"/>
        <charset val="136"/>
      </rPr>
      <t>係勞職保及保護業務增加其他負債</t>
    </r>
    <r>
      <rPr>
        <sz val="12"/>
        <rFont val="Times New Roman"/>
        <family val="1"/>
      </rPr>
      <t>36,343,568</t>
    </r>
    <r>
      <rPr>
        <sz val="12"/>
        <rFont val="標楷體"/>
        <family val="4"/>
        <charset val="136"/>
      </rPr>
      <t>千元。</t>
    </r>
    <phoneticPr fontId="5" type="noConversion"/>
  </si>
  <si>
    <r>
      <rPr>
        <sz val="12"/>
        <rFont val="標楷體"/>
        <family val="4"/>
        <charset val="136"/>
      </rPr>
      <t>普通事故</t>
    </r>
    <r>
      <rPr>
        <sz val="12"/>
        <rFont val="Times New Roman"/>
        <family val="1"/>
      </rPr>
      <t>436,121,456</t>
    </r>
    <r>
      <rPr>
        <sz val="12"/>
        <rFont val="標楷體"/>
        <family val="4"/>
        <charset val="136"/>
      </rPr>
      <t>千元，職業災害</t>
    </r>
    <r>
      <rPr>
        <sz val="12"/>
        <rFont val="Times New Roman"/>
        <family val="1"/>
      </rPr>
      <t>2,876,297</t>
    </r>
    <r>
      <rPr>
        <sz val="12"/>
        <rFont val="標楷體"/>
        <family val="4"/>
        <charset val="136"/>
      </rPr>
      <t>千元。</t>
    </r>
    <phoneticPr fontId="22" type="noConversion"/>
  </si>
  <si>
    <t>總　　計</t>
    <phoneticPr fontId="5" type="noConversion"/>
  </si>
  <si>
    <t>合　　計</t>
    <phoneticPr fontId="5" type="noConversion"/>
  </si>
  <si>
    <r>
      <t>編列</t>
    </r>
    <r>
      <rPr>
        <sz val="12"/>
        <rFont val="Times New Roman"/>
        <family val="1"/>
      </rPr>
      <t>6,654</t>
    </r>
    <r>
      <rPr>
        <sz val="12"/>
        <rFont val="標楷體"/>
        <family val="4"/>
        <charset val="136"/>
      </rPr>
      <t>千元，係農保按催收款項餘額依回收情況提列呆帳。</t>
    </r>
    <phoneticPr fontId="5" type="noConversion"/>
  </si>
  <si>
    <r>
      <rPr>
        <sz val="13"/>
        <rFont val="標楷體"/>
        <family val="4"/>
        <charset val="136"/>
      </rPr>
      <t>（四）其他業務收入</t>
    </r>
    <r>
      <rPr>
        <sz val="13"/>
        <rFont val="Times New Roman"/>
        <family val="1"/>
      </rPr>
      <t>33,499,014</t>
    </r>
    <r>
      <rPr>
        <sz val="13"/>
        <rFont val="標楷體"/>
        <family val="4"/>
        <charset val="136"/>
      </rPr>
      <t>千元，係政府撥補勞工保險基金</t>
    </r>
    <r>
      <rPr>
        <sz val="13"/>
        <rFont val="新細明體"/>
        <family val="1"/>
        <charset val="136"/>
      </rPr>
      <t>、</t>
    </r>
    <r>
      <rPr>
        <sz val="13"/>
        <rFont val="標楷體"/>
        <family val="4"/>
        <charset val="136"/>
      </rPr>
      <t xml:space="preserve">農保虧損由政府補助、
</t>
    </r>
    <r>
      <rPr>
        <sz val="13"/>
        <rFont val="Times New Roman"/>
        <family val="1"/>
      </rPr>
      <t xml:space="preserve">            </t>
    </r>
    <r>
      <rPr>
        <sz val="13"/>
        <rFont val="標楷體"/>
        <family val="4"/>
        <charset val="136"/>
      </rPr>
      <t>未加入勞工保險而遭遇職業災害勞工之各項補助收入等。</t>
    </r>
    <phoneticPr fontId="5" type="noConversion"/>
  </si>
  <si>
    <r>
      <rPr>
        <sz val="12"/>
        <rFont val="標楷體"/>
        <family val="4"/>
        <charset val="136"/>
      </rPr>
      <t>本科目勞動部勞工保險局辦理</t>
    </r>
    <r>
      <rPr>
        <sz val="12"/>
        <rFont val="Times New Roman"/>
        <family val="1"/>
      </rPr>
      <t>33,468,014</t>
    </r>
    <r>
      <rPr>
        <sz val="12"/>
        <rFont val="標楷體"/>
        <family val="4"/>
        <charset val="136"/>
      </rPr>
      <t>千元；勞動部職業安全衛生署辦理</t>
    </r>
    <r>
      <rPr>
        <sz val="12"/>
        <rFont val="Times New Roman"/>
        <family val="1"/>
      </rPr>
      <t>31,000</t>
    </r>
    <r>
      <rPr>
        <sz val="12"/>
        <rFont val="標楷體"/>
        <family val="4"/>
        <charset val="136"/>
      </rPr>
      <t>千元。</t>
    </r>
    <phoneticPr fontId="5" type="noConversion"/>
  </si>
  <si>
    <t>聘僱人員薪資</t>
    <phoneticPr fontId="5" type="noConversion"/>
  </si>
  <si>
    <t>獎金</t>
    <phoneticPr fontId="5" type="noConversion"/>
  </si>
  <si>
    <t>津貼</t>
    <phoneticPr fontId="5" type="noConversion"/>
  </si>
  <si>
    <t>福利費</t>
    <phoneticPr fontId="5" type="noConversion"/>
  </si>
  <si>
    <t>提繳費</t>
    <phoneticPr fontId="5" type="noConversion"/>
  </si>
  <si>
    <r>
      <t>已加保勞工部分之各項補助係參考以前年度執行情形，</t>
    </r>
    <r>
      <rPr>
        <sz val="12"/>
        <rFont val="標楷體"/>
        <family val="4"/>
        <charset val="136"/>
      </rPr>
      <t>編列</t>
    </r>
    <r>
      <rPr>
        <sz val="12"/>
        <rFont val="Times New Roman"/>
        <family val="1"/>
      </rPr>
      <t>77,141</t>
    </r>
    <r>
      <rPr>
        <sz val="12"/>
        <rFont val="標楷體"/>
        <family val="4"/>
        <charset val="136"/>
      </rPr>
      <t>千元。</t>
    </r>
    <phoneticPr fontId="5" type="noConversion"/>
  </si>
  <si>
    <r>
      <t>職業災害預防與補助、職業災害勞工職業重建及輔助設施補助部分，係參考歷年成長因素及</t>
    </r>
    <r>
      <rPr>
        <sz val="12"/>
        <rFont val="Times New Roman"/>
        <family val="1"/>
      </rPr>
      <t>111</t>
    </r>
    <r>
      <rPr>
        <sz val="12"/>
        <rFont val="標楷體"/>
        <family val="4"/>
        <charset val="136"/>
      </rPr>
      <t>年度預估推動之計畫，</t>
    </r>
    <r>
      <rPr>
        <sz val="12"/>
        <rFont val="標楷體"/>
        <family val="4"/>
        <charset val="136"/>
      </rPr>
      <t>編列</t>
    </r>
    <r>
      <rPr>
        <sz val="12"/>
        <rFont val="Times New Roman"/>
        <family val="1"/>
      </rPr>
      <t>94,066</t>
    </r>
    <r>
      <rPr>
        <sz val="12"/>
        <rFont val="標楷體"/>
        <family val="4"/>
        <charset val="136"/>
      </rPr>
      <t>千元。</t>
    </r>
    <phoneticPr fontId="5" type="noConversion"/>
  </si>
  <si>
    <t>前  年  度</t>
    <phoneticPr fontId="5" type="noConversion"/>
  </si>
  <si>
    <t>決  算  數</t>
    <phoneticPr fontId="5" type="noConversion"/>
  </si>
  <si>
    <t>上  年  度</t>
    <phoneticPr fontId="5" type="noConversion"/>
  </si>
  <si>
    <t>預  算  數</t>
    <phoneticPr fontId="5" type="noConversion"/>
  </si>
  <si>
    <r>
      <t>編列</t>
    </r>
    <r>
      <rPr>
        <sz val="12"/>
        <rFont val="Times New Roman"/>
        <family val="1"/>
      </rPr>
      <t>672</t>
    </r>
    <r>
      <rPr>
        <sz val="12"/>
        <rFont val="標楷體"/>
        <family val="4"/>
        <charset val="136"/>
      </rPr>
      <t>千元，係辦理職業安全衛生知能及教育訓練宣導，相關媒體宣導製作、託播及刊登等經費。</t>
    </r>
    <phoneticPr fontId="5" type="noConversion"/>
  </si>
  <si>
    <r>
      <t>編列</t>
    </r>
    <r>
      <rPr>
        <sz val="12"/>
        <rFont val="Times New Roman"/>
        <family val="1"/>
      </rPr>
      <t>10</t>
    </r>
    <r>
      <rPr>
        <sz val="12"/>
        <rFont val="標楷體"/>
        <family val="4"/>
        <charset val="136"/>
      </rPr>
      <t>千元，係租賃室外場地等租金。</t>
    </r>
    <phoneticPr fontId="5" type="noConversion"/>
  </si>
  <si>
    <r>
      <t>編列</t>
    </r>
    <r>
      <rPr>
        <sz val="12"/>
        <rFont val="Times New Roman"/>
        <family val="1"/>
      </rPr>
      <t>1,189</t>
    </r>
    <r>
      <rPr>
        <sz val="12"/>
        <rFont val="標楷體"/>
        <family val="4"/>
        <charset val="136"/>
      </rPr>
      <t>千元，係租賃室內活動場地等租金。</t>
    </r>
    <phoneticPr fontId="5" type="noConversion"/>
  </si>
  <si>
    <r>
      <t>編列</t>
    </r>
    <r>
      <rPr>
        <sz val="12"/>
        <rFont val="Times New Roman"/>
        <family val="1"/>
      </rPr>
      <t>40</t>
    </r>
    <r>
      <rPr>
        <sz val="12"/>
        <rFont val="標楷體"/>
        <family val="4"/>
        <charset val="136"/>
      </rPr>
      <t>千元，係租賃什項設備租金。</t>
    </r>
    <phoneticPr fontId="5" type="noConversion"/>
  </si>
  <si>
    <t xml:space="preserve">  農保及農職保</t>
    <phoneticPr fontId="5" type="noConversion"/>
  </si>
  <si>
    <t xml:space="preserve">  職業災害勞工保護</t>
    <phoneticPr fontId="5" type="noConversion"/>
  </si>
  <si>
    <t xml:space="preserve">  勞職保及保護</t>
    <phoneticPr fontId="5" type="noConversion"/>
  </si>
  <si>
    <t>(1)</t>
    <phoneticPr fontId="5" type="noConversion"/>
  </si>
  <si>
    <t>考量農保被保險人年齡層老化及凋零，申領農保重度身心障礙給付及喪葬津貼經本局逕予退保人數增加，暨主管機</t>
    <phoneticPr fontId="5" type="noConversion"/>
  </si>
  <si>
    <t>按檢查類別，預估受檢人數。</t>
    <phoneticPr fontId="22" type="noConversion"/>
  </si>
  <si>
    <r>
      <rPr>
        <sz val="12"/>
        <rFont val="標楷體"/>
        <family val="4"/>
        <charset val="136"/>
      </rPr>
      <t>係勞職保及保護業務增加無形資產</t>
    </r>
    <r>
      <rPr>
        <sz val="12"/>
        <rFont val="Times New Roman"/>
        <family val="1"/>
      </rPr>
      <t>24,000</t>
    </r>
    <r>
      <rPr>
        <sz val="12"/>
        <rFont val="標楷體"/>
        <family val="4"/>
        <charset val="136"/>
      </rPr>
      <t>千元。</t>
    </r>
    <phoneticPr fontId="5" type="noConversion"/>
  </si>
  <si>
    <r>
      <rPr>
        <sz val="12"/>
        <rFont val="標楷體"/>
        <family val="4"/>
        <charset val="136"/>
      </rPr>
      <t>係依</t>
    </r>
    <r>
      <rPr>
        <sz val="12"/>
        <rFont val="Times New Roman"/>
        <family val="1"/>
      </rPr>
      <t>111</t>
    </r>
    <r>
      <rPr>
        <sz val="12"/>
        <rFont val="標楷體"/>
        <family val="4"/>
        <charset val="136"/>
      </rPr>
      <t>年</t>
    </r>
    <r>
      <rPr>
        <sz val="12"/>
        <rFont val="Times New Roman"/>
        <family val="1"/>
      </rPr>
      <t>1</t>
    </r>
    <r>
      <rPr>
        <sz val="12"/>
        <rFont val="標楷體"/>
        <family val="4"/>
        <charset val="136"/>
      </rPr>
      <t>月至</t>
    </r>
    <r>
      <rPr>
        <sz val="12"/>
        <rFont val="Times New Roman"/>
        <family val="1"/>
      </rPr>
      <t>4</t>
    </r>
    <r>
      <rPr>
        <sz val="12"/>
        <rFont val="標楷體"/>
        <family val="4"/>
        <charset val="136"/>
      </rPr>
      <t>月投保人數</t>
    </r>
    <r>
      <rPr>
        <sz val="12"/>
        <rFont val="Times New Roman"/>
        <family val="1"/>
      </rPr>
      <t>1,060</t>
    </r>
    <r>
      <rPr>
        <sz val="12"/>
        <rFont val="標楷體"/>
        <family val="4"/>
        <charset val="136"/>
      </rPr>
      <t>萬人、平均月投保薪資</t>
    </r>
    <r>
      <rPr>
        <sz val="12"/>
        <rFont val="Times New Roman"/>
        <family val="1"/>
      </rPr>
      <t>33,900</t>
    </r>
    <r>
      <rPr>
        <sz val="12"/>
        <rFont val="標楷體"/>
        <family val="4"/>
        <charset val="136"/>
      </rPr>
      <t>元及保險費率</t>
    </r>
    <r>
      <rPr>
        <sz val="12"/>
        <rFont val="Times New Roman"/>
        <family val="1"/>
      </rPr>
      <t>10.70%</t>
    </r>
    <r>
      <rPr>
        <sz val="12"/>
        <rFont val="標楷體"/>
        <family val="4"/>
        <charset val="136"/>
      </rPr>
      <t>（普通事故保險費率</t>
    </r>
    <r>
      <rPr>
        <sz val="12"/>
        <rFont val="Times New Roman"/>
        <family val="1"/>
      </rPr>
      <t>10.50%</t>
    </r>
    <r>
      <rPr>
        <sz val="12"/>
        <rFont val="標楷體"/>
        <family val="4"/>
        <charset val="136"/>
      </rPr>
      <t>；職業災害平均費率</t>
    </r>
    <r>
      <rPr>
        <sz val="12"/>
        <rFont val="Times New Roman"/>
        <family val="1"/>
      </rPr>
      <t>0.20%</t>
    </r>
    <r>
      <rPr>
        <sz val="12"/>
        <rFont val="標楷體"/>
        <family val="4"/>
        <charset val="136"/>
      </rPr>
      <t>），以及</t>
    </r>
    <r>
      <rPr>
        <sz val="12"/>
        <rFont val="Times New Roman"/>
        <family val="1"/>
      </rPr>
      <t>111</t>
    </r>
    <r>
      <rPr>
        <sz val="12"/>
        <rFont val="標楷體"/>
        <family val="4"/>
        <charset val="136"/>
      </rPr>
      <t>年</t>
    </r>
    <r>
      <rPr>
        <sz val="12"/>
        <rFont val="Times New Roman"/>
        <family val="1"/>
      </rPr>
      <t>5</t>
    </r>
    <r>
      <rPr>
        <sz val="12"/>
        <rFont val="標楷體"/>
        <family val="4"/>
        <charset val="136"/>
      </rPr>
      <t>月至</t>
    </r>
    <r>
      <rPr>
        <sz val="12"/>
        <rFont val="Times New Roman"/>
        <family val="1"/>
      </rPr>
      <t>12</t>
    </r>
    <r>
      <rPr>
        <sz val="12"/>
        <rFont val="標楷體"/>
        <family val="4"/>
        <charset val="136"/>
      </rPr>
      <t>月投保人數</t>
    </r>
    <r>
      <rPr>
        <sz val="12"/>
        <rFont val="Times New Roman"/>
        <family val="1"/>
      </rPr>
      <t>1,015</t>
    </r>
    <r>
      <rPr>
        <sz val="12"/>
        <rFont val="標楷體"/>
        <family val="4"/>
        <charset val="136"/>
      </rPr>
      <t>萬</t>
    </r>
    <r>
      <rPr>
        <sz val="12"/>
        <rFont val="Times New Roman"/>
        <family val="1"/>
      </rPr>
      <t>5</t>
    </r>
    <r>
      <rPr>
        <sz val="12"/>
        <rFont val="標楷體"/>
        <family val="4"/>
        <charset val="136"/>
      </rPr>
      <t>千人、平均月投保薪資</t>
    </r>
    <r>
      <rPr>
        <sz val="12"/>
        <rFont val="Times New Roman"/>
        <family val="1"/>
      </rPr>
      <t>34,085</t>
    </r>
    <r>
      <rPr>
        <sz val="12"/>
        <rFont val="標楷體"/>
        <family val="4"/>
        <charset val="136"/>
      </rPr>
      <t>元及保險費率</t>
    </r>
    <r>
      <rPr>
        <sz val="12"/>
        <rFont val="Times New Roman"/>
        <family val="1"/>
      </rPr>
      <t>10.50%</t>
    </r>
    <r>
      <rPr>
        <sz val="12"/>
        <rFont val="標楷體"/>
        <family val="4"/>
        <charset val="136"/>
      </rPr>
      <t>（普通事故保險費率）估算。</t>
    </r>
    <phoneticPr fontId="5" type="noConversion"/>
  </si>
  <si>
    <r>
      <t>係依勞工職業災害保險及保護法第</t>
    </r>
    <r>
      <rPr>
        <sz val="12"/>
        <rFont val="Times New Roman"/>
        <family val="1"/>
      </rPr>
      <t>101</t>
    </r>
    <r>
      <rPr>
        <sz val="12"/>
        <rFont val="標楷體"/>
        <family val="4"/>
        <charset val="136"/>
      </rPr>
      <t>條規定</t>
    </r>
    <r>
      <rPr>
        <sz val="12"/>
        <rFont val="標楷體"/>
        <family val="4"/>
        <charset val="136"/>
      </rPr>
      <t>所處罰鍰。</t>
    </r>
    <phoneticPr fontId="5" type="noConversion"/>
  </si>
  <si>
    <r>
      <t>編列</t>
    </r>
    <r>
      <rPr>
        <sz val="12"/>
        <rFont val="Times New Roman"/>
        <family val="1"/>
      </rPr>
      <t>450</t>
    </r>
    <r>
      <rPr>
        <sz val="12"/>
        <rFont val="標楷體"/>
        <family val="4"/>
        <charset val="136"/>
      </rPr>
      <t>千元，係短期票券帳務維護費。</t>
    </r>
    <phoneticPr fontId="5" type="noConversion"/>
  </si>
  <si>
    <r>
      <t>編列</t>
    </r>
    <r>
      <rPr>
        <sz val="12"/>
        <rFont val="Times New Roman"/>
        <family val="1"/>
      </rPr>
      <t>2</t>
    </r>
    <r>
      <rPr>
        <sz val="12"/>
        <rFont val="標楷體"/>
        <family val="4"/>
        <charset val="136"/>
      </rPr>
      <t>千元，係定存利息匯款手續費。</t>
    </r>
    <phoneticPr fontId="5" type="noConversion"/>
  </si>
  <si>
    <r>
      <t>編列</t>
    </r>
    <r>
      <rPr>
        <sz val="12"/>
        <rFont val="Times New Roman"/>
        <family val="1"/>
      </rPr>
      <t>5</t>
    </r>
    <r>
      <rPr>
        <sz val="12"/>
        <rFont val="標楷體"/>
        <family val="4"/>
        <charset val="136"/>
      </rPr>
      <t>千元，係定存利息匯款手續費。</t>
    </r>
    <phoneticPr fontId="5" type="noConversion"/>
  </si>
  <si>
    <r>
      <rPr>
        <sz val="13"/>
        <rFont val="標楷體"/>
        <family val="4"/>
        <charset val="136"/>
      </rPr>
      <t>（四）其他業務成本</t>
    </r>
    <r>
      <rPr>
        <sz val="13"/>
        <rFont val="Times New Roman"/>
        <family val="1"/>
      </rPr>
      <t>4,713,511</t>
    </r>
    <r>
      <rPr>
        <sz val="13"/>
        <rFont val="標楷體"/>
        <family val="4"/>
        <charset val="136"/>
      </rPr>
      <t>千元，係依就業保險法第</t>
    </r>
    <r>
      <rPr>
        <sz val="13"/>
        <rFont val="Times New Roman"/>
        <family val="1"/>
      </rPr>
      <t>12</t>
    </r>
    <r>
      <rPr>
        <sz val="13"/>
        <rFont val="標楷體"/>
        <family val="4"/>
        <charset val="136"/>
      </rPr>
      <t>條第</t>
    </r>
    <r>
      <rPr>
        <sz val="13"/>
        <rFont val="Times New Roman"/>
        <family val="1"/>
      </rPr>
      <t>3</t>
    </r>
    <r>
      <rPr>
        <sz val="13"/>
        <rFont val="標楷體"/>
        <family val="4"/>
        <charset val="136"/>
      </rPr>
      <t xml:space="preserve">項規定辦理促進就業等業
</t>
    </r>
    <r>
      <rPr>
        <sz val="13"/>
        <rFont val="Times New Roman"/>
        <family val="1"/>
      </rPr>
      <t xml:space="preserve">            </t>
    </r>
    <r>
      <rPr>
        <sz val="13"/>
        <rFont val="標楷體"/>
        <family val="4"/>
        <charset val="136"/>
      </rPr>
      <t xml:space="preserve">務、農保虧損借款之利息支出、政府對未加保勞工而遭遇職業災害者之各項補助
</t>
    </r>
    <r>
      <rPr>
        <sz val="13"/>
        <rFont val="Times New Roman"/>
        <family val="1"/>
      </rPr>
      <t xml:space="preserve">            </t>
    </r>
    <r>
      <rPr>
        <sz val="13"/>
        <rFont val="標楷體"/>
        <family val="4"/>
        <charset val="136"/>
      </rPr>
      <t>及依勞工職業災害保險及保護法第</t>
    </r>
    <r>
      <rPr>
        <sz val="13"/>
        <rFont val="Times New Roman"/>
        <family val="1"/>
      </rPr>
      <t>62</t>
    </r>
    <r>
      <rPr>
        <sz val="13"/>
        <rFont val="標楷體"/>
        <family val="4"/>
        <charset val="136"/>
      </rPr>
      <t>條規定辦理職業災害預防及重建等業務。</t>
    </r>
    <phoneticPr fontId="5" type="noConversion"/>
  </si>
  <si>
    <t>　補貼（償）、獎勵、慰問與救助（
　濟）</t>
    <phoneticPr fontId="5" type="noConversion"/>
  </si>
  <si>
    <t>　補貼（償）、獎勵、慰
　問與救助（濟）</t>
    <phoneticPr fontId="5" type="noConversion"/>
  </si>
  <si>
    <r>
      <t>有關勞工保險</t>
    </r>
    <r>
      <rPr>
        <sz val="12"/>
        <color indexed="8"/>
        <rFont val="Times New Roman"/>
        <family val="1"/>
      </rPr>
      <t>111</t>
    </r>
    <r>
      <rPr>
        <sz val="12"/>
        <color indexed="8"/>
        <rFont val="標楷體"/>
        <family val="4"/>
        <charset val="136"/>
      </rPr>
      <t>年</t>
    </r>
    <r>
      <rPr>
        <sz val="12"/>
        <color indexed="8"/>
        <rFont val="Times New Roman"/>
        <family val="1"/>
      </rPr>
      <t>1</t>
    </r>
    <r>
      <rPr>
        <sz val="12"/>
        <color indexed="8"/>
        <rFont val="標楷體"/>
        <family val="4"/>
        <charset val="136"/>
      </rPr>
      <t>月至</t>
    </r>
    <r>
      <rPr>
        <sz val="12"/>
        <color indexed="8"/>
        <rFont val="Times New Roman"/>
        <family val="1"/>
      </rPr>
      <t>4</t>
    </r>
    <r>
      <rPr>
        <sz val="12"/>
        <color indexed="8"/>
        <rFont val="標楷體"/>
        <family val="4"/>
        <charset val="136"/>
      </rPr>
      <t>月投保人數</t>
    </r>
    <r>
      <rPr>
        <sz val="12"/>
        <color indexed="8"/>
        <rFont val="Times New Roman"/>
        <family val="1"/>
      </rPr>
      <t>10,600,000</t>
    </r>
    <r>
      <rPr>
        <sz val="12"/>
        <color indexed="8"/>
        <rFont val="標楷體"/>
        <family val="4"/>
        <charset val="136"/>
      </rPr>
      <t>人，平均月投保薪資</t>
    </r>
    <r>
      <rPr>
        <sz val="12"/>
        <color indexed="8"/>
        <rFont val="Times New Roman"/>
        <family val="1"/>
      </rPr>
      <t>33,900</t>
    </r>
    <r>
      <rPr>
        <sz val="12"/>
        <color indexed="8"/>
        <rFont val="標楷體"/>
        <family val="4"/>
        <charset val="136"/>
      </rPr>
      <t>元，配合勞工職業災害保險及保護業務於</t>
    </r>
    <r>
      <rPr>
        <sz val="12"/>
        <color indexed="8"/>
        <rFont val="Times New Roman"/>
        <family val="1"/>
      </rPr>
      <t>111</t>
    </r>
    <r>
      <rPr>
        <sz val="12"/>
        <color indexed="8"/>
        <rFont val="標楷體"/>
        <family val="4"/>
        <charset val="136"/>
      </rPr>
      <t>年</t>
    </r>
    <r>
      <rPr>
        <sz val="12"/>
        <color indexed="8"/>
        <rFont val="Times New Roman"/>
        <family val="1"/>
      </rPr>
      <t>5</t>
    </r>
    <r>
      <rPr>
        <sz val="12"/>
        <color indexed="8"/>
        <rFont val="標楷體"/>
        <family val="4"/>
        <charset val="136"/>
      </rPr>
      <t>月</t>
    </r>
    <r>
      <rPr>
        <sz val="12"/>
        <color indexed="8"/>
        <rFont val="Times New Roman"/>
        <family val="1"/>
      </rPr>
      <t>1</t>
    </r>
    <r>
      <rPr>
        <sz val="12"/>
        <color indexed="8"/>
        <rFont val="標楷體"/>
        <family val="4"/>
        <charset val="136"/>
      </rPr>
      <t>日施行，</t>
    </r>
    <r>
      <rPr>
        <sz val="12"/>
        <color indexed="8"/>
        <rFont val="Times New Roman"/>
        <family val="1"/>
      </rPr>
      <t>111</t>
    </r>
    <r>
      <rPr>
        <sz val="12"/>
        <color indexed="8"/>
        <rFont val="標楷體"/>
        <family val="4"/>
        <charset val="136"/>
      </rPr>
      <t>年</t>
    </r>
    <r>
      <rPr>
        <sz val="12"/>
        <color indexed="8"/>
        <rFont val="Times New Roman"/>
        <family val="1"/>
      </rPr>
      <t>5</t>
    </r>
    <r>
      <rPr>
        <sz val="12"/>
        <color indexed="8"/>
        <rFont val="標楷體"/>
        <family val="4"/>
        <charset val="136"/>
      </rPr>
      <t>月至</t>
    </r>
    <r>
      <rPr>
        <sz val="12"/>
        <color indexed="8"/>
        <rFont val="Times New Roman"/>
        <family val="1"/>
      </rPr>
      <t>12</t>
    </r>
    <r>
      <rPr>
        <sz val="12"/>
        <color indexed="8"/>
        <rFont val="標楷體"/>
        <family val="4"/>
        <charset val="136"/>
      </rPr>
      <t>月投保人數</t>
    </r>
    <r>
      <rPr>
        <sz val="12"/>
        <color indexed="8"/>
        <rFont val="Times New Roman"/>
        <family val="1"/>
      </rPr>
      <t>10,155,000</t>
    </r>
    <r>
      <rPr>
        <sz val="12"/>
        <color indexed="8"/>
        <rFont val="標楷體"/>
        <family val="4"/>
        <charset val="136"/>
      </rPr>
      <t>人及平均月投保薪資</t>
    </r>
    <r>
      <rPr>
        <sz val="12"/>
        <color indexed="8"/>
        <rFont val="Times New Roman"/>
        <family val="1"/>
      </rPr>
      <t>34,085</t>
    </r>
    <r>
      <rPr>
        <sz val="12"/>
        <color indexed="8"/>
        <rFont val="標楷體"/>
        <family val="4"/>
        <charset val="136"/>
      </rPr>
      <t>元。
保險費率包括：</t>
    </r>
    <phoneticPr fontId="5" type="noConversion"/>
  </si>
  <si>
    <r>
      <t>係參酌歷年統計資料及國發會勞動人口由</t>
    </r>
    <r>
      <rPr>
        <sz val="12"/>
        <color indexed="8"/>
        <rFont val="Times New Roman"/>
        <family val="1"/>
      </rPr>
      <t>105</t>
    </r>
    <r>
      <rPr>
        <sz val="12"/>
        <color indexed="8"/>
        <rFont val="標楷體"/>
        <family val="4"/>
        <charset val="136"/>
      </rPr>
      <t>年開始縮減，另考量積極辦理輔導加保作業及近年來因景氣仍成微幅成長編列。
平均月投保薪資係參酌歷年統計資料編列。</t>
    </r>
    <phoneticPr fontId="5" type="noConversion"/>
  </si>
  <si>
    <r>
      <t>職業災害平均費率</t>
    </r>
    <r>
      <rPr>
        <sz val="12"/>
        <rFont val="Times New Roman"/>
        <family val="1"/>
      </rPr>
      <t>0.20</t>
    </r>
    <r>
      <rPr>
        <sz val="12"/>
        <rFont val="標楷體"/>
        <family val="4"/>
        <charset val="136"/>
      </rPr>
      <t>%。</t>
    </r>
    <phoneticPr fontId="5" type="noConversion"/>
  </si>
  <si>
    <r>
      <t>係參酌勞工保險歷年統計資料及</t>
    </r>
    <r>
      <rPr>
        <sz val="12"/>
        <rFont val="Times New Roman"/>
        <family val="1"/>
      </rPr>
      <t>111</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日開始施行之勞工職業災害保險及保護法其納保對象予以編列。</t>
    </r>
    <phoneticPr fontId="5" type="noConversion"/>
  </si>
  <si>
    <t>關要求基層農會及本局積極清查農保被保險人加保資格，致農保退保人數增加，使農保投保總人數逐年下降等因素編列。</t>
    <phoneticPr fontId="5" type="noConversion"/>
  </si>
  <si>
    <r>
      <rPr>
        <sz val="12"/>
        <rFont val="標楷體"/>
        <family val="4"/>
        <charset val="136"/>
      </rPr>
      <t>投保人數</t>
    </r>
    <r>
      <rPr>
        <sz val="12"/>
        <rFont val="Times New Roman"/>
        <family val="1"/>
      </rPr>
      <t>7,170,000</t>
    </r>
    <r>
      <rPr>
        <sz val="12"/>
        <rFont val="標楷體"/>
        <family val="4"/>
        <charset val="136"/>
      </rPr>
      <t>人。</t>
    </r>
    <phoneticPr fontId="22" type="noConversion"/>
  </si>
  <si>
    <r>
      <rPr>
        <sz val="12"/>
        <rFont val="標楷體"/>
        <family val="4"/>
        <charset val="136"/>
      </rPr>
      <t>投保人數</t>
    </r>
    <r>
      <rPr>
        <sz val="12"/>
        <rFont val="Times New Roman"/>
        <family val="1"/>
      </rPr>
      <t>1,012,000</t>
    </r>
    <r>
      <rPr>
        <sz val="12"/>
        <rFont val="標楷體"/>
        <family val="4"/>
        <charset val="136"/>
      </rPr>
      <t>人。</t>
    </r>
    <phoneticPr fontId="22" type="noConversion"/>
  </si>
  <si>
    <r>
      <rPr>
        <sz val="12"/>
        <rFont val="標楷體"/>
        <family val="4"/>
        <charset val="136"/>
      </rPr>
      <t>投保人數</t>
    </r>
    <r>
      <rPr>
        <sz val="12"/>
        <rFont val="Times New Roman"/>
        <family val="1"/>
      </rPr>
      <t>320,000</t>
    </r>
    <r>
      <rPr>
        <sz val="12"/>
        <rFont val="標楷體"/>
        <family val="4"/>
        <charset val="136"/>
      </rPr>
      <t>人。</t>
    </r>
    <phoneticPr fontId="22" type="noConversion"/>
  </si>
  <si>
    <r>
      <t>預估</t>
    </r>
    <r>
      <rPr>
        <sz val="12"/>
        <rFont val="Times New Roman"/>
        <family val="1"/>
      </rPr>
      <t>126</t>
    </r>
    <r>
      <rPr>
        <sz val="12"/>
        <rFont val="標楷體"/>
        <family val="4"/>
        <charset val="136"/>
      </rPr>
      <t>人次。</t>
    </r>
    <phoneticPr fontId="5" type="noConversion"/>
  </si>
  <si>
    <r>
      <t>預估</t>
    </r>
    <r>
      <rPr>
        <sz val="12"/>
        <rFont val="Times New Roman"/>
        <family val="1"/>
      </rPr>
      <t>252</t>
    </r>
    <r>
      <rPr>
        <sz val="12"/>
        <rFont val="標楷體"/>
        <family val="4"/>
        <charset val="136"/>
      </rPr>
      <t>人次。</t>
    </r>
    <phoneticPr fontId="5" type="noConversion"/>
  </si>
  <si>
    <r>
      <t>預估</t>
    </r>
    <r>
      <rPr>
        <sz val="12"/>
        <rFont val="Times New Roman"/>
        <family val="1"/>
      </rPr>
      <t>8</t>
    </r>
    <r>
      <rPr>
        <sz val="12"/>
        <rFont val="標楷體"/>
        <family val="4"/>
        <charset val="136"/>
      </rPr>
      <t>人次。</t>
    </r>
    <phoneticPr fontId="5" type="noConversion"/>
  </si>
  <si>
    <r>
      <t>預估</t>
    </r>
    <r>
      <rPr>
        <sz val="12"/>
        <rFont val="Times New Roman"/>
        <family val="1"/>
      </rPr>
      <t>150</t>
    </r>
    <r>
      <rPr>
        <sz val="12"/>
        <rFont val="標楷體"/>
        <family val="4"/>
        <charset val="136"/>
      </rPr>
      <t>人次。</t>
    </r>
    <phoneticPr fontId="5" type="noConversion"/>
  </si>
  <si>
    <r>
      <t>預估</t>
    </r>
    <r>
      <rPr>
        <sz val="12"/>
        <rFont val="Times New Roman"/>
        <family val="1"/>
      </rPr>
      <t>1,333</t>
    </r>
    <r>
      <rPr>
        <sz val="12"/>
        <rFont val="標楷體"/>
        <family val="4"/>
        <charset val="136"/>
      </rPr>
      <t>人次。</t>
    </r>
    <phoneticPr fontId="5" type="noConversion"/>
  </si>
  <si>
    <r>
      <t>預估</t>
    </r>
    <r>
      <rPr>
        <sz val="12"/>
        <rFont val="Times New Roman"/>
        <family val="1"/>
      </rPr>
      <t>3,333</t>
    </r>
    <r>
      <rPr>
        <sz val="12"/>
        <rFont val="標楷體"/>
        <family val="4"/>
        <charset val="136"/>
      </rPr>
      <t>人次。</t>
    </r>
    <phoneticPr fontId="5" type="noConversion"/>
  </si>
  <si>
    <r>
      <t>預估</t>
    </r>
    <r>
      <rPr>
        <sz val="12"/>
        <rFont val="Times New Roman"/>
        <family val="1"/>
      </rPr>
      <t>3</t>
    </r>
    <r>
      <rPr>
        <sz val="12"/>
        <rFont val="標楷體"/>
        <family val="4"/>
        <charset val="136"/>
      </rPr>
      <t>人次。</t>
    </r>
    <phoneticPr fontId="5" type="noConversion"/>
  </si>
  <si>
    <r>
      <t>預估</t>
    </r>
    <r>
      <rPr>
        <sz val="12"/>
        <rFont val="Times New Roman"/>
        <family val="1"/>
      </rPr>
      <t>200</t>
    </r>
    <r>
      <rPr>
        <sz val="12"/>
        <rFont val="標楷體"/>
        <family val="4"/>
        <charset val="136"/>
      </rPr>
      <t>人次。</t>
    </r>
    <phoneticPr fontId="5" type="noConversion"/>
  </si>
  <si>
    <r>
      <t>預估</t>
    </r>
    <r>
      <rPr>
        <sz val="12"/>
        <rFont val="Times New Roman"/>
        <family val="1"/>
      </rPr>
      <t>1,200</t>
    </r>
    <r>
      <rPr>
        <sz val="12"/>
        <rFont val="標楷體"/>
        <family val="4"/>
        <charset val="136"/>
      </rPr>
      <t>人次。</t>
    </r>
    <phoneticPr fontId="5" type="noConversion"/>
  </si>
  <si>
    <r>
      <t>預估</t>
    </r>
    <r>
      <rPr>
        <sz val="12"/>
        <rFont val="Times New Roman"/>
        <family val="1"/>
      </rPr>
      <t>150</t>
    </r>
    <r>
      <rPr>
        <sz val="12"/>
        <rFont val="標楷體"/>
        <family val="4"/>
        <charset val="136"/>
      </rPr>
      <t>件。</t>
    </r>
    <phoneticPr fontId="5" type="noConversion"/>
  </si>
  <si>
    <r>
      <t>預估</t>
    </r>
    <r>
      <rPr>
        <sz val="12"/>
        <rFont val="Times New Roman"/>
        <family val="1"/>
      </rPr>
      <t>4</t>
    </r>
    <r>
      <rPr>
        <sz val="12"/>
        <rFont val="標楷體"/>
        <family val="4"/>
        <charset val="136"/>
      </rPr>
      <t>人次。</t>
    </r>
    <phoneticPr fontId="5" type="noConversion"/>
  </si>
  <si>
    <r>
      <rPr>
        <sz val="12"/>
        <rFont val="標楷體"/>
        <family val="4"/>
        <charset val="136"/>
      </rPr>
      <t>依照職業災害預防補助辦法公告受理申請及補助。</t>
    </r>
    <phoneticPr fontId="5" type="noConversion"/>
  </si>
  <si>
    <r>
      <rPr>
        <sz val="12"/>
        <rFont val="標楷體"/>
        <family val="4"/>
        <charset val="136"/>
      </rPr>
      <t>依照職業災害勞工職業重建補助辦法公告受理申請及補助。</t>
    </r>
    <phoneticPr fontId="22" type="noConversion"/>
  </si>
  <si>
    <r>
      <rPr>
        <sz val="12"/>
        <rFont val="標楷體"/>
        <family val="4"/>
        <charset val="136"/>
      </rPr>
      <t>預估</t>
    </r>
    <r>
      <rPr>
        <sz val="12"/>
        <rFont val="Times New Roman"/>
        <family val="1"/>
      </rPr>
      <t>5,380</t>
    </r>
    <r>
      <rPr>
        <sz val="12"/>
        <rFont val="標楷體"/>
        <family val="4"/>
        <charset val="136"/>
      </rPr>
      <t>人次</t>
    </r>
    <r>
      <rPr>
        <sz val="12"/>
        <rFont val="細明體"/>
        <family val="3"/>
        <charset val="136"/>
      </rPr>
      <t>。</t>
    </r>
    <phoneticPr fontId="5" type="noConversion"/>
  </si>
  <si>
    <r>
      <t>預估</t>
    </r>
    <r>
      <rPr>
        <sz val="12"/>
        <rFont val="Times New Roman"/>
        <family val="1"/>
      </rPr>
      <t>1</t>
    </r>
    <r>
      <rPr>
        <sz val="12"/>
        <rFont val="標楷體"/>
        <family val="4"/>
        <charset val="136"/>
      </rPr>
      <t>件。</t>
    </r>
    <phoneticPr fontId="5" type="noConversion"/>
  </si>
  <si>
    <r>
      <t>預估</t>
    </r>
    <r>
      <rPr>
        <sz val="12"/>
        <rFont val="Times New Roman"/>
        <family val="1"/>
      </rPr>
      <t>17</t>
    </r>
    <r>
      <rPr>
        <sz val="12"/>
        <rFont val="標楷體"/>
        <family val="4"/>
        <charset val="136"/>
      </rPr>
      <t>件。</t>
    </r>
    <phoneticPr fontId="5" type="noConversion"/>
  </si>
  <si>
    <r>
      <t>預估</t>
    </r>
    <r>
      <rPr>
        <sz val="12"/>
        <rFont val="Times New Roman"/>
        <family val="1"/>
      </rPr>
      <t>8</t>
    </r>
    <r>
      <rPr>
        <sz val="12"/>
        <rFont val="標楷體"/>
        <family val="4"/>
        <charset val="136"/>
      </rPr>
      <t>件。</t>
    </r>
    <phoneticPr fontId="5" type="noConversion"/>
  </si>
  <si>
    <r>
      <t>預估</t>
    </r>
    <r>
      <rPr>
        <sz val="12"/>
        <rFont val="Times New Roman"/>
        <family val="1"/>
      </rPr>
      <t>268</t>
    </r>
    <r>
      <rPr>
        <sz val="12"/>
        <rFont val="標楷體"/>
        <family val="4"/>
        <charset val="136"/>
      </rPr>
      <t>人次。</t>
    </r>
    <phoneticPr fontId="5" type="noConversion"/>
  </si>
  <si>
    <r>
      <t>預估</t>
    </r>
    <r>
      <rPr>
        <sz val="12"/>
        <rFont val="Times New Roman"/>
        <family val="1"/>
      </rPr>
      <t>520</t>
    </r>
    <r>
      <rPr>
        <sz val="12"/>
        <rFont val="標楷體"/>
        <family val="4"/>
        <charset val="136"/>
      </rPr>
      <t>人次。</t>
    </r>
    <phoneticPr fontId="5" type="noConversion"/>
  </si>
  <si>
    <r>
      <t>預估</t>
    </r>
    <r>
      <rPr>
        <sz val="12"/>
        <rFont val="Times New Roman"/>
        <family val="1"/>
      </rPr>
      <t>32</t>
    </r>
    <r>
      <rPr>
        <sz val="12"/>
        <rFont val="標楷體"/>
        <family val="4"/>
        <charset val="136"/>
      </rPr>
      <t>人次。</t>
    </r>
    <phoneticPr fontId="5" type="noConversion"/>
  </si>
  <si>
    <r>
      <t>預估</t>
    </r>
    <r>
      <rPr>
        <sz val="12"/>
        <rFont val="Times New Roman"/>
        <family val="1"/>
      </rPr>
      <t>326</t>
    </r>
    <r>
      <rPr>
        <sz val="12"/>
        <rFont val="標楷體"/>
        <family val="4"/>
        <charset val="136"/>
      </rPr>
      <t>人次。</t>
    </r>
    <phoneticPr fontId="5" type="noConversion"/>
  </si>
  <si>
    <r>
      <t>預估</t>
    </r>
    <r>
      <rPr>
        <sz val="12"/>
        <rFont val="Times New Roman"/>
        <family val="1"/>
      </rPr>
      <t>2,987</t>
    </r>
    <r>
      <rPr>
        <sz val="12"/>
        <rFont val="標楷體"/>
        <family val="4"/>
        <charset val="136"/>
      </rPr>
      <t>人次。</t>
    </r>
    <phoneticPr fontId="5" type="noConversion"/>
  </si>
  <si>
    <r>
      <t>預估</t>
    </r>
    <r>
      <rPr>
        <sz val="12"/>
        <rFont val="Times New Roman"/>
        <family val="1"/>
      </rPr>
      <t>7,107</t>
    </r>
    <r>
      <rPr>
        <sz val="12"/>
        <rFont val="標楷體"/>
        <family val="4"/>
        <charset val="136"/>
      </rPr>
      <t>人次。</t>
    </r>
    <phoneticPr fontId="5" type="noConversion"/>
  </si>
  <si>
    <r>
      <t>預估</t>
    </r>
    <r>
      <rPr>
        <sz val="12"/>
        <rFont val="Times New Roman"/>
        <family val="1"/>
      </rPr>
      <t>407</t>
    </r>
    <r>
      <rPr>
        <sz val="12"/>
        <rFont val="標楷體"/>
        <family val="4"/>
        <charset val="136"/>
      </rPr>
      <t>人次。</t>
    </r>
    <phoneticPr fontId="5" type="noConversion"/>
  </si>
  <si>
    <r>
      <t>預估</t>
    </r>
    <r>
      <rPr>
        <sz val="12"/>
        <rFont val="Times New Roman"/>
        <family val="1"/>
      </rPr>
      <t>2,710</t>
    </r>
    <r>
      <rPr>
        <sz val="12"/>
        <rFont val="標楷體"/>
        <family val="4"/>
        <charset val="136"/>
      </rPr>
      <t>次。</t>
    </r>
    <phoneticPr fontId="5" type="noConversion"/>
  </si>
  <si>
    <r>
      <t>預估</t>
    </r>
    <r>
      <rPr>
        <sz val="12"/>
        <rFont val="Times New Roman"/>
        <family val="1"/>
      </rPr>
      <t>4</t>
    </r>
    <r>
      <rPr>
        <sz val="12"/>
        <rFont val="標楷體"/>
        <family val="4"/>
        <charset val="136"/>
      </rPr>
      <t>件。</t>
    </r>
    <phoneticPr fontId="5" type="noConversion"/>
  </si>
  <si>
    <r>
      <t>預估</t>
    </r>
    <r>
      <rPr>
        <sz val="12"/>
        <rFont val="Times New Roman"/>
        <family val="1"/>
      </rPr>
      <t>2</t>
    </r>
    <r>
      <rPr>
        <sz val="12"/>
        <rFont val="標楷體"/>
        <family val="4"/>
        <charset val="136"/>
      </rPr>
      <t>件。</t>
    </r>
    <phoneticPr fontId="5" type="noConversion"/>
  </si>
  <si>
    <r>
      <t>3.</t>
    </r>
    <r>
      <rPr>
        <sz val="12"/>
        <rFont val="標楷體"/>
        <family val="4"/>
        <charset val="136"/>
      </rPr>
      <t>流動負債淨減</t>
    </r>
    <phoneticPr fontId="5" type="noConversion"/>
  </si>
  <si>
    <r>
      <t>係增加無形資產</t>
    </r>
    <r>
      <rPr>
        <sz val="12"/>
        <rFont val="Times New Roman"/>
        <family val="1"/>
      </rPr>
      <t>24,000</t>
    </r>
    <r>
      <rPr>
        <sz val="12"/>
        <rFont val="標楷體"/>
        <family val="4"/>
        <charset val="136"/>
      </rPr>
      <t>千元。</t>
    </r>
    <phoneticPr fontId="5" type="noConversion"/>
  </si>
  <si>
    <r>
      <rPr>
        <sz val="12"/>
        <rFont val="標楷體"/>
        <family val="4"/>
        <charset val="136"/>
      </rPr>
      <t>發生率</t>
    </r>
    <r>
      <rPr>
        <sz val="12"/>
        <rFont val="Times New Roman"/>
        <family val="1"/>
      </rPr>
      <t>4.54‰</t>
    </r>
    <r>
      <rPr>
        <sz val="12"/>
        <rFont val="標楷體"/>
        <family val="4"/>
        <charset val="136"/>
      </rPr>
      <t>。</t>
    </r>
    <phoneticPr fontId="22" type="noConversion"/>
  </si>
  <si>
    <r>
      <rPr>
        <sz val="12"/>
        <rFont val="標楷體"/>
        <family val="4"/>
        <charset val="136"/>
      </rPr>
      <t>發生率</t>
    </r>
    <r>
      <rPr>
        <sz val="12"/>
        <rFont val="Times New Roman"/>
        <family val="1"/>
      </rPr>
      <t>7.61‰</t>
    </r>
    <r>
      <rPr>
        <sz val="12"/>
        <rFont val="標楷體"/>
        <family val="4"/>
        <charset val="136"/>
      </rPr>
      <t>。</t>
    </r>
    <phoneticPr fontId="22" type="noConversion"/>
  </si>
  <si>
    <r>
      <rPr>
        <sz val="12"/>
        <rFont val="標楷體"/>
        <family val="4"/>
        <charset val="136"/>
      </rPr>
      <t>發生率</t>
    </r>
    <r>
      <rPr>
        <sz val="12"/>
        <rFont val="Times New Roman"/>
        <family val="1"/>
      </rPr>
      <t>0.33‰</t>
    </r>
    <r>
      <rPr>
        <sz val="12"/>
        <rFont val="標楷體"/>
        <family val="4"/>
        <charset val="136"/>
      </rPr>
      <t>。</t>
    </r>
    <phoneticPr fontId="22" type="noConversion"/>
  </si>
  <si>
    <r>
      <rPr>
        <sz val="12"/>
        <rFont val="標楷體"/>
        <family val="4"/>
        <charset val="136"/>
      </rPr>
      <t>發生率</t>
    </r>
    <r>
      <rPr>
        <sz val="12"/>
        <rFont val="Times New Roman"/>
        <family val="1"/>
      </rPr>
      <t>0.22‰</t>
    </r>
    <r>
      <rPr>
        <sz val="12"/>
        <rFont val="標楷體"/>
        <family val="4"/>
        <charset val="136"/>
      </rPr>
      <t>。</t>
    </r>
    <phoneticPr fontId="22" type="noConversion"/>
  </si>
  <si>
    <t>比較增減(-)</t>
    <phoneticPr fontId="5" type="noConversion"/>
  </si>
  <si>
    <r>
      <rPr>
        <sz val="12"/>
        <rFont val="標楷體"/>
        <family val="4"/>
        <charset val="136"/>
      </rPr>
      <t>發生率</t>
    </r>
    <r>
      <rPr>
        <sz val="12"/>
        <rFont val="Times New Roman"/>
        <family val="1"/>
      </rPr>
      <t>0.0175‰</t>
    </r>
    <r>
      <rPr>
        <sz val="12"/>
        <rFont val="標楷體"/>
        <family val="4"/>
        <charset val="136"/>
      </rPr>
      <t>。</t>
    </r>
    <phoneticPr fontId="22" type="noConversion"/>
  </si>
  <si>
    <r>
      <rPr>
        <sz val="12"/>
        <rFont val="標楷體"/>
        <family val="4"/>
        <charset val="136"/>
      </rPr>
      <t>發生率</t>
    </r>
    <r>
      <rPr>
        <sz val="12"/>
        <rFont val="Times New Roman"/>
        <family val="1"/>
      </rPr>
      <t>0.0975‰</t>
    </r>
    <r>
      <rPr>
        <sz val="12"/>
        <rFont val="標楷體"/>
        <family val="4"/>
        <charset val="136"/>
      </rPr>
      <t>。</t>
    </r>
    <phoneticPr fontId="22" type="noConversion"/>
  </si>
  <si>
    <r>
      <rPr>
        <sz val="12"/>
        <rFont val="標楷體"/>
        <family val="4"/>
        <charset val="136"/>
      </rPr>
      <t>就診率</t>
    </r>
    <r>
      <rPr>
        <sz val="12"/>
        <rFont val="Times New Roman"/>
        <family val="1"/>
      </rPr>
      <t>16%</t>
    </r>
    <r>
      <rPr>
        <sz val="12"/>
        <rFont val="標楷體"/>
        <family val="4"/>
        <charset val="136"/>
      </rPr>
      <t>。</t>
    </r>
    <phoneticPr fontId="22" type="noConversion"/>
  </si>
  <si>
    <t xml:space="preserve">  職業災害勞工保護</t>
    <phoneticPr fontId="5" type="noConversion"/>
  </si>
  <si>
    <r>
      <rPr>
        <sz val="12"/>
        <rFont val="標楷體"/>
        <family val="4"/>
        <charset val="136"/>
      </rPr>
      <t>編列</t>
    </r>
    <r>
      <rPr>
        <sz val="12"/>
        <rFont val="Times New Roman"/>
        <family val="1"/>
      </rPr>
      <t>16,010</t>
    </r>
    <r>
      <rPr>
        <sz val="12"/>
        <rFont val="標楷體"/>
        <family val="4"/>
        <charset val="136"/>
      </rPr>
      <t>千元，係職業災害勞工保護</t>
    </r>
    <r>
      <rPr>
        <sz val="12"/>
        <rFont val="Times New Roman"/>
        <family val="1"/>
      </rPr>
      <t>-</t>
    </r>
    <r>
      <rPr>
        <sz val="12"/>
        <rFont val="標楷體"/>
        <family val="4"/>
        <charset val="136"/>
      </rPr>
      <t>未加保勞工之收入減支出後之餘額，悉數轉列提存責任準備。</t>
    </r>
    <phoneticPr fontId="5" type="noConversion"/>
  </si>
  <si>
    <r>
      <rPr>
        <sz val="12"/>
        <rFont val="標楷體"/>
        <family val="4"/>
        <charset val="136"/>
      </rPr>
      <t>編列</t>
    </r>
    <r>
      <rPr>
        <sz val="12"/>
        <rFont val="Times New Roman"/>
        <family val="1"/>
      </rPr>
      <t>6,752,175</t>
    </r>
    <r>
      <rPr>
        <sz val="12"/>
        <rFont val="標楷體"/>
        <family val="4"/>
        <charset val="136"/>
      </rPr>
      <t>千元，係參考以前年度統計資料預估各項給付發生率及單價等因素，主要包含傷病、醫療、失能及死亡之各項給付等。</t>
    </r>
    <phoneticPr fontId="5" type="noConversion"/>
  </si>
  <si>
    <r>
      <t>編列</t>
    </r>
    <r>
      <rPr>
        <sz val="12"/>
        <rFont val="Times New Roman"/>
        <family val="1"/>
      </rPr>
      <t>569</t>
    </r>
    <r>
      <rPr>
        <sz val="12"/>
        <rFont val="標楷體"/>
        <family val="4"/>
        <charset val="136"/>
      </rPr>
      <t>千元，係業務實際需要並遵行節能減碳政策之水電費。</t>
    </r>
    <phoneticPr fontId="5" type="noConversion"/>
  </si>
  <si>
    <r>
      <t>編列</t>
    </r>
    <r>
      <rPr>
        <sz val="12"/>
        <rFont val="Times New Roman"/>
        <family val="1"/>
      </rPr>
      <t>272,020</t>
    </r>
    <r>
      <rPr>
        <sz val="12"/>
        <rFont val="標楷體"/>
        <family val="4"/>
        <charset val="136"/>
      </rPr>
      <t>千元，係辦理各項講習之講課鐘點費與邀請專家學者及採購評選委員之出席費、電腦軟體服務費等</t>
    </r>
    <r>
      <rPr>
        <sz val="12"/>
        <rFont val="Times New Roman"/>
        <family val="1"/>
      </rPr>
      <t>11,124</t>
    </r>
    <r>
      <rPr>
        <sz val="12"/>
        <rFont val="標楷體"/>
        <family val="4"/>
        <charset val="136"/>
      </rPr>
      <t>千元，以及預防職業病健康檢查</t>
    </r>
    <r>
      <rPr>
        <sz val="12"/>
        <rFont val="Times New Roman"/>
        <family val="1"/>
      </rPr>
      <t>260,896</t>
    </r>
    <r>
      <rPr>
        <sz val="12"/>
        <rFont val="標楷體"/>
        <family val="4"/>
        <charset val="136"/>
      </rPr>
      <t>千元。</t>
    </r>
    <phoneticPr fontId="5" type="noConversion"/>
  </si>
  <si>
    <r>
      <t>投保人數</t>
    </r>
    <r>
      <rPr>
        <sz val="12"/>
        <color indexed="8"/>
        <rFont val="Times New Roman"/>
        <family val="1"/>
      </rPr>
      <t>10,860,000</t>
    </r>
    <r>
      <rPr>
        <sz val="12"/>
        <color indexed="8"/>
        <rFont val="標楷體"/>
        <family val="4"/>
        <charset val="136"/>
      </rPr>
      <t>人（含一般勞工</t>
    </r>
    <r>
      <rPr>
        <sz val="12"/>
        <color indexed="8"/>
        <rFont val="Times New Roman"/>
        <family val="1"/>
      </rPr>
      <t>10,415,000</t>
    </r>
    <r>
      <rPr>
        <sz val="12"/>
        <color indexed="8"/>
        <rFont val="標楷體"/>
        <family val="4"/>
        <charset val="136"/>
      </rPr>
      <t>人及已領老年給付勞工</t>
    </r>
    <r>
      <rPr>
        <sz val="12"/>
        <color indexed="8"/>
        <rFont val="Times New Roman"/>
        <family val="1"/>
      </rPr>
      <t>445,000</t>
    </r>
    <r>
      <rPr>
        <sz val="12"/>
        <color indexed="8"/>
        <rFont val="標楷體"/>
        <family val="4"/>
        <charset val="136"/>
      </rPr>
      <t>人）。</t>
    </r>
    <phoneticPr fontId="5" type="noConversion"/>
  </si>
  <si>
    <r>
      <t>本項業務</t>
    </r>
    <r>
      <rPr>
        <sz val="12"/>
        <rFont val="Times New Roman"/>
        <family val="1"/>
      </rPr>
      <t>111</t>
    </r>
    <r>
      <rPr>
        <sz val="12"/>
        <rFont val="標楷體"/>
        <family val="4"/>
        <charset val="136"/>
      </rPr>
      <t>年</t>
    </r>
    <r>
      <rPr>
        <sz val="12"/>
        <rFont val="Times New Roman"/>
        <family val="1"/>
      </rPr>
      <t>1</t>
    </r>
    <r>
      <rPr>
        <sz val="12"/>
        <rFont val="標楷體"/>
        <family val="4"/>
        <charset val="136"/>
      </rPr>
      <t>月至</t>
    </r>
    <r>
      <rPr>
        <sz val="12"/>
        <rFont val="Times New Roman"/>
        <family val="1"/>
      </rPr>
      <t>4</t>
    </r>
    <r>
      <rPr>
        <sz val="12"/>
        <rFont val="標楷體"/>
        <family val="4"/>
        <charset val="136"/>
      </rPr>
      <t>月投保人數</t>
    </r>
    <r>
      <rPr>
        <sz val="12"/>
        <rFont val="Times New Roman"/>
        <family val="1"/>
      </rPr>
      <t>10,600,000</t>
    </r>
    <r>
      <rPr>
        <sz val="12"/>
        <rFont val="標楷體"/>
        <family val="4"/>
        <charset val="136"/>
      </rPr>
      <t>人（含一般勞工</t>
    </r>
    <r>
      <rPr>
        <sz val="12"/>
        <rFont val="Times New Roman"/>
        <family val="1"/>
      </rPr>
      <t>10,155,000</t>
    </r>
    <r>
      <rPr>
        <sz val="12"/>
        <rFont val="標楷體"/>
        <family val="4"/>
        <charset val="136"/>
      </rPr>
      <t>人及已領老年給付勞工</t>
    </r>
    <r>
      <rPr>
        <sz val="12"/>
        <rFont val="Times New Roman"/>
        <family val="1"/>
      </rPr>
      <t>445,000</t>
    </r>
    <r>
      <rPr>
        <sz val="12"/>
        <rFont val="標楷體"/>
        <family val="4"/>
        <charset val="136"/>
      </rPr>
      <t>人），配合勞工職業災害保險及保護法於</t>
    </r>
    <r>
      <rPr>
        <sz val="12"/>
        <rFont val="Times New Roman"/>
        <family val="1"/>
      </rPr>
      <t>111</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日施行，</t>
    </r>
    <r>
      <rPr>
        <sz val="12"/>
        <rFont val="Times New Roman"/>
        <family val="1"/>
      </rPr>
      <t>111</t>
    </r>
    <r>
      <rPr>
        <sz val="12"/>
        <rFont val="標楷體"/>
        <family val="4"/>
        <charset val="136"/>
      </rPr>
      <t>年</t>
    </r>
    <r>
      <rPr>
        <sz val="12"/>
        <rFont val="Times New Roman"/>
        <family val="1"/>
      </rPr>
      <t>5</t>
    </r>
    <r>
      <rPr>
        <sz val="12"/>
        <rFont val="標楷體"/>
        <family val="4"/>
        <charset val="136"/>
      </rPr>
      <t>至</t>
    </r>
    <r>
      <rPr>
        <sz val="12"/>
        <rFont val="Times New Roman"/>
        <family val="1"/>
      </rPr>
      <t>12</t>
    </r>
    <r>
      <rPr>
        <sz val="12"/>
        <rFont val="標楷體"/>
        <family val="4"/>
        <charset val="136"/>
      </rPr>
      <t>月投保人數</t>
    </r>
    <r>
      <rPr>
        <sz val="12"/>
        <rFont val="Times New Roman"/>
        <family val="1"/>
      </rPr>
      <t>10,155,000</t>
    </r>
    <r>
      <rPr>
        <sz val="12"/>
        <rFont val="標楷體"/>
        <family val="4"/>
        <charset val="136"/>
      </rPr>
      <t>人（一般勞工</t>
    </r>
    <r>
      <rPr>
        <sz val="12"/>
        <rFont val="標楷體"/>
        <family val="4"/>
        <charset val="136"/>
      </rPr>
      <t>）。</t>
    </r>
    <phoneticPr fontId="5" type="noConversion"/>
  </si>
  <si>
    <r>
      <t>普通事故保險費率</t>
    </r>
    <r>
      <rPr>
        <sz val="12"/>
        <color indexed="8"/>
        <rFont val="Times New Roman"/>
        <family val="1"/>
      </rPr>
      <t>10.5</t>
    </r>
    <r>
      <rPr>
        <sz val="12"/>
        <color indexed="8"/>
        <rFont val="標楷體"/>
        <family val="4"/>
        <charset val="136"/>
      </rPr>
      <t>%，係依照</t>
    </r>
    <r>
      <rPr>
        <sz val="12"/>
        <color indexed="8"/>
        <rFont val="Times New Roman"/>
        <family val="1"/>
      </rPr>
      <t>98</t>
    </r>
    <r>
      <rPr>
        <sz val="12"/>
        <color indexed="8"/>
        <rFont val="標楷體"/>
        <family val="4"/>
        <charset val="136"/>
      </rPr>
      <t>年修正施行之勞工保險條例第</t>
    </r>
    <r>
      <rPr>
        <sz val="12"/>
        <color indexed="8"/>
        <rFont val="Times New Roman"/>
        <family val="1"/>
      </rPr>
      <t>13</t>
    </r>
    <r>
      <rPr>
        <sz val="12"/>
        <color indexed="8"/>
        <rFont val="標楷體"/>
        <family val="4"/>
        <charset val="136"/>
      </rPr>
      <t>條規定，普通事故保險費率於施行後第</t>
    </r>
    <r>
      <rPr>
        <sz val="12"/>
        <color indexed="8"/>
        <rFont val="Times New Roman"/>
        <family val="1"/>
      </rPr>
      <t>3</t>
    </r>
    <r>
      <rPr>
        <sz val="12"/>
        <color indexed="8"/>
        <rFont val="標楷體"/>
        <family val="4"/>
        <charset val="136"/>
      </rPr>
      <t>年調高</t>
    </r>
    <r>
      <rPr>
        <sz val="12"/>
        <color indexed="8"/>
        <rFont val="Times New Roman"/>
        <family val="1"/>
      </rPr>
      <t>0.5</t>
    </r>
    <r>
      <rPr>
        <sz val="12"/>
        <color indexed="8"/>
        <rFont val="標楷體"/>
        <family val="4"/>
        <charset val="136"/>
      </rPr>
      <t>%，其後每年調高</t>
    </r>
    <r>
      <rPr>
        <sz val="12"/>
        <color indexed="8"/>
        <rFont val="Times New Roman"/>
        <family val="1"/>
      </rPr>
      <t>0.5</t>
    </r>
    <r>
      <rPr>
        <sz val="12"/>
        <color indexed="8"/>
        <rFont val="標楷體"/>
        <family val="4"/>
        <charset val="136"/>
      </rPr>
      <t>%至費率為</t>
    </r>
    <r>
      <rPr>
        <sz val="12"/>
        <color indexed="8"/>
        <rFont val="Times New Roman"/>
        <family val="1"/>
      </rPr>
      <t>10</t>
    </r>
    <r>
      <rPr>
        <sz val="12"/>
        <color indexed="8"/>
        <rFont val="標楷體"/>
        <family val="4"/>
        <charset val="136"/>
      </rPr>
      <t>%，並自</t>
    </r>
    <r>
      <rPr>
        <sz val="12"/>
        <color indexed="8"/>
        <rFont val="Times New Roman"/>
        <family val="1"/>
      </rPr>
      <t>10</t>
    </r>
    <r>
      <rPr>
        <sz val="12"/>
        <color indexed="8"/>
        <rFont val="標楷體"/>
        <family val="4"/>
        <charset val="136"/>
      </rPr>
      <t>%當年起，每兩年調高</t>
    </r>
    <r>
      <rPr>
        <sz val="12"/>
        <color indexed="8"/>
        <rFont val="Times New Roman"/>
        <family val="1"/>
      </rPr>
      <t>0.5</t>
    </r>
    <r>
      <rPr>
        <sz val="12"/>
        <color indexed="8"/>
        <rFont val="標楷體"/>
        <family val="4"/>
        <charset val="136"/>
      </rPr>
      <t>%至上限</t>
    </r>
    <r>
      <rPr>
        <sz val="12"/>
        <color indexed="8"/>
        <rFont val="Times New Roman"/>
        <family val="1"/>
      </rPr>
      <t>13</t>
    </r>
    <r>
      <rPr>
        <sz val="12"/>
        <color indexed="8"/>
        <rFont val="標楷體"/>
        <family val="4"/>
        <charset val="136"/>
      </rPr>
      <t>%(</t>
    </r>
    <phoneticPr fontId="5" type="noConversion"/>
  </si>
  <si>
    <r>
      <t>依就業保險法第</t>
    </r>
    <r>
      <rPr>
        <sz val="12"/>
        <rFont val="Times New Roman"/>
        <family val="1"/>
      </rPr>
      <t>41</t>
    </r>
    <r>
      <rPr>
        <sz val="12"/>
        <rFont val="標楷體"/>
        <family val="4"/>
        <charset val="136"/>
      </rPr>
      <t>條規定，勞工保險普通事故保險費率</t>
    </r>
    <r>
      <rPr>
        <sz val="12"/>
        <rFont val="Times New Roman"/>
        <family val="1"/>
      </rPr>
      <t>1</t>
    </r>
    <r>
      <rPr>
        <sz val="12"/>
        <rFont val="標楷體"/>
        <family val="4"/>
        <charset val="136"/>
      </rPr>
      <t>%移作就業保險之費率)編列。</t>
    </r>
    <phoneticPr fontId="5" type="noConversion"/>
  </si>
  <si>
    <r>
      <t>主要係應付保管款逾</t>
    </r>
    <r>
      <rPr>
        <sz val="12"/>
        <rFont val="Times New Roman"/>
        <family val="1"/>
      </rPr>
      <t>4</t>
    </r>
    <r>
      <rPr>
        <sz val="12"/>
        <rFont val="標楷體"/>
        <family val="4"/>
        <charset val="136"/>
      </rPr>
      <t>年轉入等收入。</t>
    </r>
    <phoneticPr fontId="5" type="noConversion"/>
  </si>
  <si>
    <r>
      <t>主要係應付保管款逾</t>
    </r>
    <r>
      <rPr>
        <sz val="12"/>
        <rFont val="Times New Roman"/>
        <family val="1"/>
      </rPr>
      <t>4</t>
    </r>
    <r>
      <rPr>
        <sz val="12"/>
        <rFont val="標楷體"/>
        <family val="4"/>
        <charset val="136"/>
      </rPr>
      <t>年轉入等收入。</t>
    </r>
    <phoneticPr fontId="5" type="noConversion"/>
  </si>
  <si>
    <r>
      <rPr>
        <sz val="12"/>
        <rFont val="標楷體"/>
        <family val="4"/>
        <charset val="136"/>
      </rPr>
      <t>係</t>
    </r>
    <r>
      <rPr>
        <sz val="12"/>
        <rFont val="標楷體"/>
        <family val="4"/>
        <charset val="136"/>
      </rPr>
      <t>農保及農職保業務減少短期債務</t>
    </r>
    <r>
      <rPr>
        <sz val="12"/>
        <rFont val="Times New Roman"/>
        <family val="1"/>
      </rPr>
      <t>347,000</t>
    </r>
    <r>
      <rPr>
        <sz val="12"/>
        <rFont val="標楷體"/>
        <family val="4"/>
        <charset val="136"/>
      </rPr>
      <t>千元</t>
    </r>
    <r>
      <rPr>
        <sz val="12"/>
        <rFont val="標楷體"/>
        <family val="4"/>
        <charset val="136"/>
      </rPr>
      <t>。</t>
    </r>
    <phoneticPr fontId="5" type="noConversion"/>
  </si>
  <si>
    <r>
      <rPr>
        <sz val="12"/>
        <rFont val="標楷體"/>
        <family val="4"/>
        <charset val="136"/>
      </rPr>
      <t>係就業保險業務增加流動金融資產</t>
    </r>
    <r>
      <rPr>
        <sz val="12"/>
        <rFont val="Times New Roman"/>
        <family val="1"/>
      </rPr>
      <t>1,799,991</t>
    </r>
    <r>
      <rPr>
        <sz val="12"/>
        <rFont val="標楷體"/>
        <family val="4"/>
        <charset val="136"/>
      </rPr>
      <t>千元及職業災害勞工保護增加流動金融資產</t>
    </r>
    <r>
      <rPr>
        <sz val="12"/>
        <rFont val="Times New Roman"/>
        <family val="1"/>
      </rPr>
      <t>109,200</t>
    </r>
    <r>
      <rPr>
        <sz val="12"/>
        <rFont val="標楷體"/>
        <family val="4"/>
        <charset val="136"/>
      </rPr>
      <t>千元</t>
    </r>
    <r>
      <rPr>
        <sz val="12"/>
        <rFont val="標楷體"/>
        <family val="4"/>
        <charset val="136"/>
      </rPr>
      <t>。</t>
    </r>
    <phoneticPr fontId="5" type="noConversion"/>
  </si>
  <si>
    <r>
      <rPr>
        <sz val="12"/>
        <rFont val="標楷體"/>
        <family val="4"/>
        <charset val="136"/>
      </rPr>
      <t>係勞工保險業務增加長期貸款</t>
    </r>
    <r>
      <rPr>
        <sz val="12"/>
        <rFont val="Times New Roman"/>
        <family val="1"/>
      </rPr>
      <t>10,169,315</t>
    </r>
    <r>
      <rPr>
        <sz val="12"/>
        <rFont val="標楷體"/>
        <family val="4"/>
        <charset val="136"/>
      </rPr>
      <t>千元、就業保險業務增加投資</t>
    </r>
    <r>
      <rPr>
        <sz val="12"/>
        <rFont val="Times New Roman"/>
        <family val="1"/>
      </rPr>
      <t>-</t>
    </r>
    <r>
      <rPr>
        <sz val="12"/>
        <rFont val="標楷體"/>
        <family val="4"/>
        <charset val="136"/>
      </rPr>
      <t>非流動金融資產</t>
    </r>
    <r>
      <rPr>
        <sz val="12"/>
        <rFont val="Times New Roman"/>
        <family val="1"/>
      </rPr>
      <t>3,743,675</t>
    </r>
    <r>
      <rPr>
        <sz val="12"/>
        <rFont val="標楷體"/>
        <family val="4"/>
        <charset val="136"/>
      </rPr>
      <t>千元及職業災害勞工保護增加投資</t>
    </r>
    <r>
      <rPr>
        <sz val="12"/>
        <rFont val="Times New Roman"/>
        <family val="1"/>
      </rPr>
      <t>-</t>
    </r>
    <r>
      <rPr>
        <sz val="12"/>
        <rFont val="標楷體"/>
        <family val="4"/>
        <charset val="136"/>
      </rPr>
      <t>非流動金融資產</t>
    </r>
    <r>
      <rPr>
        <sz val="12"/>
        <rFont val="Times New Roman"/>
        <family val="1"/>
      </rPr>
      <t>159,470</t>
    </r>
    <r>
      <rPr>
        <sz val="12"/>
        <rFont val="標楷體"/>
        <family val="4"/>
        <charset val="136"/>
      </rPr>
      <t>千元</t>
    </r>
    <r>
      <rPr>
        <sz val="12"/>
        <rFont val="標楷體"/>
        <family val="4"/>
        <charset val="136"/>
      </rPr>
      <t>。</t>
    </r>
    <phoneticPr fontId="5" type="noConversion"/>
  </si>
  <si>
    <t>係退保已久投保單位溢計之保險費。</t>
    <phoneticPr fontId="5" type="noConversion"/>
  </si>
  <si>
    <r>
      <rPr>
        <sz val="12"/>
        <rFont val="標楷體"/>
        <family val="4"/>
        <charset val="136"/>
      </rPr>
      <t>發生率</t>
    </r>
    <r>
      <rPr>
        <sz val="12"/>
        <rFont val="Times New Roman"/>
        <family val="1"/>
      </rPr>
      <t>4.54‰</t>
    </r>
    <r>
      <rPr>
        <sz val="12"/>
        <rFont val="標楷體"/>
        <family val="4"/>
        <charset val="136"/>
      </rPr>
      <t>。</t>
    </r>
    <phoneticPr fontId="22" type="noConversion"/>
  </si>
  <si>
    <r>
      <rPr>
        <sz val="12"/>
        <rFont val="標楷體"/>
        <family val="4"/>
        <charset val="136"/>
      </rPr>
      <t>發生率</t>
    </r>
    <r>
      <rPr>
        <sz val="12"/>
        <rFont val="Times New Roman"/>
        <family val="1"/>
      </rPr>
      <t>7.61‰</t>
    </r>
    <r>
      <rPr>
        <sz val="12"/>
        <rFont val="標楷體"/>
        <family val="4"/>
        <charset val="136"/>
      </rPr>
      <t>。</t>
    </r>
    <phoneticPr fontId="22" type="noConversion"/>
  </si>
  <si>
    <r>
      <rPr>
        <sz val="12"/>
        <rFont val="標楷體"/>
        <family val="4"/>
        <charset val="136"/>
      </rPr>
      <t>發生率</t>
    </r>
    <r>
      <rPr>
        <sz val="12"/>
        <rFont val="Times New Roman"/>
        <family val="1"/>
      </rPr>
      <t>0.21‰</t>
    </r>
    <r>
      <rPr>
        <sz val="12"/>
        <rFont val="標楷體"/>
        <family val="4"/>
        <charset val="136"/>
      </rPr>
      <t>。</t>
    </r>
    <phoneticPr fontId="22" type="noConversion"/>
  </si>
  <si>
    <r>
      <rPr>
        <sz val="12"/>
        <rFont val="標楷體"/>
        <family val="4"/>
        <charset val="136"/>
      </rPr>
      <t>發生率</t>
    </r>
    <r>
      <rPr>
        <sz val="12"/>
        <rFont val="Times New Roman"/>
        <family val="1"/>
      </rPr>
      <t>0.3‰</t>
    </r>
    <r>
      <rPr>
        <sz val="12"/>
        <rFont val="標楷體"/>
        <family val="4"/>
        <charset val="136"/>
      </rPr>
      <t>。</t>
    </r>
    <phoneticPr fontId="22" type="noConversion"/>
  </si>
  <si>
    <r>
      <t>預估</t>
    </r>
    <r>
      <rPr>
        <sz val="12"/>
        <rFont val="Times New Roman"/>
        <family val="1"/>
      </rPr>
      <t>20</t>
    </r>
    <r>
      <rPr>
        <sz val="12"/>
        <rFont val="標楷體"/>
        <family val="4"/>
        <charset val="136"/>
      </rPr>
      <t>件。</t>
    </r>
    <phoneticPr fontId="22" type="noConversion"/>
  </si>
  <si>
    <r>
      <t>預估</t>
    </r>
    <r>
      <rPr>
        <sz val="12"/>
        <rFont val="Times New Roman"/>
        <family val="1"/>
      </rPr>
      <t>1</t>
    </r>
    <r>
      <rPr>
        <sz val="12"/>
        <rFont val="標楷體"/>
        <family val="4"/>
        <charset val="136"/>
      </rPr>
      <t>件。</t>
    </r>
    <phoneticPr fontId="22" type="noConversion"/>
  </si>
  <si>
    <r>
      <rPr>
        <sz val="12"/>
        <rFont val="標楷體"/>
        <family val="4"/>
        <charset val="136"/>
      </rPr>
      <t>發生率</t>
    </r>
    <r>
      <rPr>
        <sz val="12"/>
        <rFont val="Times New Roman"/>
        <family val="1"/>
      </rPr>
      <t>0.05‰</t>
    </r>
    <r>
      <rPr>
        <sz val="12"/>
        <rFont val="標楷體"/>
        <family val="4"/>
        <charset val="136"/>
      </rPr>
      <t>。</t>
    </r>
    <phoneticPr fontId="22" type="noConversion"/>
  </si>
  <si>
    <r>
      <rPr>
        <sz val="12"/>
        <rFont val="標楷體"/>
        <family val="4"/>
        <charset val="136"/>
      </rPr>
      <t>發生率</t>
    </r>
    <r>
      <rPr>
        <sz val="12"/>
        <rFont val="Times New Roman"/>
        <family val="1"/>
      </rPr>
      <t>0.15‰</t>
    </r>
    <r>
      <rPr>
        <sz val="12"/>
        <rFont val="標楷體"/>
        <family val="4"/>
        <charset val="136"/>
      </rPr>
      <t>。</t>
    </r>
    <phoneticPr fontId="22" type="noConversion"/>
  </si>
  <si>
    <r>
      <rPr>
        <sz val="12"/>
        <rFont val="標楷體"/>
        <family val="4"/>
        <charset val="136"/>
      </rPr>
      <t>住院率</t>
    </r>
    <r>
      <rPr>
        <sz val="12"/>
        <rFont val="Times New Roman"/>
        <family val="1"/>
      </rPr>
      <t>0.3</t>
    </r>
    <r>
      <rPr>
        <sz val="12"/>
        <rFont val="標楷體"/>
        <family val="4"/>
        <charset val="136"/>
      </rPr>
      <t>％。</t>
    </r>
    <phoneticPr fontId="22" type="noConversion"/>
  </si>
  <si>
    <r>
      <rPr>
        <sz val="12"/>
        <rFont val="標楷體"/>
        <family val="4"/>
        <charset val="136"/>
      </rPr>
      <t>就診率</t>
    </r>
    <r>
      <rPr>
        <sz val="12"/>
        <rFont val="Times New Roman"/>
        <family val="1"/>
      </rPr>
      <t>16</t>
    </r>
    <r>
      <rPr>
        <sz val="12"/>
        <rFont val="標楷體"/>
        <family val="4"/>
        <charset val="136"/>
      </rPr>
      <t>％。</t>
    </r>
    <phoneticPr fontId="22" type="noConversion"/>
  </si>
  <si>
    <r>
      <rPr>
        <sz val="12"/>
        <rFont val="標楷體"/>
        <family val="4"/>
        <charset val="136"/>
      </rPr>
      <t>住院率</t>
    </r>
    <r>
      <rPr>
        <sz val="12"/>
        <rFont val="Times New Roman"/>
        <family val="1"/>
      </rPr>
      <t>0.3%</t>
    </r>
    <r>
      <rPr>
        <sz val="12"/>
        <rFont val="標楷體"/>
        <family val="4"/>
        <charset val="136"/>
      </rPr>
      <t>。</t>
    </r>
    <phoneticPr fontId="22" type="noConversion"/>
  </si>
  <si>
    <r>
      <t>係減少流動金融資產</t>
    </r>
    <r>
      <rPr>
        <sz val="12"/>
        <rFont val="Times New Roman"/>
        <family val="1"/>
      </rPr>
      <t>3,379,660</t>
    </r>
    <r>
      <rPr>
        <sz val="12"/>
        <rFont val="標楷體"/>
        <family val="4"/>
        <charset val="136"/>
      </rPr>
      <t>千元。</t>
    </r>
    <phoneticPr fontId="5" type="noConversion"/>
  </si>
  <si>
    <r>
      <rPr>
        <sz val="12"/>
        <rFont val="標楷體"/>
        <family val="4"/>
        <charset val="136"/>
      </rPr>
      <t>減少投資</t>
    </r>
    <r>
      <rPr>
        <sz val="12"/>
        <rFont val="Times New Roman"/>
        <family val="1"/>
      </rPr>
      <t>-</t>
    </r>
    <r>
      <rPr>
        <sz val="12"/>
        <rFont val="標楷體"/>
        <family val="4"/>
        <charset val="136"/>
      </rPr>
      <t>非流動金融資產</t>
    </r>
    <r>
      <rPr>
        <sz val="12"/>
        <rFont val="Times New Roman"/>
        <family val="1"/>
      </rPr>
      <t>5,583,410</t>
    </r>
    <r>
      <rPr>
        <sz val="12"/>
        <rFont val="標楷體"/>
        <family val="4"/>
        <charset val="136"/>
      </rPr>
      <t>千元。</t>
    </r>
    <phoneticPr fontId="5" type="noConversion"/>
  </si>
  <si>
    <r>
      <rPr>
        <sz val="12"/>
        <rFont val="標楷體"/>
        <family val="4"/>
        <charset val="136"/>
      </rPr>
      <t>係增加投資</t>
    </r>
    <r>
      <rPr>
        <sz val="12"/>
        <rFont val="Times New Roman"/>
        <family val="1"/>
      </rPr>
      <t>-</t>
    </r>
    <r>
      <rPr>
        <sz val="12"/>
        <rFont val="標楷體"/>
        <family val="4"/>
        <charset val="136"/>
      </rPr>
      <t>非流動金融資產</t>
    </r>
    <r>
      <rPr>
        <sz val="12"/>
        <rFont val="Times New Roman"/>
        <family val="1"/>
      </rPr>
      <t>159,470</t>
    </r>
    <r>
      <rPr>
        <sz val="12"/>
        <rFont val="標楷體"/>
        <family val="4"/>
        <charset val="136"/>
      </rPr>
      <t>千元。</t>
    </r>
    <phoneticPr fontId="5" type="noConversion"/>
  </si>
  <si>
    <r>
      <rPr>
        <sz val="12"/>
        <color theme="1"/>
        <rFont val="標楷體"/>
        <family val="4"/>
        <charset val="136"/>
      </rPr>
      <t>編列</t>
    </r>
    <r>
      <rPr>
        <sz val="12"/>
        <color theme="1"/>
        <rFont val="Times New Roman"/>
        <family val="1"/>
      </rPr>
      <t>520,975,856</t>
    </r>
    <r>
      <rPr>
        <sz val="12"/>
        <color theme="1"/>
        <rFont val="標楷體"/>
        <family val="4"/>
        <charset val="136"/>
      </rPr>
      <t>千元，係參考以前年度統計資料預估各項給付事故、發生率及單價等因素，詳第</t>
    </r>
    <r>
      <rPr>
        <sz val="12"/>
        <color theme="1"/>
        <rFont val="Times New Roman"/>
        <family val="1"/>
      </rPr>
      <t>77~79</t>
    </r>
    <r>
      <rPr>
        <sz val="12"/>
        <color theme="1"/>
        <rFont val="標楷體"/>
        <family val="4"/>
        <charset val="136"/>
      </rPr>
      <t>頁保險給付分析表，其中：</t>
    </r>
    <phoneticPr fontId="5" type="noConversion"/>
  </si>
  <si>
    <r>
      <rPr>
        <sz val="12"/>
        <rFont val="標楷體"/>
        <family val="4"/>
        <charset val="136"/>
      </rPr>
      <t>係基金出租投資性不動產平均營運量</t>
    </r>
    <r>
      <rPr>
        <sz val="12"/>
        <rFont val="Times New Roman"/>
        <family val="1"/>
      </rPr>
      <t>1,631,412</t>
    </r>
    <r>
      <rPr>
        <sz val="12"/>
        <rFont val="標楷體"/>
        <family val="4"/>
        <charset val="136"/>
      </rPr>
      <t>千元所獲得之收入等，詳第</t>
    </r>
    <r>
      <rPr>
        <sz val="12"/>
        <rFont val="Times New Roman"/>
        <family val="1"/>
      </rPr>
      <t>65</t>
    </r>
    <r>
      <rPr>
        <sz val="12"/>
        <rFont val="標楷體"/>
        <family val="4"/>
        <charset val="136"/>
      </rPr>
      <t>頁投資性不動產收入分析表。</t>
    </r>
    <phoneticPr fontId="5" type="noConversion"/>
  </si>
  <si>
    <r>
      <rPr>
        <sz val="12"/>
        <color theme="1"/>
        <rFont val="標楷體"/>
        <family val="4"/>
        <charset val="136"/>
      </rPr>
      <t>詳第</t>
    </r>
    <r>
      <rPr>
        <sz val="12"/>
        <color theme="1"/>
        <rFont val="Times New Roman"/>
        <family val="1"/>
      </rPr>
      <t>66~67</t>
    </r>
    <r>
      <rPr>
        <sz val="12"/>
        <color theme="1"/>
        <rFont val="標楷體"/>
        <family val="4"/>
        <charset val="136"/>
      </rPr>
      <t>、</t>
    </r>
    <r>
      <rPr>
        <sz val="12"/>
        <color theme="1"/>
        <rFont val="Times New Roman"/>
        <family val="1"/>
      </rPr>
      <t>70~72</t>
    </r>
    <r>
      <rPr>
        <sz val="12"/>
        <color theme="1"/>
        <rFont val="標楷體"/>
        <family val="4"/>
        <charset val="136"/>
      </rPr>
      <t>頁保費收入分析表及附表。</t>
    </r>
    <phoneticPr fontId="5" type="noConversion"/>
  </si>
  <si>
    <r>
      <rPr>
        <sz val="12"/>
        <color theme="1"/>
        <rFont val="標楷體"/>
        <family val="4"/>
        <charset val="136"/>
      </rPr>
      <t>詳第</t>
    </r>
    <r>
      <rPr>
        <sz val="12"/>
        <color theme="1"/>
        <rFont val="Times New Roman"/>
        <family val="1"/>
      </rPr>
      <t>67</t>
    </r>
    <r>
      <rPr>
        <sz val="12"/>
        <color theme="1"/>
        <rFont val="標楷體"/>
        <family val="4"/>
        <charset val="136"/>
      </rPr>
      <t>、</t>
    </r>
    <r>
      <rPr>
        <sz val="12"/>
        <color theme="1"/>
        <rFont val="Times New Roman"/>
        <family val="1"/>
      </rPr>
      <t>72~74</t>
    </r>
    <r>
      <rPr>
        <sz val="12"/>
        <color theme="1"/>
        <rFont val="標楷體"/>
        <family val="4"/>
        <charset val="136"/>
      </rPr>
      <t>頁保費收入分析表及附表。</t>
    </r>
    <phoneticPr fontId="5" type="noConversion"/>
  </si>
  <si>
    <r>
      <rPr>
        <sz val="12"/>
        <color theme="1"/>
        <rFont val="標楷體"/>
        <family val="4"/>
        <charset val="136"/>
      </rPr>
      <t>詳第</t>
    </r>
    <r>
      <rPr>
        <sz val="12"/>
        <color theme="1"/>
        <rFont val="Times New Roman"/>
        <family val="1"/>
      </rPr>
      <t>67~68</t>
    </r>
    <r>
      <rPr>
        <sz val="12"/>
        <color theme="1"/>
        <rFont val="標楷體"/>
        <family val="4"/>
        <charset val="136"/>
      </rPr>
      <t>、</t>
    </r>
    <r>
      <rPr>
        <sz val="12"/>
        <color theme="1"/>
        <rFont val="Times New Roman"/>
        <family val="1"/>
      </rPr>
      <t>74</t>
    </r>
    <r>
      <rPr>
        <sz val="12"/>
        <color theme="1"/>
        <rFont val="標楷體"/>
        <family val="4"/>
        <charset val="136"/>
      </rPr>
      <t>頁保費收入分析表及附表。</t>
    </r>
    <phoneticPr fontId="5" type="noConversion"/>
  </si>
  <si>
    <r>
      <rPr>
        <sz val="12"/>
        <color theme="1"/>
        <rFont val="標楷體"/>
        <family val="4"/>
        <charset val="136"/>
      </rPr>
      <t>詳第</t>
    </r>
    <r>
      <rPr>
        <sz val="12"/>
        <color theme="1"/>
        <rFont val="Times New Roman"/>
        <family val="1"/>
      </rPr>
      <t>68~69</t>
    </r>
    <r>
      <rPr>
        <sz val="12"/>
        <color theme="1"/>
        <rFont val="標楷體"/>
        <family val="4"/>
        <charset val="136"/>
      </rPr>
      <t>、</t>
    </r>
    <r>
      <rPr>
        <sz val="12"/>
        <color theme="1"/>
        <rFont val="Times New Roman"/>
        <family val="1"/>
      </rPr>
      <t>74~76</t>
    </r>
    <r>
      <rPr>
        <sz val="12"/>
        <color theme="1"/>
        <rFont val="標楷體"/>
        <family val="4"/>
        <charset val="136"/>
      </rPr>
      <t>頁保費收入分析表及附表。</t>
    </r>
    <phoneticPr fontId="5" type="noConversion"/>
  </si>
  <si>
    <r>
      <rPr>
        <sz val="12"/>
        <rFont val="標楷體"/>
        <family val="4"/>
        <charset val="136"/>
      </rPr>
      <t>編列</t>
    </r>
    <r>
      <rPr>
        <sz val="12"/>
        <rFont val="Times New Roman"/>
        <family val="1"/>
      </rPr>
      <t>15,886</t>
    </r>
    <r>
      <rPr>
        <sz val="12"/>
        <rFont val="標楷體"/>
        <family val="4"/>
        <charset val="136"/>
      </rPr>
      <t>千元，由勞動部職業安全衛生署辦理，係政府對未加保勞工而遭遇職業災害者之各項補助，並參考以前年度執行情形核實編列，詳第</t>
    </r>
    <r>
      <rPr>
        <sz val="12"/>
        <rFont val="Times New Roman"/>
        <family val="1"/>
      </rPr>
      <t>88</t>
    </r>
    <r>
      <rPr>
        <sz val="12"/>
        <rFont val="標楷體"/>
        <family val="4"/>
        <charset val="136"/>
      </rPr>
      <t>頁雜項業務成本分析表─職業災害勞工保護。</t>
    </r>
    <phoneticPr fontId="5" type="noConversion"/>
  </si>
  <si>
    <r>
      <t>編列</t>
    </r>
    <r>
      <rPr>
        <sz val="12"/>
        <rFont val="Times New Roman"/>
        <family val="1"/>
      </rPr>
      <t>983,796</t>
    </r>
    <r>
      <rPr>
        <sz val="12"/>
        <rFont val="標楷體"/>
        <family val="4"/>
        <charset val="136"/>
      </rPr>
      <t>千元，由勞動部勞工保險局辦理</t>
    </r>
    <r>
      <rPr>
        <sz val="12"/>
        <rFont val="Times New Roman"/>
        <family val="1"/>
      </rPr>
      <t>260,896</t>
    </r>
    <r>
      <rPr>
        <sz val="12"/>
        <rFont val="標楷體"/>
        <family val="4"/>
        <charset val="136"/>
      </rPr>
      <t>千元及勞動部職業安全衛生署辦理</t>
    </r>
    <r>
      <rPr>
        <sz val="12"/>
        <rFont val="Times New Roman"/>
        <family val="1"/>
      </rPr>
      <t>722,900</t>
    </r>
    <r>
      <rPr>
        <sz val="12"/>
        <rFont val="標楷體"/>
        <family val="4"/>
        <charset val="136"/>
      </rPr>
      <t>千元，係依勞工職業災害保險及保護法第</t>
    </r>
    <r>
      <rPr>
        <sz val="12"/>
        <rFont val="Times New Roman"/>
        <family val="1"/>
      </rPr>
      <t>62</t>
    </r>
    <r>
      <rPr>
        <sz val="12"/>
        <rFont val="標楷體"/>
        <family val="4"/>
        <charset val="136"/>
      </rPr>
      <t>條規定辦理職業災害預防及重建等業務，詳第</t>
    </r>
    <r>
      <rPr>
        <sz val="12"/>
        <rFont val="Times New Roman"/>
        <family val="1"/>
      </rPr>
      <t>89~90</t>
    </r>
    <r>
      <rPr>
        <sz val="12"/>
        <rFont val="標楷體"/>
        <family val="4"/>
        <charset val="136"/>
      </rPr>
      <t>頁雜項業務成本分析表─勞職保及保護。</t>
    </r>
    <phoneticPr fontId="5" type="noConversion"/>
  </si>
  <si>
    <r>
      <rPr>
        <sz val="12"/>
        <color theme="1"/>
        <rFont val="標楷體"/>
        <family val="4"/>
        <charset val="136"/>
      </rPr>
      <t>編列</t>
    </r>
    <r>
      <rPr>
        <sz val="12"/>
        <color theme="1"/>
        <rFont val="Times New Roman"/>
        <family val="1"/>
      </rPr>
      <t>23,777,464</t>
    </r>
    <r>
      <rPr>
        <sz val="12"/>
        <color theme="1"/>
        <rFont val="標楷體"/>
        <family val="4"/>
        <charset val="136"/>
      </rPr>
      <t>千元，係參考以前年度相關給付、津貼執行情形，包含失業給付、提早就業獎助津貼、職業訓練生活津貼、育嬰留職停薪津貼及補助全民健保費，詳第</t>
    </r>
    <r>
      <rPr>
        <sz val="12"/>
        <color theme="1"/>
        <rFont val="Times New Roman"/>
        <family val="1"/>
      </rPr>
      <t>80</t>
    </r>
    <r>
      <rPr>
        <sz val="12"/>
        <color theme="1"/>
        <rFont val="標楷體"/>
        <family val="4"/>
        <charset val="136"/>
      </rPr>
      <t>頁保險給付分析表。</t>
    </r>
    <phoneticPr fontId="5" type="noConversion"/>
  </si>
  <si>
    <r>
      <rPr>
        <sz val="12"/>
        <color theme="1"/>
        <rFont val="標楷體"/>
        <family val="4"/>
        <charset val="136"/>
      </rPr>
      <t>編列</t>
    </r>
    <r>
      <rPr>
        <sz val="12"/>
        <color theme="1"/>
        <rFont val="Times New Roman"/>
        <family val="1"/>
      </rPr>
      <t>6,752,689</t>
    </r>
    <r>
      <rPr>
        <sz val="12"/>
        <color theme="1"/>
        <rFont val="標楷體"/>
        <family val="4"/>
        <charset val="136"/>
      </rPr>
      <t>千元，係參考以前年度統計資料預估各項給付發生率及單價等因素，詳第</t>
    </r>
    <r>
      <rPr>
        <sz val="12"/>
        <color theme="1"/>
        <rFont val="Times New Roman"/>
        <family val="1"/>
      </rPr>
      <t>80~81</t>
    </r>
    <r>
      <rPr>
        <sz val="12"/>
        <color theme="1"/>
        <rFont val="標楷體"/>
        <family val="4"/>
        <charset val="136"/>
      </rPr>
      <t>頁保險給付分析表，其中：</t>
    </r>
    <phoneticPr fontId="5" type="noConversion"/>
  </si>
  <si>
    <r>
      <rPr>
        <sz val="12"/>
        <color theme="1"/>
        <rFont val="標楷體"/>
        <family val="4"/>
        <charset val="136"/>
      </rPr>
      <t>編列</t>
    </r>
    <r>
      <rPr>
        <sz val="12"/>
        <color theme="1"/>
        <rFont val="Times New Roman"/>
        <family val="1"/>
      </rPr>
      <t>171,207</t>
    </r>
    <r>
      <rPr>
        <sz val="12"/>
        <color theme="1"/>
        <rFont val="標楷體"/>
        <family val="4"/>
        <charset val="136"/>
      </rPr>
      <t>千元，詳第</t>
    </r>
    <r>
      <rPr>
        <sz val="12"/>
        <color theme="1"/>
        <rFont val="Times New Roman"/>
        <family val="1"/>
      </rPr>
      <t>81~83</t>
    </r>
    <r>
      <rPr>
        <sz val="12"/>
        <color theme="1"/>
        <rFont val="標楷體"/>
        <family val="4"/>
        <charset val="136"/>
      </rPr>
      <t>頁保險給付分析表，其中：</t>
    </r>
    <phoneticPr fontId="5" type="noConversion"/>
  </si>
  <si>
    <t xml:space="preserve">    勞職保及保護</t>
    <phoneticPr fontId="5" type="noConversion"/>
  </si>
  <si>
    <r>
      <t xml:space="preserve">註：係勞動部職業安全衛生署非以用人費用科目辦理項目，包括：
</t>
    </r>
    <r>
      <rPr>
        <sz val="10"/>
        <rFont val="Times New Roman"/>
        <family val="1"/>
      </rPr>
      <t xml:space="preserve">        </t>
    </r>
    <r>
      <rPr>
        <sz val="10"/>
        <rFont val="標楷體"/>
        <family val="4"/>
        <charset val="136"/>
      </rPr>
      <t>1.勞務承攬人力主要係辦理協助發放職災勞工死亡慰問金等相關行政業務，預計</t>
    </r>
    <r>
      <rPr>
        <sz val="10"/>
        <rFont val="Times New Roman"/>
        <family val="1"/>
      </rPr>
      <t>2</t>
    </r>
    <r>
      <rPr>
        <sz val="10"/>
        <rFont val="標楷體"/>
        <family val="4"/>
        <charset val="136"/>
      </rPr>
      <t xml:space="preserve">人。
</t>
    </r>
    <r>
      <rPr>
        <sz val="10"/>
        <rFont val="Times New Roman"/>
        <family val="1"/>
      </rPr>
      <t xml:space="preserve">        </t>
    </r>
    <r>
      <rPr>
        <sz val="10"/>
        <rFont val="標楷體"/>
        <family val="4"/>
        <charset val="136"/>
      </rPr>
      <t>2.契僱人力主要係辦理各地方政府職災勞工服務紀錄填報確認、電話服務、郵件收受、公文繕校、案件審核、資料
      建檔繕校等業務，預計</t>
    </r>
    <r>
      <rPr>
        <sz val="10"/>
        <rFont val="Times New Roman"/>
        <family val="1"/>
      </rPr>
      <t>9</t>
    </r>
    <r>
      <rPr>
        <sz val="10"/>
        <rFont val="標楷體"/>
        <family val="4"/>
        <charset val="136"/>
      </rPr>
      <t>人。</t>
    </r>
    <phoneticPr fontId="5" type="noConversion"/>
  </si>
  <si>
    <r>
      <t>編列</t>
    </r>
    <r>
      <rPr>
        <sz val="12"/>
        <rFont val="Times New Roman"/>
        <family val="1"/>
      </rPr>
      <t>500</t>
    </r>
    <r>
      <rPr>
        <sz val="12"/>
        <rFont val="標楷體"/>
        <family val="4"/>
        <charset val="136"/>
      </rPr>
      <t>千元，係租賃機械及設備等租金。</t>
    </r>
    <phoneticPr fontId="5"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</si>
  <si>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5" type="noConversion"/>
  </si>
  <si>
    <t>　　    印刷裝訂及公告費</t>
    <phoneticPr fontId="5" type="noConversion"/>
  </si>
  <si>
    <t xml:space="preserve">        印刷裝訂及公告費</t>
    <phoneticPr fontId="5" type="noConversion"/>
  </si>
  <si>
    <r>
      <t>編列</t>
    </r>
    <r>
      <rPr>
        <sz val="12"/>
        <rFont val="Times New Roman"/>
        <family val="1"/>
      </rPr>
      <t>149,859</t>
    </r>
    <r>
      <rPr>
        <sz val="12"/>
        <rFont val="標楷體"/>
        <family val="4"/>
        <charset val="136"/>
      </rPr>
      <t>千元，係委託廠商之服務費</t>
    </r>
    <r>
      <rPr>
        <sz val="12"/>
        <color theme="1"/>
        <rFont val="標楷體"/>
        <family val="4"/>
        <charset val="136"/>
      </rPr>
      <t>等</t>
    </r>
    <r>
      <rPr>
        <sz val="12"/>
        <rFont val="標楷體"/>
        <family val="4"/>
        <charset val="136"/>
      </rPr>
      <t>；其中勞務承攬人力預計進用</t>
    </r>
    <r>
      <rPr>
        <sz val="12"/>
        <rFont val="Times New Roman"/>
        <family val="1"/>
      </rPr>
      <t>2</t>
    </r>
    <r>
      <rPr>
        <sz val="12"/>
        <rFont val="標楷體"/>
        <family val="4"/>
        <charset val="136"/>
      </rPr>
      <t>人，編列</t>
    </r>
    <r>
      <rPr>
        <sz val="12"/>
        <rFont val="Times New Roman"/>
        <family val="1"/>
      </rPr>
      <t>787</t>
    </r>
    <r>
      <rPr>
        <sz val="12"/>
        <rFont val="標楷體"/>
        <family val="4"/>
        <charset val="136"/>
      </rPr>
      <t>千元；契僱人力預計進用</t>
    </r>
    <r>
      <rPr>
        <sz val="12"/>
        <rFont val="Times New Roman"/>
        <family val="1"/>
      </rPr>
      <t>9</t>
    </r>
    <r>
      <rPr>
        <sz val="12"/>
        <rFont val="標楷體"/>
        <family val="4"/>
        <charset val="136"/>
      </rPr>
      <t>人，編列</t>
    </r>
    <r>
      <rPr>
        <sz val="12"/>
        <rFont val="Times New Roman"/>
        <family val="1"/>
      </rPr>
      <t>3,230</t>
    </r>
    <r>
      <rPr>
        <sz val="12"/>
        <rFont val="標楷體"/>
        <family val="4"/>
        <charset val="136"/>
      </rPr>
      <t xml:space="preserve">千元。
</t>
    </r>
    <phoneticPr fontId="5" type="noConversion"/>
  </si>
  <si>
    <r>
      <t>截至本年度累計貸出餘額未包含長期貸款轉列催收款項計</t>
    </r>
    <r>
      <rPr>
        <sz val="12"/>
        <rFont val="Times New Roman"/>
        <family val="1"/>
      </rPr>
      <t>19,995,634</t>
    </r>
    <r>
      <rPr>
        <sz val="12"/>
        <rFont val="標楷體"/>
        <family val="4"/>
        <charset val="136"/>
      </rPr>
      <t>千元，又</t>
    </r>
    <r>
      <rPr>
        <sz val="12"/>
        <rFont val="標楷體"/>
        <family val="1"/>
        <charset val="136"/>
      </rPr>
      <t>本</t>
    </r>
    <r>
      <rPr>
        <sz val="12"/>
        <rFont val="標楷體"/>
        <family val="4"/>
        <charset val="136"/>
      </rPr>
      <t>年度被保險人貸款轉催收款項減少數</t>
    </r>
    <r>
      <rPr>
        <sz val="12"/>
        <rFont val="Times New Roman"/>
        <family val="1"/>
      </rPr>
      <t>830,685</t>
    </r>
    <r>
      <rPr>
        <sz val="12"/>
        <rFont val="標楷體"/>
        <family val="4"/>
        <charset val="136"/>
      </rPr>
      <t>千元。</t>
    </r>
    <phoneticPr fontId="5" type="noConversion"/>
  </si>
  <si>
    <t>本年度無預算員額。</t>
    <phoneticPr fontId="5" type="noConversion"/>
  </si>
  <si>
    <t>本科目全數由勞動部職業安全衛生署辦理。</t>
    <phoneticPr fontId="5" type="noConversion"/>
  </si>
  <si>
    <t>保險收入明細表</t>
    <phoneticPr fontId="5" type="noConversion"/>
  </si>
  <si>
    <t>現金流量預計表</t>
    <phoneticPr fontId="5" type="noConversion"/>
  </si>
  <si>
    <t>　　以國有財產撥充</t>
    <phoneticPr fontId="5"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</si>
  <si>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5" type="noConversion"/>
  </si>
  <si>
    <r>
      <rPr>
        <sz val="12"/>
        <rFont val="標楷體"/>
        <family val="4"/>
        <charset val="136"/>
      </rPr>
      <t>職業災害勞工醫療期間退保自願繼續加保者，其保險費由被保險人負擔</t>
    </r>
    <r>
      <rPr>
        <sz val="12"/>
        <rFont val="Times New Roman"/>
        <family val="1"/>
      </rPr>
      <t>39%</t>
    </r>
    <r>
      <rPr>
        <sz val="12"/>
        <rFont val="標楷體"/>
        <family val="4"/>
        <charset val="136"/>
      </rPr>
      <t>，職業災害勞工保護法規定之專款及勞工職業災害保險基金補助</t>
    </r>
    <r>
      <rPr>
        <sz val="12"/>
        <rFont val="Times New Roman"/>
        <family val="1"/>
      </rPr>
      <t>61%</t>
    </r>
    <r>
      <rPr>
        <sz val="12"/>
        <rFont val="標楷體"/>
        <family val="4"/>
        <charset val="136"/>
      </rPr>
      <t>。</t>
    </r>
    <phoneticPr fontId="22" type="noConversion"/>
  </si>
  <si>
    <r>
      <rPr>
        <sz val="12"/>
        <rFont val="標楷體"/>
        <family val="4"/>
        <charset val="136"/>
      </rPr>
      <t>係增加流動金融資產</t>
    </r>
    <r>
      <rPr>
        <sz val="12"/>
        <rFont val="Times New Roman"/>
        <family val="1"/>
      </rPr>
      <t>21,203,760</t>
    </r>
    <r>
      <rPr>
        <sz val="12"/>
        <rFont val="標楷體"/>
        <family val="4"/>
        <charset val="136"/>
      </rPr>
      <t>千元。</t>
    </r>
    <phoneticPr fontId="5" type="noConversion"/>
  </si>
  <si>
    <r>
      <rPr>
        <sz val="12"/>
        <rFont val="標楷體"/>
        <family val="4"/>
        <charset val="136"/>
      </rPr>
      <t>係增加投資</t>
    </r>
    <r>
      <rPr>
        <sz val="12"/>
        <rFont val="Times New Roman"/>
        <family val="1"/>
      </rPr>
      <t>-</t>
    </r>
    <r>
      <rPr>
        <sz val="12"/>
        <rFont val="標楷體"/>
        <family val="4"/>
        <charset val="136"/>
      </rPr>
      <t>非流動金融資產</t>
    </r>
    <r>
      <rPr>
        <sz val="12"/>
        <rFont val="Times New Roman"/>
        <family val="1"/>
      </rPr>
      <t>9,275,455</t>
    </r>
    <r>
      <rPr>
        <sz val="12"/>
        <rFont val="標楷體"/>
        <family val="4"/>
        <charset val="136"/>
      </rPr>
      <t>千元。</t>
    </r>
    <phoneticPr fontId="5" type="noConversion"/>
  </si>
  <si>
    <t>依照「失業被保險人及其眷屬全民健康保險保險費補助辦法」，被保險人及其非自願離職退保當時，隨同被保險人參加全民健康保險之眷屬，於被保險人依就業保險法請領失業給付或職業訓練生活津貼期間，按月補助其參加全民健康保險自付部分之保險費。</t>
    <phoneticPr fontId="22" type="noConversion"/>
  </si>
  <si>
    <r>
      <rPr>
        <sz val="12"/>
        <rFont val="標楷體"/>
        <family val="4"/>
        <charset val="136"/>
      </rPr>
      <t>發生率</t>
    </r>
    <r>
      <rPr>
        <sz val="12"/>
        <rFont val="Times New Roman"/>
        <family val="1"/>
      </rPr>
      <t>11.9‰</t>
    </r>
    <r>
      <rPr>
        <sz val="12"/>
        <rFont val="標楷體"/>
        <family val="4"/>
        <charset val="136"/>
      </rPr>
      <t>。</t>
    </r>
    <phoneticPr fontId="22" type="noConversion"/>
  </si>
  <si>
    <r>
      <rPr>
        <sz val="12"/>
        <rFont val="標楷體"/>
        <family val="4"/>
        <charset val="136"/>
      </rPr>
      <t>發生率</t>
    </r>
    <r>
      <rPr>
        <sz val="12"/>
        <rFont val="Times New Roman"/>
        <family val="1"/>
      </rPr>
      <t>12.9‰</t>
    </r>
    <r>
      <rPr>
        <sz val="12"/>
        <rFont val="標楷體"/>
        <family val="4"/>
        <charset val="136"/>
      </rPr>
      <t>。</t>
    </r>
    <phoneticPr fontId="22" type="noConversion"/>
  </si>
  <si>
    <r>
      <rPr>
        <sz val="12"/>
        <rFont val="標楷體"/>
        <family val="4"/>
        <charset val="136"/>
      </rPr>
      <t>發生率</t>
    </r>
    <r>
      <rPr>
        <sz val="12"/>
        <rFont val="Times New Roman"/>
        <family val="1"/>
      </rPr>
      <t>1.43‰</t>
    </r>
    <r>
      <rPr>
        <sz val="12"/>
        <rFont val="標楷體"/>
        <family val="4"/>
        <charset val="136"/>
      </rPr>
      <t>。</t>
    </r>
    <phoneticPr fontId="22" type="noConversion"/>
  </si>
  <si>
    <r>
      <t>預估</t>
    </r>
    <r>
      <rPr>
        <sz val="12"/>
        <rFont val="Times New Roman"/>
        <family val="1"/>
      </rPr>
      <t>256</t>
    </r>
    <r>
      <rPr>
        <sz val="12"/>
        <rFont val="標楷體"/>
        <family val="4"/>
        <charset val="136"/>
      </rPr>
      <t>件。</t>
    </r>
    <phoneticPr fontId="22" type="noConversion"/>
  </si>
  <si>
    <r>
      <rPr>
        <sz val="12"/>
        <rFont val="標楷體"/>
        <family val="4"/>
        <charset val="136"/>
      </rPr>
      <t>發生率</t>
    </r>
    <r>
      <rPr>
        <sz val="12"/>
        <rFont val="Times New Roman"/>
        <family val="1"/>
      </rPr>
      <t>8.2‰</t>
    </r>
    <r>
      <rPr>
        <sz val="12"/>
        <rFont val="標楷體"/>
        <family val="4"/>
        <charset val="136"/>
      </rPr>
      <t>。</t>
    </r>
    <phoneticPr fontId="22" type="noConversion"/>
  </si>
  <si>
    <r>
      <rPr>
        <sz val="12"/>
        <rFont val="標楷體"/>
        <family val="4"/>
        <charset val="136"/>
      </rPr>
      <t>發生率</t>
    </r>
    <r>
      <rPr>
        <sz val="12"/>
        <rFont val="Times New Roman"/>
        <family val="1"/>
      </rPr>
      <t>1.94‰</t>
    </r>
    <r>
      <rPr>
        <sz val="12"/>
        <rFont val="標楷體"/>
        <family val="4"/>
        <charset val="136"/>
      </rPr>
      <t>。</t>
    </r>
    <phoneticPr fontId="22" type="noConversion"/>
  </si>
  <si>
    <r>
      <rPr>
        <sz val="12"/>
        <rFont val="標楷體"/>
        <family val="4"/>
        <charset val="136"/>
      </rPr>
      <t>發生率</t>
    </r>
    <r>
      <rPr>
        <sz val="12"/>
        <rFont val="Times New Roman"/>
        <family val="1"/>
      </rPr>
      <t>12.62‰</t>
    </r>
    <r>
      <rPr>
        <sz val="12"/>
        <rFont val="標楷體"/>
        <family val="4"/>
        <charset val="136"/>
      </rPr>
      <t>。</t>
    </r>
    <phoneticPr fontId="22" type="noConversion"/>
  </si>
  <si>
    <r>
      <rPr>
        <sz val="12"/>
        <rFont val="標楷體"/>
        <family val="4"/>
        <charset val="136"/>
      </rPr>
      <t>發生率</t>
    </r>
    <r>
      <rPr>
        <sz val="12"/>
        <rFont val="Times New Roman"/>
        <family val="1"/>
      </rPr>
      <t>1.24‰</t>
    </r>
    <r>
      <rPr>
        <sz val="12"/>
        <rFont val="標楷體"/>
        <family val="4"/>
        <charset val="136"/>
      </rPr>
      <t>。</t>
    </r>
    <phoneticPr fontId="22" type="noConversion"/>
  </si>
  <si>
    <r>
      <rPr>
        <sz val="12"/>
        <rFont val="標楷體"/>
        <family val="4"/>
        <charset val="136"/>
      </rPr>
      <t>發生率</t>
    </r>
    <r>
      <rPr>
        <sz val="12"/>
        <rFont val="Times New Roman"/>
        <family val="1"/>
      </rPr>
      <t>1.12‰</t>
    </r>
    <r>
      <rPr>
        <sz val="12"/>
        <rFont val="標楷體"/>
        <family val="4"/>
        <charset val="136"/>
      </rPr>
      <t>。</t>
    </r>
    <phoneticPr fontId="22" type="noConversion"/>
  </si>
  <si>
    <r>
      <rPr>
        <sz val="12"/>
        <rFont val="標楷體"/>
        <family val="4"/>
        <charset val="136"/>
      </rPr>
      <t>發生率</t>
    </r>
    <r>
      <rPr>
        <sz val="12"/>
        <rFont val="Times New Roman"/>
        <family val="1"/>
      </rPr>
      <t>11.09‰</t>
    </r>
    <r>
      <rPr>
        <sz val="12"/>
        <rFont val="標楷體"/>
        <family val="4"/>
        <charset val="136"/>
      </rPr>
      <t>。</t>
    </r>
    <phoneticPr fontId="22" type="noConversion"/>
  </si>
  <si>
    <r>
      <rPr>
        <sz val="12"/>
        <rFont val="標楷體"/>
        <family val="4"/>
        <charset val="136"/>
      </rPr>
      <t>預估</t>
    </r>
    <r>
      <rPr>
        <sz val="12"/>
        <rFont val="Times New Roman"/>
        <family val="1"/>
      </rPr>
      <t>610</t>
    </r>
    <r>
      <rPr>
        <sz val="12"/>
        <rFont val="標楷體"/>
        <family val="4"/>
        <charset val="136"/>
      </rPr>
      <t>件。</t>
    </r>
    <phoneticPr fontId="22" type="noConversion"/>
  </si>
  <si>
    <r>
      <rPr>
        <sz val="12"/>
        <rFont val="標楷體"/>
        <family val="4"/>
        <charset val="136"/>
      </rPr>
      <t>預估</t>
    </r>
    <r>
      <rPr>
        <sz val="12"/>
        <rFont val="Times New Roman"/>
        <family val="1"/>
      </rPr>
      <t>1,520</t>
    </r>
    <r>
      <rPr>
        <sz val="12"/>
        <rFont val="標楷體"/>
        <family val="4"/>
        <charset val="136"/>
      </rPr>
      <t>件。</t>
    </r>
    <phoneticPr fontId="22" type="noConversion"/>
  </si>
  <si>
    <r>
      <rPr>
        <sz val="12"/>
        <rFont val="標楷體"/>
        <family val="4"/>
        <charset val="136"/>
      </rPr>
      <t>預估</t>
    </r>
    <r>
      <rPr>
        <sz val="12"/>
        <rFont val="Times New Roman"/>
        <family val="1"/>
      </rPr>
      <t>11,130</t>
    </r>
    <r>
      <rPr>
        <sz val="12"/>
        <rFont val="標楷體"/>
        <family val="4"/>
        <charset val="136"/>
      </rPr>
      <t>件。</t>
    </r>
    <phoneticPr fontId="22" type="noConversion"/>
  </si>
  <si>
    <r>
      <rPr>
        <sz val="12"/>
        <rFont val="標楷體"/>
        <family val="4"/>
        <charset val="136"/>
      </rPr>
      <t>預估</t>
    </r>
    <r>
      <rPr>
        <sz val="12"/>
        <rFont val="Times New Roman"/>
        <family val="1"/>
      </rPr>
      <t>27,430</t>
    </r>
    <r>
      <rPr>
        <sz val="12"/>
        <rFont val="標楷體"/>
        <family val="4"/>
        <charset val="136"/>
      </rPr>
      <t>件。</t>
    </r>
    <phoneticPr fontId="22" type="noConversion"/>
  </si>
  <si>
    <r>
      <t>預估</t>
    </r>
    <r>
      <rPr>
        <sz val="12"/>
        <rFont val="Times New Roman"/>
        <family val="1"/>
      </rPr>
      <t>225</t>
    </r>
    <r>
      <rPr>
        <sz val="12"/>
        <rFont val="標楷體"/>
        <family val="4"/>
        <charset val="136"/>
      </rPr>
      <t>件。</t>
    </r>
    <phoneticPr fontId="22" type="noConversion"/>
  </si>
  <si>
    <r>
      <rPr>
        <sz val="12"/>
        <rFont val="標楷體"/>
        <family val="4"/>
        <charset val="136"/>
      </rPr>
      <t>預估</t>
    </r>
    <r>
      <rPr>
        <sz val="12"/>
        <rFont val="Times New Roman"/>
        <family val="1"/>
      </rPr>
      <t>5,280</t>
    </r>
    <r>
      <rPr>
        <sz val="12"/>
        <rFont val="標楷體"/>
        <family val="4"/>
        <charset val="136"/>
      </rPr>
      <t>件。</t>
    </r>
    <phoneticPr fontId="22" type="noConversion"/>
  </si>
  <si>
    <r>
      <t>預估</t>
    </r>
    <r>
      <rPr>
        <sz val="12"/>
        <rFont val="Times New Roman"/>
        <family val="1"/>
      </rPr>
      <t>89</t>
    </r>
    <r>
      <rPr>
        <sz val="12"/>
        <rFont val="標楷體"/>
        <family val="4"/>
        <charset val="136"/>
      </rPr>
      <t>件。</t>
    </r>
    <phoneticPr fontId="22" type="noConversion"/>
  </si>
  <si>
    <r>
      <t>預估</t>
    </r>
    <r>
      <rPr>
        <sz val="12"/>
        <rFont val="Times New Roman"/>
        <family val="1"/>
      </rPr>
      <t>96</t>
    </r>
    <r>
      <rPr>
        <sz val="12"/>
        <rFont val="標楷體"/>
        <family val="4"/>
        <charset val="136"/>
      </rPr>
      <t>件。</t>
    </r>
    <phoneticPr fontId="22" type="noConversion"/>
  </si>
  <si>
    <r>
      <t>預估</t>
    </r>
    <r>
      <rPr>
        <sz val="12"/>
        <rFont val="Times New Roman"/>
        <family val="1"/>
      </rPr>
      <t>3</t>
    </r>
    <r>
      <rPr>
        <sz val="12"/>
        <rFont val="標楷體"/>
        <family val="4"/>
        <charset val="136"/>
      </rPr>
      <t>件。</t>
    </r>
    <phoneticPr fontId="22" type="noConversion"/>
  </si>
  <si>
    <r>
      <rPr>
        <sz val="12"/>
        <rFont val="標楷體"/>
        <family val="4"/>
        <charset val="136"/>
      </rPr>
      <t>係依投保人數</t>
    </r>
    <r>
      <rPr>
        <sz val="12"/>
        <rFont val="Times New Roman"/>
        <family val="1"/>
      </rPr>
      <t>1,086</t>
    </r>
    <r>
      <rPr>
        <sz val="12"/>
        <rFont val="標楷體"/>
        <family val="4"/>
        <charset val="136"/>
      </rPr>
      <t>萬人、平均月投保薪資</t>
    </r>
    <r>
      <rPr>
        <sz val="12"/>
        <rFont val="Times New Roman"/>
        <family val="1"/>
      </rPr>
      <t>38,700</t>
    </r>
    <r>
      <rPr>
        <sz val="12"/>
        <rFont val="標楷體"/>
        <family val="4"/>
        <charset val="136"/>
      </rPr>
      <t>元及平均費率</t>
    </r>
    <r>
      <rPr>
        <sz val="12"/>
        <rFont val="Times New Roman"/>
        <family val="1"/>
      </rPr>
      <t>0.20%</t>
    </r>
    <r>
      <rPr>
        <sz val="12"/>
        <rFont val="標楷體"/>
        <family val="4"/>
        <charset val="136"/>
      </rPr>
      <t>估算。</t>
    </r>
    <phoneticPr fontId="5" type="noConversion"/>
  </si>
  <si>
    <r>
      <t>發生率</t>
    </r>
    <r>
      <rPr>
        <sz val="12"/>
        <rFont val="Times New Roman"/>
        <family val="1"/>
      </rPr>
      <t>5.41</t>
    </r>
    <r>
      <rPr>
        <sz val="12"/>
        <rFont val="標楷體"/>
        <family val="1"/>
        <charset val="136"/>
      </rPr>
      <t>‰</t>
    </r>
    <r>
      <rPr>
        <sz val="12"/>
        <rFont val="標楷體"/>
        <family val="4"/>
        <charset val="136"/>
      </rPr>
      <t>。</t>
    </r>
    <phoneticPr fontId="22" type="noConversion"/>
  </si>
  <si>
    <r>
      <t>發生率</t>
    </r>
    <r>
      <rPr>
        <sz val="12"/>
        <rFont val="Times New Roman"/>
        <family val="1"/>
      </rPr>
      <t>14.23</t>
    </r>
    <r>
      <rPr>
        <sz val="12"/>
        <rFont val="標楷體"/>
        <family val="1"/>
        <charset val="136"/>
      </rPr>
      <t>‰</t>
    </r>
    <r>
      <rPr>
        <sz val="12"/>
        <rFont val="標楷體"/>
        <family val="4"/>
        <charset val="136"/>
      </rPr>
      <t>。</t>
    </r>
    <phoneticPr fontId="22"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</si>
  <si>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5" type="noConversion"/>
  </si>
  <si>
    <t>註：1.百分比及前年度決算數細數之和與總數或略有出入，係四捨五入關係。以下各表同。
    2.111年5月1日配合「勞工職業災害保險及保護法」施行，將原列於「勞工保險業務」項下職業災害保險、「職業災害勞工保護業務」整併為「
      勞職保及保護」編列。以下各表同。</t>
    <phoneticPr fontId="5" type="noConversion"/>
  </si>
  <si>
    <t>係辦理職業安全衛生知能及教育訓練宣導，相關媒體宣導製作、託播及刊登等經費。</t>
    <phoneticPr fontId="5" type="noConversion"/>
  </si>
  <si>
    <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5" type="noConversion"/>
  </si>
  <si>
    <t>五、本年度收支相抵後，賸餘無列數。</t>
    <phoneticPr fontId="5" type="noConversion"/>
  </si>
  <si>
    <r>
      <t>保險費由被保險人負擔</t>
    </r>
    <r>
      <rPr>
        <sz val="12"/>
        <rFont val="Times New Roman"/>
        <family val="1"/>
      </rPr>
      <t>60%</t>
    </r>
    <r>
      <rPr>
        <sz val="12"/>
        <rFont val="標楷體"/>
        <family val="4"/>
        <charset val="136"/>
      </rPr>
      <t>，政府補助</t>
    </r>
    <r>
      <rPr>
        <sz val="12"/>
        <rFont val="Times New Roman"/>
        <family val="1"/>
      </rPr>
      <t>40%</t>
    </r>
    <r>
      <rPr>
        <sz val="12"/>
        <rFont val="標楷體"/>
        <family val="4"/>
        <charset val="136"/>
      </rPr>
      <t>。</t>
    </r>
    <phoneticPr fontId="22" type="noConversion"/>
  </si>
  <si>
    <t>保險成本說明</t>
    <phoneticPr fontId="5" type="noConversion"/>
  </si>
  <si>
    <t>業務外費用明細表</t>
    <phoneticPr fontId="5" type="noConversion"/>
  </si>
  <si>
    <r>
      <t xml:space="preserve">                                                                 </t>
    </r>
    <r>
      <rPr>
        <sz val="12"/>
        <rFont val="標楷體"/>
        <family val="4"/>
        <charset val="136"/>
      </rPr>
      <t>中華民國</t>
    </r>
    <r>
      <rPr>
        <sz val="12"/>
        <rFont val="Times New Roman"/>
        <family val="1"/>
      </rPr>
      <t xml:space="preserve"> 111</t>
    </r>
    <r>
      <rPr>
        <sz val="12"/>
        <rFont val="標楷體"/>
        <family val="4"/>
        <charset val="136"/>
      </rPr>
      <t>年度</t>
    </r>
    <r>
      <rPr>
        <sz val="12"/>
        <rFont val="Times New Roman"/>
        <family val="1"/>
      </rPr>
      <t xml:space="preserve">                                 </t>
    </r>
    <r>
      <rPr>
        <sz val="12"/>
        <rFont val="標楷體"/>
        <family val="4"/>
        <charset val="136"/>
      </rPr>
      <t>單位：新臺幣千元</t>
    </r>
    <phoneticPr fontId="72"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</si>
  <si>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5"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</si>
  <si>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保險局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5" type="noConversion"/>
  </si>
  <si>
    <r>
      <rPr>
        <sz val="18"/>
        <rFont val="標楷體"/>
        <family val="4"/>
        <charset val="136"/>
      </rPr>
      <t>各</t>
    </r>
    <r>
      <rPr>
        <sz val="18"/>
        <rFont val="Times New Roman"/>
        <family val="1"/>
      </rPr>
      <t xml:space="preserve"> </t>
    </r>
    <r>
      <rPr>
        <sz val="18"/>
        <rFont val="標楷體"/>
        <family val="4"/>
        <charset val="136"/>
      </rPr>
      <t>項</t>
    </r>
    <r>
      <rPr>
        <sz val="18"/>
        <rFont val="Times New Roman"/>
        <family val="1"/>
      </rPr>
      <t xml:space="preserve"> </t>
    </r>
    <r>
      <rPr>
        <sz val="18"/>
        <rFont val="標楷體"/>
        <family val="4"/>
        <charset val="136"/>
      </rPr>
      <t>費</t>
    </r>
    <r>
      <rPr>
        <sz val="18"/>
        <rFont val="Times New Roman"/>
        <family val="1"/>
      </rPr>
      <t xml:space="preserve"> </t>
    </r>
    <r>
      <rPr>
        <sz val="18"/>
        <rFont val="標楷體"/>
        <family val="4"/>
        <charset val="136"/>
      </rPr>
      <t>用</t>
    </r>
    <r>
      <rPr>
        <sz val="18"/>
        <rFont val="Times New Roman"/>
        <family val="1"/>
      </rPr>
      <t xml:space="preserve">    </t>
    </r>
    <r>
      <rPr>
        <sz val="18"/>
        <rFont val="標楷體"/>
        <family val="4"/>
        <charset val="136"/>
      </rPr>
      <t>彙</t>
    </r>
    <r>
      <rPr>
        <sz val="18"/>
        <rFont val="Times New Roman"/>
        <family val="1"/>
      </rPr>
      <t xml:space="preserve">  </t>
    </r>
    <r>
      <rPr>
        <sz val="18"/>
        <rFont val="標楷體"/>
        <family val="4"/>
        <charset val="136"/>
      </rPr>
      <t>計</t>
    </r>
    <r>
      <rPr>
        <sz val="18"/>
        <rFont val="Times New Roman"/>
        <family val="1"/>
      </rPr>
      <t xml:space="preserve">  </t>
    </r>
    <r>
      <rPr>
        <sz val="18"/>
        <rFont val="標楷體"/>
        <family val="4"/>
        <charset val="136"/>
      </rPr>
      <t>表</t>
    </r>
    <phoneticPr fontId="5" type="noConversion"/>
  </si>
  <si>
    <t>單位：新臺幣千元</t>
    <phoneticPr fontId="5"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</si>
  <si>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保險局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5" type="noConversion"/>
  </si>
  <si>
    <r>
      <rPr>
        <sz val="12"/>
        <rFont val="標楷體"/>
        <family val="4"/>
        <charset val="136"/>
      </rPr>
      <t>　　　　　　　　　　　　　</t>
    </r>
    <r>
      <rPr>
        <sz val="12"/>
        <rFont val="Times New Roman"/>
        <family val="4"/>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5" type="noConversion"/>
  </si>
  <si>
    <t>其他業務成本說明</t>
    <phoneticPr fontId="5"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</si>
  <si>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5" type="noConversion"/>
  </si>
  <si>
    <t>業務外費用說明</t>
    <phoneticPr fontId="5" type="noConversion"/>
  </si>
  <si>
    <t>出租資產成本說明</t>
    <phoneticPr fontId="5" type="noConversion"/>
  </si>
  <si>
    <t>投融資業務成本說明</t>
    <phoneticPr fontId="5" type="noConversion"/>
  </si>
  <si>
    <t>貸出款明細表</t>
    <phoneticPr fontId="5" type="noConversion"/>
  </si>
  <si>
    <t>收支餘絀預計表說明</t>
    <phoneticPr fontId="5" type="noConversion"/>
  </si>
  <si>
    <t>餘絀撥補預計表</t>
    <phoneticPr fontId="5" type="noConversion"/>
  </si>
  <si>
    <t>投融資業務收入明細表</t>
    <phoneticPr fontId="5" type="noConversion"/>
  </si>
  <si>
    <t>其他業務收入明細表</t>
    <phoneticPr fontId="5" type="noConversion"/>
  </si>
  <si>
    <t>業務外收入明細表</t>
    <phoneticPr fontId="5" type="noConversion"/>
  </si>
  <si>
    <t>投融資業務成本明細表</t>
    <phoneticPr fontId="5" type="noConversion"/>
  </si>
  <si>
    <t>其他業務成本明細表</t>
    <phoneticPr fontId="5" type="noConversion"/>
  </si>
  <si>
    <t>基金數額增減明細表</t>
    <phoneticPr fontId="5" type="noConversion"/>
  </si>
  <si>
    <t>預計平衡表</t>
    <phoneticPr fontId="5" type="noConversion"/>
  </si>
  <si>
    <t>員工人數彙計表</t>
    <phoneticPr fontId="5" type="noConversion"/>
  </si>
  <si>
    <t>用人費用彙計表</t>
    <phoneticPr fontId="5" type="noConversion"/>
  </si>
  <si>
    <t>媒體政策及業務宣導費彙計表</t>
    <phoneticPr fontId="5" type="noConversion"/>
  </si>
  <si>
    <t>投資性不動產收入分析表</t>
    <phoneticPr fontId="5" type="noConversion"/>
  </si>
  <si>
    <t>保費收入分析表</t>
    <phoneticPr fontId="5" type="noConversion"/>
  </si>
  <si>
    <r>
      <rPr>
        <sz val="18"/>
        <rFont val="標楷體"/>
        <family val="4"/>
        <charset val="136"/>
      </rPr>
      <t>保費收入分析表</t>
    </r>
    <r>
      <rPr>
        <sz val="18"/>
        <rFont val="Times New Roman"/>
        <family val="1"/>
      </rPr>
      <t>(</t>
    </r>
    <r>
      <rPr>
        <sz val="18"/>
        <rFont val="標楷體"/>
        <family val="4"/>
        <charset val="136"/>
      </rPr>
      <t>附表</t>
    </r>
    <r>
      <rPr>
        <sz val="18"/>
        <rFont val="Times New Roman"/>
        <family val="1"/>
      </rPr>
      <t>)</t>
    </r>
    <phoneticPr fontId="5" type="noConversion"/>
  </si>
  <si>
    <t>保險給付分析表</t>
    <phoneticPr fontId="5" type="noConversion"/>
  </si>
  <si>
    <t>雜項業務成本分析表─職業災害勞工保護</t>
    <phoneticPr fontId="5" type="noConversion"/>
  </si>
  <si>
    <t>雜項業務成本分析表─勞職保及保護</t>
    <phoneticPr fontId="5" type="noConversion"/>
  </si>
  <si>
    <t>收支餘絀預計表（勞工保險部分）</t>
    <phoneticPr fontId="5" type="noConversion"/>
  </si>
  <si>
    <t>現金流量預計表（勞工保險部分）</t>
    <phoneticPr fontId="5" type="noConversion"/>
  </si>
  <si>
    <t>預計平衡表（勞工保險部分）</t>
    <phoneticPr fontId="5" type="noConversion"/>
  </si>
  <si>
    <t>收支餘絀預計表（就業保險部分）</t>
    <phoneticPr fontId="5" type="noConversion"/>
  </si>
  <si>
    <t>現金流量預計表（就業保險部分）</t>
    <phoneticPr fontId="5" type="noConversion"/>
  </si>
  <si>
    <t>預計平衡表（就業保險部分）</t>
    <phoneticPr fontId="5" type="noConversion"/>
  </si>
  <si>
    <r>
      <rPr>
        <sz val="18"/>
        <rFont val="標楷體"/>
        <family val="4"/>
        <charset val="136"/>
      </rPr>
      <t>收支餘絀預計表（農保及農職保部分）</t>
    </r>
    <r>
      <rPr>
        <sz val="18"/>
        <rFont val="Times New Roman"/>
        <family val="1"/>
      </rPr>
      <t xml:space="preserve"> </t>
    </r>
    <phoneticPr fontId="5" type="noConversion"/>
  </si>
  <si>
    <t>現金流量預計表（農保及農職保部分）</t>
    <phoneticPr fontId="5" type="noConversion"/>
  </si>
  <si>
    <r>
      <rPr>
        <sz val="18"/>
        <rFont val="標楷體"/>
        <family val="4"/>
        <charset val="136"/>
      </rPr>
      <t>預計平衡表（農保及農職保部分）</t>
    </r>
    <r>
      <rPr>
        <sz val="18"/>
        <rFont val="Times New Roman"/>
        <family val="1"/>
      </rPr>
      <t xml:space="preserve"> </t>
    </r>
    <phoneticPr fontId="5" type="noConversion"/>
  </si>
  <si>
    <r>
      <rPr>
        <sz val="18"/>
        <rFont val="標楷體"/>
        <family val="4"/>
        <charset val="136"/>
      </rPr>
      <t>收支餘絀預計表（職業災害勞工保護部分）</t>
    </r>
    <r>
      <rPr>
        <sz val="18"/>
        <rFont val="Times New Roman"/>
        <family val="1"/>
      </rPr>
      <t xml:space="preserve"> </t>
    </r>
    <phoneticPr fontId="5" type="noConversion"/>
  </si>
  <si>
    <t xml:space="preserve">現金流量預計表（職業災害勞工保護部分） </t>
    <phoneticPr fontId="5" type="noConversion"/>
  </si>
  <si>
    <r>
      <rPr>
        <sz val="18"/>
        <rFont val="標楷體"/>
        <family val="4"/>
        <charset val="136"/>
      </rPr>
      <t>預計平衡表（職業災害勞工保護部分）</t>
    </r>
    <r>
      <rPr>
        <sz val="18"/>
        <rFont val="Times New Roman"/>
        <family val="1"/>
      </rPr>
      <t xml:space="preserve"> </t>
    </r>
    <phoneticPr fontId="5" type="noConversion"/>
  </si>
  <si>
    <r>
      <rPr>
        <sz val="18"/>
        <rFont val="標楷體"/>
        <family val="4"/>
        <charset val="136"/>
      </rPr>
      <t>收支餘絀預計表（勞職保及保護部分）</t>
    </r>
    <r>
      <rPr>
        <sz val="18"/>
        <rFont val="Times New Roman"/>
        <family val="1"/>
      </rPr>
      <t xml:space="preserve"> </t>
    </r>
    <phoneticPr fontId="5" type="noConversion"/>
  </si>
  <si>
    <t xml:space="preserve">現金流量預計表（勞職保及保護部分） </t>
    <phoneticPr fontId="5" type="noConversion"/>
  </si>
  <si>
    <r>
      <rPr>
        <sz val="18"/>
        <rFont val="標楷體"/>
        <family val="4"/>
        <charset val="136"/>
      </rPr>
      <t>預計平衡表（勞職保及保護部分）</t>
    </r>
    <r>
      <rPr>
        <sz val="18"/>
        <rFont val="Times New Roman"/>
        <family val="1"/>
      </rPr>
      <t xml:space="preserve"> </t>
    </r>
    <phoneticPr fontId="5"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</si>
  <si>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5"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</si>
  <si>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單位：新臺幣千元</t>
    </r>
    <phoneticPr fontId="5"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</si>
  <si>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5"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</si>
  <si>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5"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</si>
  <si>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5"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</si>
  <si>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4"/>
      </rPr>
      <t xml:space="preserve"> </t>
    </r>
    <r>
      <rPr>
        <sz val="12"/>
        <rFont val="標楷體"/>
        <family val="4"/>
        <charset val="136"/>
      </rPr>
      <t xml:space="preserve">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5"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</si>
  <si>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xml:space="preserve">　 </t>
    </r>
    <r>
      <rPr>
        <sz val="12"/>
        <rFont val="Times New Roman"/>
        <family val="1"/>
      </rPr>
      <t xml:space="preserve">  </t>
    </r>
    <r>
      <rPr>
        <sz val="12"/>
        <rFont val="標楷體"/>
        <family val="4"/>
        <charset val="136"/>
      </rPr>
      <t>　　　　單位：新臺幣千元</t>
    </r>
    <phoneticPr fontId="5"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</si>
  <si>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5"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</si>
  <si>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5" type="noConversion"/>
  </si>
  <si>
    <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年度</t>
    </r>
    <r>
      <rPr>
        <sz val="12"/>
        <rFont val="Times New Roman"/>
        <family val="1"/>
      </rPr>
      <t xml:space="preserve">                                    </t>
    </r>
    <r>
      <rPr>
        <sz val="12"/>
        <rFont val="標楷體"/>
        <family val="4"/>
        <charset val="136"/>
      </rPr>
      <t>單位：新臺幣千元</t>
    </r>
    <phoneticPr fontId="5" type="noConversion"/>
  </si>
  <si>
    <r>
      <t xml:space="preserve">　　　　　　　　　　　　　　 </t>
    </r>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5"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</si>
  <si>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年度　</t>
    </r>
    <r>
      <rPr>
        <sz val="12"/>
        <rFont val="Times New Roman"/>
        <family val="1"/>
      </rPr>
      <t xml:space="preserve">               </t>
    </r>
    <r>
      <rPr>
        <sz val="12"/>
        <rFont val="標楷體"/>
        <family val="4"/>
        <charset val="136"/>
      </rPr>
      <t>　　　　單位：新臺幣千元</t>
    </r>
    <phoneticPr fontId="5"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</si>
  <si>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5"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</si>
  <si>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5"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</si>
  <si>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5"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</si>
  <si>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5"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</si>
  <si>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5"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</si>
  <si>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xml:space="preserve">　 </t>
    </r>
    <r>
      <rPr>
        <sz val="12"/>
        <rFont val="Times New Roman"/>
        <family val="1"/>
      </rPr>
      <t xml:space="preserve">     </t>
    </r>
    <r>
      <rPr>
        <sz val="12"/>
        <rFont val="標楷體"/>
        <family val="4"/>
        <charset val="136"/>
      </rPr>
      <t>　　單位：新臺幣千元</t>
    </r>
    <phoneticPr fontId="5"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</si>
  <si>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t>
    </r>
    <r>
      <rPr>
        <sz val="12"/>
        <rFont val="Times New Roman"/>
        <family val="1"/>
      </rPr>
      <t xml:space="preserve">              </t>
    </r>
    <r>
      <rPr>
        <sz val="12"/>
        <rFont val="標楷體"/>
        <family val="4"/>
        <charset val="136"/>
      </rPr>
      <t>　　單位：新臺幣千元</t>
    </r>
    <phoneticPr fontId="5" type="noConversion"/>
  </si>
  <si>
    <r>
      <rPr>
        <sz val="12"/>
        <rFont val="標楷體"/>
        <family val="4"/>
        <charset val="136"/>
      </rPr>
      <t>　　　　　　　　　　　　　</t>
    </r>
    <r>
      <rPr>
        <sz val="12"/>
        <rFont val="Times New Roman"/>
        <family val="4"/>
      </rPr>
      <t xml:space="preserve">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xml:space="preserve">　 </t>
    </r>
    <r>
      <rPr>
        <sz val="12"/>
        <rFont val="Times New Roman"/>
        <family val="1"/>
      </rPr>
      <t xml:space="preserve">     </t>
    </r>
    <r>
      <rPr>
        <sz val="12"/>
        <rFont val="標楷體"/>
        <family val="4"/>
        <charset val="136"/>
      </rPr>
      <t>　　單位：新臺幣千元</t>
    </r>
    <phoneticPr fontId="5"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</si>
  <si>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5"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</si>
  <si>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xml:space="preserve">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5"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</si>
  <si>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年度</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5"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</si>
  <si>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年度　</t>
    </r>
    <r>
      <rPr>
        <sz val="12"/>
        <rFont val="Times New Roman"/>
        <family val="1"/>
      </rPr>
      <t xml:space="preserve">  </t>
    </r>
    <r>
      <rPr>
        <sz val="12"/>
        <rFont val="標楷體"/>
        <family val="4"/>
        <charset val="136"/>
      </rPr>
      <t xml:space="preserve">　 </t>
    </r>
    <r>
      <rPr>
        <sz val="12"/>
        <rFont val="Times New Roman"/>
        <family val="1"/>
      </rPr>
      <t xml:space="preserve">   </t>
    </r>
    <r>
      <rPr>
        <sz val="12"/>
        <rFont val="標楷體"/>
        <family val="4"/>
        <charset val="136"/>
      </rPr>
      <t>　　　　　單位：新臺幣千元</t>
    </r>
    <phoneticPr fontId="5" type="noConversion"/>
  </si>
  <si>
    <r>
      <t>　　　　　　　　　　 　　　　</t>
    </r>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5"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</si>
  <si>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4"/>
      </rPr>
      <t xml:space="preserve">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5" type="noConversion"/>
  </si>
  <si>
    <r>
      <t xml:space="preserve">　　　　　　　　             </t>
    </r>
    <r>
      <rPr>
        <sz val="12"/>
        <rFont val="Times New Roman"/>
        <family val="1"/>
      </rPr>
      <t xml:space="preserve">       </t>
    </r>
    <r>
      <rPr>
        <sz val="12"/>
        <rFont val="標楷體"/>
        <family val="4"/>
        <charset val="136"/>
      </rPr>
      <t>　中華民國</t>
    </r>
    <r>
      <rPr>
        <sz val="12"/>
        <rFont val="Times New Roman"/>
        <family val="1"/>
      </rPr>
      <t>111</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單位：人</t>
    </r>
    <phoneticPr fontId="5"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</si>
  <si>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5"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</si>
  <si>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年度　</t>
    </r>
    <r>
      <rPr>
        <sz val="12"/>
        <rFont val="Times New Roman"/>
        <family val="1"/>
      </rPr>
      <t xml:space="preserve"> </t>
    </r>
    <r>
      <rPr>
        <sz val="12"/>
        <rFont val="標楷體"/>
        <family val="4"/>
        <charset val="136"/>
      </rPr>
      <t xml:space="preserve">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5"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</si>
  <si>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5"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</si>
  <si>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5"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</si>
  <si>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111</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5" type="noConversion"/>
  </si>
  <si>
    <r>
      <t xml:space="preserve">                                                                </t>
    </r>
    <r>
      <rPr>
        <sz val="12"/>
        <rFont val="標楷體"/>
        <family val="4"/>
        <charset val="136"/>
      </rPr>
      <t>中華民國</t>
    </r>
    <r>
      <rPr>
        <sz val="12"/>
        <rFont val="Times New Roman"/>
        <family val="1"/>
      </rPr>
      <t xml:space="preserve"> 111</t>
    </r>
    <r>
      <rPr>
        <sz val="12"/>
        <rFont val="標楷體"/>
        <family val="4"/>
        <charset val="136"/>
      </rPr>
      <t>年度</t>
    </r>
    <r>
      <rPr>
        <sz val="12"/>
        <rFont val="Times New Roman"/>
        <family val="1"/>
      </rPr>
      <t xml:space="preserve">                                  </t>
    </r>
    <r>
      <rPr>
        <sz val="12"/>
        <rFont val="標楷體"/>
        <family val="4"/>
        <charset val="136"/>
      </rPr>
      <t>單位：新臺幣千元</t>
    </r>
    <phoneticPr fontId="72" type="noConversion"/>
  </si>
  <si>
    <r>
      <t xml:space="preserve">註：係勞動部職業安全衛生署非以用人費用科目辦理項目，包括：
</t>
    </r>
    <r>
      <rPr>
        <sz val="10"/>
        <color theme="1"/>
        <rFont val="Times New Roman"/>
        <family val="1"/>
      </rPr>
      <t xml:space="preserve">        </t>
    </r>
    <r>
      <rPr>
        <sz val="10"/>
        <color theme="1"/>
        <rFont val="標楷體"/>
        <family val="4"/>
        <charset val="136"/>
      </rPr>
      <t>1.</t>
    </r>
    <r>
      <rPr>
        <sz val="10"/>
        <color indexed="8"/>
        <rFont val="標楷體"/>
        <family val="4"/>
        <charset val="136"/>
      </rPr>
      <t>勞務承攬人力主要係辦理協助發放職災勞工死亡慰問金等相關行政業務，預計</t>
    </r>
    <r>
      <rPr>
        <sz val="10"/>
        <color indexed="8"/>
        <rFont val="Times New Roman"/>
        <family val="1"/>
      </rPr>
      <t>2</t>
    </r>
    <r>
      <rPr>
        <sz val="10"/>
        <color indexed="8"/>
        <rFont val="標楷體"/>
        <family val="4"/>
        <charset val="136"/>
      </rPr>
      <t>人，編列一般服務費</t>
    </r>
    <r>
      <rPr>
        <sz val="10"/>
        <color indexed="8"/>
        <rFont val="Times New Roman"/>
        <family val="1"/>
      </rPr>
      <t>787</t>
    </r>
    <r>
      <rPr>
        <sz val="10"/>
        <color rgb="FF000000"/>
        <rFont val="標楷體"/>
        <family val="1"/>
        <charset val="136"/>
      </rPr>
      <t>千</t>
    </r>
    <r>
      <rPr>
        <sz val="10"/>
        <color indexed="8"/>
        <rFont val="標楷體"/>
        <family val="4"/>
        <charset val="136"/>
      </rPr>
      <t xml:space="preserve">元。
</t>
    </r>
    <r>
      <rPr>
        <sz val="10"/>
        <color indexed="8"/>
        <rFont val="Times New Roman"/>
        <family val="1"/>
      </rPr>
      <t xml:space="preserve">        2</t>
    </r>
    <r>
      <rPr>
        <sz val="10"/>
        <color indexed="8"/>
        <rFont val="標楷體"/>
        <family val="4"/>
        <charset val="136"/>
      </rPr>
      <t>.契僱人力主要係辦理各地方政府職災勞工服務紀錄填報確認、電話服務、郵件收受、公文繕校、案件審核、資
      料建檔繕校等業務，預計</t>
    </r>
    <r>
      <rPr>
        <sz val="10"/>
        <color indexed="8"/>
        <rFont val="Times New Roman"/>
        <family val="1"/>
      </rPr>
      <t>9</t>
    </r>
    <r>
      <rPr>
        <sz val="10"/>
        <color indexed="8"/>
        <rFont val="標楷體"/>
        <family val="4"/>
        <charset val="136"/>
      </rPr>
      <t>人，編列一般服務費</t>
    </r>
    <r>
      <rPr>
        <sz val="10"/>
        <color indexed="8"/>
        <rFont val="Times New Roman"/>
        <family val="1"/>
      </rPr>
      <t>3,230</t>
    </r>
    <r>
      <rPr>
        <sz val="10"/>
        <color indexed="8"/>
        <rFont val="標楷體"/>
        <family val="4"/>
        <charset val="136"/>
      </rPr>
      <t>千元。</t>
    </r>
    <phoneticPr fontId="5" type="noConversion"/>
  </si>
  <si>
    <r>
      <rPr>
        <sz val="11.5"/>
        <rFont val="標楷體"/>
        <family val="4"/>
        <charset val="136"/>
      </rPr>
      <t>註：</t>
    </r>
    <r>
      <rPr>
        <sz val="11.5"/>
        <rFont val="Times New Roman"/>
        <family val="1"/>
      </rPr>
      <t>1.107</t>
    </r>
    <r>
      <rPr>
        <sz val="11.5"/>
        <rFont val="標楷體"/>
        <family val="4"/>
        <charset val="136"/>
      </rPr>
      <t>至</t>
    </r>
    <r>
      <rPr>
        <sz val="11.5"/>
        <rFont val="Times New Roman"/>
        <family val="1"/>
      </rPr>
      <t>109</t>
    </r>
    <r>
      <rPr>
        <sz val="11.5"/>
        <rFont val="標楷體"/>
        <family val="4"/>
        <charset val="136"/>
      </rPr>
      <t>年度決算數為審定決算數；</t>
    </r>
    <r>
      <rPr>
        <sz val="11.5"/>
        <rFont val="Times New Roman"/>
        <family val="1"/>
      </rPr>
      <t>110</t>
    </r>
    <r>
      <rPr>
        <sz val="11.5"/>
        <rFont val="標楷體"/>
        <family val="4"/>
        <charset val="136"/>
      </rPr>
      <t xml:space="preserve">年度為法定預算數。以下各表同。
</t>
    </r>
    <r>
      <rPr>
        <sz val="11.5"/>
        <rFont val="Times New Roman"/>
        <family val="1"/>
      </rPr>
      <t xml:space="preserve">        2.</t>
    </r>
    <r>
      <rPr>
        <sz val="11.5"/>
        <rFont val="標楷體"/>
        <family val="4"/>
        <charset val="136"/>
      </rPr>
      <t xml:space="preserve">決算數細數之和與總數或略有出入，係四捨五入關係。
</t>
    </r>
    <r>
      <rPr>
        <sz val="11.5"/>
        <rFont val="Times New Roman"/>
        <family val="1"/>
      </rPr>
      <t xml:space="preserve"> </t>
    </r>
    <phoneticPr fontId="72" type="noConversion"/>
  </si>
  <si>
    <r>
      <rPr>
        <sz val="13"/>
        <rFont val="標楷體"/>
        <family val="4"/>
        <charset val="136"/>
      </rPr>
      <t>一、本年度業務收入</t>
    </r>
    <r>
      <rPr>
        <sz val="13"/>
        <rFont val="Times New Roman"/>
        <family val="1"/>
      </rPr>
      <t>569,991,416</t>
    </r>
    <r>
      <rPr>
        <sz val="13"/>
        <rFont val="標楷體"/>
        <family val="4"/>
        <charset val="136"/>
      </rPr>
      <t>千元：</t>
    </r>
    <phoneticPr fontId="5" type="noConversion"/>
  </si>
  <si>
    <r>
      <rPr>
        <sz val="13"/>
        <rFont val="標楷體"/>
        <family val="4"/>
        <charset val="136"/>
      </rPr>
      <t>（二）投融資業務收入</t>
    </r>
    <r>
      <rPr>
        <sz val="13"/>
        <rFont val="Times New Roman"/>
        <family val="1"/>
      </rPr>
      <t>36,562,385</t>
    </r>
    <r>
      <rPr>
        <sz val="13"/>
        <rFont val="標楷體"/>
        <family val="4"/>
        <charset val="136"/>
      </rPr>
      <t xml:space="preserve">千元，係本基金投資運用收益、存款利息收入及融資業
</t>
    </r>
    <r>
      <rPr>
        <sz val="13"/>
        <rFont val="Times New Roman"/>
        <family val="1"/>
      </rPr>
      <t xml:space="preserve">            </t>
    </r>
    <r>
      <rPr>
        <sz val="13"/>
        <rFont val="標楷體"/>
        <family val="4"/>
        <charset val="136"/>
      </rPr>
      <t>務收入。</t>
    </r>
    <phoneticPr fontId="5" type="noConversion"/>
  </si>
  <si>
    <r>
      <rPr>
        <sz val="13"/>
        <rFont val="標楷體"/>
        <family val="4"/>
        <charset val="136"/>
      </rPr>
      <t>（三）保險收入</t>
    </r>
    <r>
      <rPr>
        <sz val="13"/>
        <rFont val="Times New Roman"/>
        <family val="1"/>
      </rPr>
      <t>499,649,073</t>
    </r>
    <r>
      <rPr>
        <sz val="13"/>
        <rFont val="標楷體"/>
        <family val="4"/>
        <charset val="136"/>
      </rPr>
      <t>千元，包含保費收入</t>
    </r>
    <r>
      <rPr>
        <sz val="13"/>
        <rFont val="Times New Roman"/>
        <family val="1"/>
      </rPr>
      <t>479,888,341</t>
    </r>
    <r>
      <rPr>
        <sz val="13"/>
        <rFont val="標楷體"/>
        <family val="4"/>
        <charset val="136"/>
      </rPr>
      <t xml:space="preserve">千元及收回責任準備
</t>
    </r>
    <r>
      <rPr>
        <sz val="13"/>
        <rFont val="Times New Roman"/>
        <family val="1"/>
      </rPr>
      <t xml:space="preserve">            19,760,732</t>
    </r>
    <r>
      <rPr>
        <sz val="13"/>
        <rFont val="標楷體"/>
        <family val="4"/>
        <charset val="136"/>
      </rPr>
      <t>千元。</t>
    </r>
    <phoneticPr fontId="5" type="noConversion"/>
  </si>
  <si>
    <r>
      <rPr>
        <sz val="13"/>
        <rFont val="標楷體"/>
        <family val="4"/>
        <charset val="136"/>
      </rPr>
      <t>二、本年度業務成本與費用</t>
    </r>
    <r>
      <rPr>
        <sz val="13"/>
        <rFont val="Times New Roman"/>
        <family val="1"/>
      </rPr>
      <t>570,248,391</t>
    </r>
    <r>
      <rPr>
        <sz val="13"/>
        <rFont val="標楷體"/>
        <family val="4"/>
        <charset val="136"/>
      </rPr>
      <t>千元：</t>
    </r>
    <phoneticPr fontId="5" type="noConversion"/>
  </si>
  <si>
    <r>
      <rPr>
        <sz val="13"/>
        <rFont val="標楷體"/>
        <family val="4"/>
        <charset val="136"/>
      </rPr>
      <t>（三）保險成本</t>
    </r>
    <r>
      <rPr>
        <sz val="13"/>
        <rFont val="Times New Roman"/>
        <family val="1"/>
      </rPr>
      <t>564,491,226</t>
    </r>
    <r>
      <rPr>
        <sz val="13"/>
        <rFont val="標楷體"/>
        <family val="4"/>
        <charset val="136"/>
      </rPr>
      <t>千元，包含保險給付</t>
    </r>
    <r>
      <rPr>
        <sz val="13"/>
        <rFont val="Times New Roman"/>
        <family val="1"/>
      </rPr>
      <t>558,596,726</t>
    </r>
    <r>
      <rPr>
        <sz val="13"/>
        <rFont val="標楷體"/>
        <family val="4"/>
        <charset val="136"/>
      </rPr>
      <t>千元</t>
    </r>
    <r>
      <rPr>
        <sz val="13"/>
        <rFont val="新細明體"/>
        <family val="1"/>
        <charset val="136"/>
      </rPr>
      <t>、</t>
    </r>
    <r>
      <rPr>
        <sz val="13"/>
        <rFont val="標楷體"/>
        <family val="4"/>
        <charset val="136"/>
      </rPr>
      <t xml:space="preserve">提存責任準備
</t>
    </r>
    <r>
      <rPr>
        <sz val="13"/>
        <rFont val="Times New Roman"/>
        <family val="1"/>
      </rPr>
      <t xml:space="preserve">            4,976,632</t>
    </r>
    <r>
      <rPr>
        <sz val="13"/>
        <rFont val="標楷體"/>
        <family val="4"/>
        <charset val="136"/>
      </rPr>
      <t>千元及呆帳</t>
    </r>
    <r>
      <rPr>
        <sz val="13"/>
        <rFont val="Times New Roman"/>
        <family val="1"/>
      </rPr>
      <t>917,868</t>
    </r>
    <r>
      <rPr>
        <sz val="13"/>
        <rFont val="標楷體"/>
        <family val="4"/>
        <charset val="136"/>
      </rPr>
      <t>千元。</t>
    </r>
    <phoneticPr fontId="5" type="noConversion"/>
  </si>
  <si>
    <r>
      <rPr>
        <sz val="12"/>
        <rFont val="標楷體"/>
        <family val="4"/>
        <charset val="136"/>
      </rPr>
      <t>係勞工保險業務減少流動金融資產</t>
    </r>
    <r>
      <rPr>
        <sz val="12"/>
        <rFont val="Times New Roman"/>
        <family val="1"/>
      </rPr>
      <t>4,808,700</t>
    </r>
    <r>
      <rPr>
        <sz val="12"/>
        <rFont val="標楷體"/>
        <family val="4"/>
        <charset val="136"/>
      </rPr>
      <t>千元及短期貸款</t>
    </r>
    <r>
      <rPr>
        <sz val="12"/>
        <rFont val="Times New Roman"/>
        <family val="1"/>
      </rPr>
      <t>347,000</t>
    </r>
    <r>
      <rPr>
        <sz val="12"/>
        <rFont val="標楷體"/>
        <family val="4"/>
        <charset val="136"/>
      </rPr>
      <t>千元、勞職保及保護業務減少流動金融資產</t>
    </r>
    <r>
      <rPr>
        <sz val="12"/>
        <rFont val="Times New Roman"/>
        <family val="1"/>
      </rPr>
      <t>667,290</t>
    </r>
    <r>
      <rPr>
        <sz val="12"/>
        <rFont val="標楷體"/>
        <family val="4"/>
        <charset val="136"/>
      </rPr>
      <t>千元。</t>
    </r>
    <phoneticPr fontId="5" type="noConversion"/>
  </si>
  <si>
    <r>
      <rPr>
        <sz val="12"/>
        <rFont val="標楷體"/>
        <family val="4"/>
        <charset val="136"/>
      </rPr>
      <t>係勞工保險業務減少投資</t>
    </r>
    <r>
      <rPr>
        <sz val="12"/>
        <rFont val="Times New Roman"/>
        <family val="1"/>
      </rPr>
      <t>-</t>
    </r>
    <r>
      <rPr>
        <sz val="12"/>
        <rFont val="標楷體"/>
        <family val="4"/>
        <charset val="136"/>
      </rPr>
      <t>非流動金融資產</t>
    </r>
    <r>
      <rPr>
        <sz val="12"/>
        <rFont val="Times New Roman"/>
        <family val="1"/>
      </rPr>
      <t>10,237,745</t>
    </r>
    <r>
      <rPr>
        <sz val="12"/>
        <rFont val="標楷體"/>
        <family val="4"/>
        <charset val="136"/>
      </rPr>
      <t>千元及長期貸款</t>
    </r>
    <r>
      <rPr>
        <sz val="12"/>
        <rFont val="Times New Roman"/>
        <family val="1"/>
      </rPr>
      <t>10,900,000</t>
    </r>
    <r>
      <rPr>
        <sz val="12"/>
        <rFont val="標楷體"/>
        <family val="4"/>
        <charset val="136"/>
      </rPr>
      <t>千元、勞職保及保護業務減少投資</t>
    </r>
    <r>
      <rPr>
        <sz val="12"/>
        <rFont val="Times New Roman"/>
        <family val="1"/>
      </rPr>
      <t>-</t>
    </r>
    <r>
      <rPr>
        <sz val="12"/>
        <rFont val="標楷體"/>
        <family val="4"/>
        <charset val="136"/>
      </rPr>
      <t>非流動金融資產</t>
    </r>
    <r>
      <rPr>
        <sz val="12"/>
        <rFont val="Times New Roman"/>
        <family val="1"/>
      </rPr>
      <t>159,800</t>
    </r>
    <r>
      <rPr>
        <sz val="12"/>
        <rFont val="標楷體"/>
        <family val="4"/>
        <charset val="136"/>
      </rPr>
      <t>千元。</t>
    </r>
    <phoneticPr fontId="5" type="noConversion"/>
  </si>
  <si>
    <r>
      <rPr>
        <sz val="12"/>
        <rFont val="標楷體"/>
        <family val="4"/>
        <charset val="136"/>
      </rPr>
      <t>收取利息</t>
    </r>
    <r>
      <rPr>
        <sz val="12"/>
        <rFont val="Times New Roman"/>
        <family val="1"/>
      </rPr>
      <t>6,563,326</t>
    </r>
    <r>
      <rPr>
        <sz val="12"/>
        <rFont val="標楷體"/>
        <family val="4"/>
        <charset val="136"/>
      </rPr>
      <t>千元。</t>
    </r>
    <phoneticPr fontId="5" type="noConversion"/>
  </si>
  <si>
    <r>
      <rPr>
        <sz val="12"/>
        <rFont val="標楷體"/>
        <family val="4"/>
        <charset val="136"/>
      </rPr>
      <t>本科目勞動部勞工保險局辦理</t>
    </r>
    <r>
      <rPr>
        <sz val="12"/>
        <rFont val="Times New Roman"/>
        <family val="1"/>
      </rPr>
      <t>520,984</t>
    </r>
    <r>
      <rPr>
        <sz val="12"/>
        <rFont val="標楷體"/>
        <family val="4"/>
        <charset val="136"/>
      </rPr>
      <t>千元；勞動部勞動基金運用局辦理</t>
    </r>
    <r>
      <rPr>
        <sz val="12"/>
        <rFont val="Times New Roman"/>
        <family val="1"/>
      </rPr>
      <t>36,041,401</t>
    </r>
    <r>
      <rPr>
        <sz val="12"/>
        <rFont val="標楷體"/>
        <family val="4"/>
        <charset val="136"/>
      </rPr>
      <t>千元。</t>
    </r>
    <phoneticPr fontId="5" type="noConversion"/>
  </si>
  <si>
    <r>
      <rPr>
        <sz val="12"/>
        <rFont val="標楷體"/>
        <family val="4"/>
        <charset val="136"/>
      </rPr>
      <t>本科目勞動部勞工保險局辦理</t>
    </r>
    <r>
      <rPr>
        <sz val="12"/>
        <rFont val="Times New Roman"/>
        <family val="1"/>
      </rPr>
      <t>499,498,348</t>
    </r>
    <r>
      <rPr>
        <sz val="12"/>
        <rFont val="標楷體"/>
        <family val="4"/>
        <charset val="136"/>
      </rPr>
      <t>千元；勞動部職業安全衛生署辦理</t>
    </r>
    <r>
      <rPr>
        <sz val="12"/>
        <rFont val="Times New Roman"/>
        <family val="1"/>
      </rPr>
      <t>150,725</t>
    </r>
    <r>
      <rPr>
        <sz val="12"/>
        <rFont val="標楷體"/>
        <family val="4"/>
        <charset val="136"/>
      </rPr>
      <t>千元。</t>
    </r>
    <phoneticPr fontId="5" type="noConversion"/>
  </si>
  <si>
    <r>
      <rPr>
        <sz val="12"/>
        <rFont val="標楷體"/>
        <family val="4"/>
        <charset val="136"/>
      </rPr>
      <t>係本年度勞工保險普通事故，收支短絀為</t>
    </r>
    <r>
      <rPr>
        <sz val="12"/>
        <rFont val="Times New Roman"/>
        <family val="1"/>
      </rPr>
      <t>18,569,189</t>
    </r>
    <r>
      <rPr>
        <sz val="12"/>
        <rFont val="標楷體"/>
        <family val="4"/>
        <charset val="136"/>
      </rPr>
      <t>千元，悉數由以前年度累積之提存責任準備彌平。</t>
    </r>
    <phoneticPr fontId="5" type="noConversion"/>
  </si>
  <si>
    <r>
      <t>係本年度收支短絀為</t>
    </r>
    <r>
      <rPr>
        <sz val="12"/>
        <color theme="1"/>
        <rFont val="Times New Roman"/>
        <family val="1"/>
      </rPr>
      <t>1,007,642</t>
    </r>
    <r>
      <rPr>
        <sz val="12"/>
        <color theme="1"/>
        <rFont val="標楷體"/>
        <family val="4"/>
        <charset val="136"/>
      </rPr>
      <t>千元，悉數由勞工保險業務項下職業災害保險、職業災害勞工保護業務轉入之責任準備彌平。</t>
    </r>
    <phoneticPr fontId="5" type="noConversion"/>
  </si>
  <si>
    <r>
      <rPr>
        <sz val="12"/>
        <rFont val="標楷體"/>
        <family val="4"/>
        <charset val="136"/>
      </rPr>
      <t>本科目勞動部勞工保險局辦理</t>
    </r>
    <r>
      <rPr>
        <sz val="12"/>
        <rFont val="Times New Roman"/>
        <family val="1"/>
      </rPr>
      <t>564,136,674</t>
    </r>
    <r>
      <rPr>
        <sz val="12"/>
        <rFont val="標楷體"/>
        <family val="4"/>
        <charset val="136"/>
      </rPr>
      <t>千元；勞動部職業安全衛生署辦理</t>
    </r>
    <r>
      <rPr>
        <sz val="12"/>
        <rFont val="Times New Roman"/>
        <family val="1"/>
      </rPr>
      <t>354,552</t>
    </r>
    <r>
      <rPr>
        <sz val="12"/>
        <rFont val="標楷體"/>
        <family val="4"/>
        <charset val="136"/>
      </rPr>
      <t>千元。</t>
    </r>
    <phoneticPr fontId="5" type="noConversion"/>
  </si>
  <si>
    <r>
      <t>本項目勞動部勞工保險局辦理</t>
    </r>
    <r>
      <rPr>
        <sz val="12"/>
        <rFont val="Times New Roman"/>
        <family val="1"/>
      </rPr>
      <t>6,768,566</t>
    </r>
    <r>
      <rPr>
        <sz val="12"/>
        <rFont val="標楷體"/>
        <family val="4"/>
        <charset val="136"/>
      </rPr>
      <t>千元；勞動部職業安全衛生署辦理</t>
    </r>
    <r>
      <rPr>
        <sz val="12"/>
        <rFont val="Times New Roman"/>
        <family val="1"/>
      </rPr>
      <t>167,335</t>
    </r>
    <r>
      <rPr>
        <sz val="12"/>
        <rFont val="標楷體"/>
        <family val="4"/>
        <charset val="136"/>
      </rPr>
      <t>千元。</t>
    </r>
    <phoneticPr fontId="5" type="noConversion"/>
  </si>
  <si>
    <r>
      <rPr>
        <sz val="12"/>
        <color theme="1"/>
        <rFont val="標楷體"/>
        <family val="4"/>
        <charset val="136"/>
      </rPr>
      <t>編列</t>
    </r>
    <r>
      <rPr>
        <sz val="12"/>
        <color theme="1"/>
        <rFont val="Times New Roman"/>
        <family val="1"/>
      </rPr>
      <t>6,919,510</t>
    </r>
    <r>
      <rPr>
        <sz val="12"/>
        <color theme="1"/>
        <rFont val="標楷體"/>
        <family val="4"/>
        <charset val="136"/>
      </rPr>
      <t>千元，詳第</t>
    </r>
    <r>
      <rPr>
        <sz val="12"/>
        <color theme="1"/>
        <rFont val="Times New Roman"/>
        <family val="1"/>
      </rPr>
      <t>84~87</t>
    </r>
    <r>
      <rPr>
        <sz val="12"/>
        <color theme="1"/>
        <rFont val="標楷體"/>
        <family val="4"/>
        <charset val="136"/>
      </rPr>
      <t>頁保險給付分析表，其中：</t>
    </r>
    <phoneticPr fontId="5" type="noConversion"/>
  </si>
  <si>
    <r>
      <rPr>
        <sz val="12"/>
        <rFont val="標楷體"/>
        <family val="4"/>
        <charset val="136"/>
      </rPr>
      <t>編列</t>
    </r>
    <r>
      <rPr>
        <sz val="12"/>
        <rFont val="Times New Roman"/>
        <family val="1"/>
      </rPr>
      <t>167,335</t>
    </r>
    <r>
      <rPr>
        <sz val="12"/>
        <rFont val="標楷體"/>
        <family val="4"/>
        <charset val="136"/>
      </rPr>
      <t>千元，係參考職業災害勞工保護法以前年度執行情形，依勞工職業災害保險及保護法第</t>
    </r>
    <r>
      <rPr>
        <sz val="12"/>
        <rFont val="Times New Roman"/>
        <family val="1"/>
      </rPr>
      <t>79</t>
    </r>
    <r>
      <rPr>
        <sz val="12"/>
        <rFont val="標楷體"/>
        <family val="4"/>
        <charset val="136"/>
      </rPr>
      <t>、</t>
    </r>
    <r>
      <rPr>
        <sz val="12"/>
        <rFont val="Times New Roman"/>
        <family val="1"/>
      </rPr>
      <t>104</t>
    </r>
    <r>
      <rPr>
        <sz val="12"/>
        <rFont val="標楷體"/>
        <family val="4"/>
        <charset val="136"/>
      </rPr>
      <t>及</t>
    </r>
    <r>
      <rPr>
        <sz val="12"/>
        <rFont val="Times New Roman"/>
        <family val="1"/>
      </rPr>
      <t>105</t>
    </r>
    <r>
      <rPr>
        <sz val="12"/>
        <rFont val="標楷體"/>
        <family val="4"/>
        <charset val="136"/>
      </rPr>
      <t>條規定之各項補助。</t>
    </r>
    <phoneticPr fontId="5" type="noConversion"/>
  </si>
  <si>
    <r>
      <t>預估</t>
    </r>
    <r>
      <rPr>
        <sz val="12"/>
        <rFont val="Times New Roman"/>
        <family val="1"/>
      </rPr>
      <t>370</t>
    </r>
    <r>
      <rPr>
        <sz val="12"/>
        <rFont val="標楷體"/>
        <family val="4"/>
        <charset val="136"/>
      </rPr>
      <t>件。</t>
    </r>
    <phoneticPr fontId="5" type="noConversion"/>
  </si>
  <si>
    <r>
      <rPr>
        <sz val="12"/>
        <rFont val="標楷體"/>
        <family val="4"/>
        <charset val="136"/>
      </rPr>
      <t>係減少流動金融資產</t>
    </r>
    <r>
      <rPr>
        <sz val="12"/>
        <rFont val="Times New Roman"/>
        <family val="1"/>
      </rPr>
      <t>22,632,800</t>
    </r>
    <r>
      <rPr>
        <sz val="12"/>
        <rFont val="標楷體"/>
        <family val="4"/>
        <charset val="136"/>
      </rPr>
      <t>千元及短期貸款</t>
    </r>
    <r>
      <rPr>
        <sz val="12"/>
        <rFont val="Times New Roman"/>
        <family val="1"/>
      </rPr>
      <t>347,000</t>
    </r>
    <r>
      <rPr>
        <sz val="12"/>
        <rFont val="標楷體"/>
        <family val="4"/>
        <charset val="136"/>
      </rPr>
      <t>千元。</t>
    </r>
    <phoneticPr fontId="5" type="noConversion"/>
  </si>
  <si>
    <r>
      <rPr>
        <sz val="12"/>
        <rFont val="標楷體"/>
        <family val="4"/>
        <charset val="136"/>
      </rPr>
      <t>係減少投資</t>
    </r>
    <r>
      <rPr>
        <sz val="12"/>
        <rFont val="Times New Roman"/>
        <family val="1"/>
      </rPr>
      <t>-</t>
    </r>
    <r>
      <rPr>
        <sz val="12"/>
        <rFont val="標楷體"/>
        <family val="4"/>
        <charset val="136"/>
      </rPr>
      <t>非流動金融資產</t>
    </r>
    <r>
      <rPr>
        <sz val="12"/>
        <rFont val="Times New Roman"/>
        <family val="1"/>
      </rPr>
      <t>13,929,790</t>
    </r>
    <r>
      <rPr>
        <sz val="12"/>
        <rFont val="標楷體"/>
        <family val="4"/>
        <charset val="136"/>
      </rPr>
      <t>千元及長期貸款</t>
    </r>
    <r>
      <rPr>
        <sz val="12"/>
        <rFont val="Times New Roman"/>
        <family val="1"/>
      </rPr>
      <t>10,900,000</t>
    </r>
    <r>
      <rPr>
        <sz val="12"/>
        <rFont val="標楷體"/>
        <family val="4"/>
        <charset val="136"/>
      </rPr>
      <t>千元。</t>
    </r>
    <phoneticPr fontId="5" type="noConversion"/>
  </si>
  <si>
    <r>
      <rPr>
        <sz val="12"/>
        <rFont val="標楷體"/>
        <family val="4"/>
        <charset val="136"/>
      </rPr>
      <t>收取利息</t>
    </r>
    <r>
      <rPr>
        <sz val="12"/>
        <rFont val="Times New Roman"/>
        <family val="1"/>
      </rPr>
      <t>4,730,004</t>
    </r>
    <r>
      <rPr>
        <sz val="12"/>
        <rFont val="標楷體"/>
        <family val="4"/>
        <charset val="136"/>
      </rPr>
      <t>千元。</t>
    </r>
    <phoneticPr fontId="5" type="noConversion"/>
  </si>
  <si>
    <r>
      <t>係減少其他負債</t>
    </r>
    <r>
      <rPr>
        <sz val="12"/>
        <rFont val="Times New Roman"/>
        <family val="1"/>
      </rPr>
      <t>10,851,017</t>
    </r>
    <r>
      <rPr>
        <sz val="12"/>
        <rFont val="標楷體"/>
        <family val="4"/>
        <charset val="136"/>
      </rPr>
      <t>千元。</t>
    </r>
    <phoneticPr fontId="5" type="noConversion"/>
  </si>
  <si>
    <r>
      <rPr>
        <sz val="12"/>
        <rFont val="標楷體"/>
        <family val="4"/>
        <charset val="136"/>
      </rPr>
      <t>係增加其他負債</t>
    </r>
    <r>
      <rPr>
        <sz val="12"/>
        <rFont val="Times New Roman"/>
        <family val="1"/>
      </rPr>
      <t>36,343,868</t>
    </r>
    <r>
      <rPr>
        <sz val="12"/>
        <rFont val="標楷體"/>
        <family val="4"/>
        <charset val="136"/>
      </rPr>
      <t>千元。</t>
    </r>
    <phoneticPr fontId="5" type="noConversion"/>
  </si>
  <si>
    <t>業務計畫及預算說明</t>
    <phoneticPr fontId="72" type="noConversion"/>
  </si>
  <si>
    <t>本頁空白</t>
    <phoneticPr fontId="72" type="noConversion"/>
  </si>
  <si>
    <r>
      <t>補充說明</t>
    </r>
    <r>
      <rPr>
        <sz val="10"/>
        <rFont val="標楷體"/>
        <family val="1"/>
        <charset val="136"/>
      </rPr>
      <t>：</t>
    </r>
    <r>
      <rPr>
        <sz val="10"/>
        <rFont val="標楷體"/>
        <family val="4"/>
        <charset val="136"/>
      </rPr>
      <t>不影響現金流量之投資及籌資活動係</t>
    </r>
    <r>
      <rPr>
        <sz val="10"/>
        <rFont val="Times New Roman"/>
        <family val="1"/>
      </rPr>
      <t>111</t>
    </r>
    <r>
      <rPr>
        <sz val="10"/>
        <rFont val="標楷體"/>
        <family val="4"/>
        <charset val="136"/>
      </rPr>
      <t>年</t>
    </r>
    <r>
      <rPr>
        <sz val="10"/>
        <rFont val="Times New Roman"/>
        <family val="1"/>
      </rPr>
      <t>5</t>
    </r>
    <r>
      <rPr>
        <sz val="10"/>
        <rFont val="標楷體"/>
        <family val="4"/>
        <charset val="136"/>
      </rPr>
      <t>月</t>
    </r>
    <r>
      <rPr>
        <sz val="10"/>
        <rFont val="Times New Roman"/>
        <family val="1"/>
      </rPr>
      <t>1</t>
    </r>
    <r>
      <rPr>
        <sz val="10"/>
        <rFont val="標楷體"/>
        <family val="4"/>
        <charset val="136"/>
      </rPr>
      <t xml:space="preserve">日配合「勞工職業災害保險及保護法」施行，將原列於
</t>
    </r>
    <r>
      <rPr>
        <sz val="10"/>
        <rFont val="標楷體"/>
        <family val="1"/>
        <charset val="136"/>
      </rPr>
      <t xml:space="preserve">          「勞工保險業務」項下職業災害保險、</t>
    </r>
    <r>
      <rPr>
        <sz val="10"/>
        <rFont val="標楷體"/>
        <family val="4"/>
        <charset val="136"/>
      </rPr>
      <t xml:space="preserve">「職業災害勞工保護業務」整併為「勞職保及保護」，爰移列
</t>
    </r>
    <r>
      <rPr>
        <sz val="10"/>
        <rFont val="標楷體"/>
        <family val="1"/>
        <charset val="136"/>
      </rPr>
      <t xml:space="preserve">          </t>
    </r>
    <r>
      <rPr>
        <sz val="10"/>
        <rFont val="標楷體"/>
        <family val="4"/>
        <charset val="136"/>
      </rPr>
      <t xml:space="preserve">項目包括：
</t>
    </r>
    <r>
      <rPr>
        <sz val="10"/>
        <rFont val="Times New Roman"/>
        <family val="1"/>
      </rPr>
      <t xml:space="preserve">                    1.</t>
    </r>
    <r>
      <rPr>
        <sz val="10"/>
        <rFont val="標楷體"/>
        <family val="4"/>
        <charset val="136"/>
      </rPr>
      <t>流動金融資產：減少勞工保險–職災</t>
    </r>
    <r>
      <rPr>
        <sz val="10"/>
        <rFont val="Times New Roman"/>
        <family val="1"/>
      </rPr>
      <t>178</t>
    </r>
    <r>
      <rPr>
        <sz val="10"/>
        <rFont val="標楷體"/>
        <family val="4"/>
        <charset val="136"/>
      </rPr>
      <t>億</t>
    </r>
    <r>
      <rPr>
        <sz val="10"/>
        <rFont val="Times New Roman"/>
        <family val="1"/>
      </rPr>
      <t>2,410</t>
    </r>
    <r>
      <rPr>
        <sz val="10"/>
        <rFont val="標楷體"/>
        <family val="4"/>
        <charset val="136"/>
      </rPr>
      <t>萬元，職災保護</t>
    </r>
    <r>
      <rPr>
        <sz val="10"/>
        <rFont val="Times New Roman"/>
        <family val="1"/>
      </rPr>
      <t>33</t>
    </r>
    <r>
      <rPr>
        <sz val="10"/>
        <rFont val="標楷體"/>
        <family val="4"/>
        <charset val="136"/>
      </rPr>
      <t>億</t>
    </r>
    <r>
      <rPr>
        <sz val="10"/>
        <rFont val="Times New Roman"/>
        <family val="1"/>
      </rPr>
      <t>7,966</t>
    </r>
    <r>
      <rPr>
        <sz val="10"/>
        <rFont val="標楷體"/>
        <family val="4"/>
        <charset val="136"/>
      </rPr>
      <t xml:space="preserve">萬元，同額增加勞職保及
</t>
    </r>
    <r>
      <rPr>
        <sz val="10"/>
        <rFont val="Times New Roman"/>
        <family val="1"/>
      </rPr>
      <t xml:space="preserve">                       </t>
    </r>
    <r>
      <rPr>
        <sz val="10"/>
        <rFont val="標楷體"/>
        <family val="1"/>
        <charset val="136"/>
      </rPr>
      <t>保護</t>
    </r>
    <r>
      <rPr>
        <sz val="10"/>
        <rFont val="Times New Roman"/>
        <family val="1"/>
      </rPr>
      <t>212</t>
    </r>
    <r>
      <rPr>
        <sz val="10"/>
        <rFont val="標楷體"/>
        <family val="4"/>
        <charset val="136"/>
      </rPr>
      <t>億</t>
    </r>
    <r>
      <rPr>
        <sz val="10"/>
        <rFont val="Times New Roman"/>
        <family val="1"/>
      </rPr>
      <t>376</t>
    </r>
    <r>
      <rPr>
        <sz val="10"/>
        <rFont val="標楷體"/>
        <family val="4"/>
        <charset val="136"/>
      </rPr>
      <t xml:space="preserve">萬元。
</t>
    </r>
    <r>
      <rPr>
        <sz val="10"/>
        <rFont val="Times New Roman"/>
        <family val="1"/>
      </rPr>
      <t xml:space="preserve">                    2.</t>
    </r>
    <r>
      <rPr>
        <sz val="10"/>
        <rFont val="標楷體"/>
        <family val="4"/>
        <charset val="136"/>
      </rPr>
      <t>投資</t>
    </r>
    <r>
      <rPr>
        <sz val="10"/>
        <rFont val="標楷體"/>
        <family val="1"/>
        <charset val="136"/>
      </rPr>
      <t>-</t>
    </r>
    <r>
      <rPr>
        <sz val="10"/>
        <rFont val="標楷體"/>
        <family val="4"/>
        <charset val="136"/>
      </rPr>
      <t>非流動金融資產：減少勞工保險–職災</t>
    </r>
    <r>
      <rPr>
        <sz val="10"/>
        <rFont val="Times New Roman"/>
        <family val="1"/>
      </rPr>
      <t>36</t>
    </r>
    <r>
      <rPr>
        <sz val="10"/>
        <rFont val="標楷體"/>
        <family val="4"/>
        <charset val="136"/>
      </rPr>
      <t>億</t>
    </r>
    <r>
      <rPr>
        <sz val="10"/>
        <rFont val="Times New Roman"/>
        <family val="1"/>
      </rPr>
      <t>9,204</t>
    </r>
    <r>
      <rPr>
        <sz val="10"/>
        <rFont val="標楷體"/>
        <family val="4"/>
        <charset val="136"/>
      </rPr>
      <t>萬</t>
    </r>
    <r>
      <rPr>
        <sz val="10"/>
        <rFont val="Times New Roman"/>
        <family val="1"/>
      </rPr>
      <t>5</t>
    </r>
    <r>
      <rPr>
        <sz val="10"/>
        <rFont val="標楷體"/>
        <family val="4"/>
        <charset val="136"/>
      </rPr>
      <t>千元，職災保護</t>
    </r>
    <r>
      <rPr>
        <sz val="10"/>
        <rFont val="Times New Roman"/>
        <family val="1"/>
      </rPr>
      <t>55</t>
    </r>
    <r>
      <rPr>
        <sz val="10"/>
        <rFont val="標楷體"/>
        <family val="4"/>
        <charset val="136"/>
      </rPr>
      <t>億</t>
    </r>
    <r>
      <rPr>
        <sz val="10"/>
        <rFont val="Times New Roman"/>
        <family val="1"/>
      </rPr>
      <t>8,341</t>
    </r>
    <r>
      <rPr>
        <sz val="10"/>
        <rFont val="標楷體"/>
        <family val="4"/>
        <charset val="136"/>
      </rPr>
      <t>萬元，同額增加</t>
    </r>
    <r>
      <rPr>
        <sz val="10"/>
        <rFont val="標楷體"/>
        <family val="1"/>
        <charset val="136"/>
      </rPr>
      <t xml:space="preserve">
</t>
    </r>
    <r>
      <rPr>
        <sz val="10"/>
        <rFont val="Times New Roman"/>
        <family val="1"/>
      </rPr>
      <t xml:space="preserve">                       </t>
    </r>
    <r>
      <rPr>
        <sz val="10"/>
        <rFont val="標楷體"/>
        <family val="1"/>
        <charset val="136"/>
      </rPr>
      <t>勞職保及保護</t>
    </r>
    <r>
      <rPr>
        <sz val="10"/>
        <rFont val="Times New Roman"/>
        <family val="1"/>
      </rPr>
      <t>92</t>
    </r>
    <r>
      <rPr>
        <sz val="10"/>
        <rFont val="標楷體"/>
        <family val="1"/>
        <charset val="136"/>
      </rPr>
      <t>億</t>
    </r>
    <r>
      <rPr>
        <sz val="10"/>
        <rFont val="Times New Roman"/>
        <family val="1"/>
      </rPr>
      <t>7,545</t>
    </r>
    <r>
      <rPr>
        <sz val="10"/>
        <rFont val="標楷體"/>
        <family val="4"/>
        <charset val="136"/>
      </rPr>
      <t>萬</t>
    </r>
    <r>
      <rPr>
        <sz val="10"/>
        <rFont val="Times New Roman"/>
        <family val="1"/>
      </rPr>
      <t>5</t>
    </r>
    <r>
      <rPr>
        <sz val="10"/>
        <rFont val="標楷體"/>
        <family val="4"/>
        <charset val="136"/>
      </rPr>
      <t xml:space="preserve">千元。
</t>
    </r>
    <r>
      <rPr>
        <sz val="10"/>
        <rFont val="Times New Roman"/>
        <family val="1"/>
      </rPr>
      <t xml:space="preserve">                    3.</t>
    </r>
    <r>
      <rPr>
        <sz val="10"/>
        <rFont val="標楷體"/>
        <family val="4"/>
        <charset val="136"/>
      </rPr>
      <t>其他負債：減少勞工保險–職災</t>
    </r>
    <r>
      <rPr>
        <sz val="10"/>
        <rFont val="Times New Roman"/>
        <family val="1"/>
      </rPr>
      <t>254</t>
    </r>
    <r>
      <rPr>
        <sz val="10"/>
        <rFont val="標楷體"/>
        <family val="4"/>
        <charset val="136"/>
      </rPr>
      <t>億</t>
    </r>
    <r>
      <rPr>
        <sz val="10"/>
        <rFont val="Times New Roman"/>
        <family val="1"/>
      </rPr>
      <t>9,285</t>
    </r>
    <r>
      <rPr>
        <sz val="10"/>
        <rFont val="標楷體"/>
        <family val="4"/>
        <charset val="136"/>
      </rPr>
      <t>萬</t>
    </r>
    <r>
      <rPr>
        <sz val="10"/>
        <rFont val="Times New Roman"/>
        <family val="1"/>
      </rPr>
      <t>1</t>
    </r>
    <r>
      <rPr>
        <sz val="10"/>
        <rFont val="標楷體"/>
        <family val="4"/>
        <charset val="136"/>
      </rPr>
      <t>千元及職災保護</t>
    </r>
    <r>
      <rPr>
        <sz val="10"/>
        <rFont val="Times New Roman"/>
        <family val="1"/>
      </rPr>
      <t>108</t>
    </r>
    <r>
      <rPr>
        <sz val="10"/>
        <rFont val="標楷體"/>
        <family val="4"/>
        <charset val="136"/>
      </rPr>
      <t>億</t>
    </r>
    <r>
      <rPr>
        <sz val="10"/>
        <rFont val="Times New Roman"/>
        <family val="1"/>
      </rPr>
      <t>5,101</t>
    </r>
    <r>
      <rPr>
        <sz val="10"/>
        <rFont val="標楷體"/>
        <family val="4"/>
        <charset val="136"/>
      </rPr>
      <t>萬</t>
    </r>
    <r>
      <rPr>
        <sz val="10"/>
        <rFont val="Times New Roman"/>
        <family val="1"/>
      </rPr>
      <t>7</t>
    </r>
    <r>
      <rPr>
        <sz val="10"/>
        <rFont val="標楷體"/>
        <family val="4"/>
        <charset val="136"/>
      </rPr>
      <t>千元</t>
    </r>
    <r>
      <rPr>
        <sz val="10"/>
        <rFont val="標楷體"/>
        <family val="1"/>
        <charset val="136"/>
      </rPr>
      <t>(</t>
    </r>
    <r>
      <rPr>
        <sz val="10"/>
        <rFont val="標楷體"/>
        <family val="4"/>
        <charset val="136"/>
      </rPr>
      <t>包含</t>
    </r>
    <r>
      <rPr>
        <sz val="10"/>
        <rFont val="Times New Roman"/>
        <family val="1"/>
      </rPr>
      <t>110</t>
    </r>
    <r>
      <rPr>
        <sz val="10"/>
        <rFont val="標楷體"/>
        <family val="4"/>
        <charset val="136"/>
      </rPr>
      <t xml:space="preserve">年度勞工
</t>
    </r>
    <r>
      <rPr>
        <sz val="10"/>
        <rFont val="Times New Roman"/>
        <family val="1"/>
      </rPr>
      <t xml:space="preserve">                       </t>
    </r>
    <r>
      <rPr>
        <sz val="10"/>
        <rFont val="標楷體"/>
        <family val="1"/>
        <charset val="136"/>
      </rPr>
      <t>保</t>
    </r>
    <r>
      <rPr>
        <sz val="10"/>
        <rFont val="標楷體"/>
        <family val="4"/>
        <charset val="136"/>
      </rPr>
      <t>險</t>
    </r>
    <r>
      <rPr>
        <sz val="10"/>
        <rFont val="標楷體"/>
        <family val="1"/>
        <charset val="136"/>
      </rPr>
      <t>–</t>
    </r>
    <r>
      <rPr>
        <sz val="10"/>
        <rFont val="標楷體"/>
        <family val="4"/>
        <charset val="136"/>
      </rPr>
      <t>職災收支結餘</t>
    </r>
    <r>
      <rPr>
        <sz val="10"/>
        <rFont val="Times New Roman"/>
        <family val="1"/>
      </rPr>
      <t>40</t>
    </r>
    <r>
      <rPr>
        <sz val="10"/>
        <rFont val="標楷體"/>
        <family val="4"/>
        <charset val="136"/>
      </rPr>
      <t>％之二分之一</t>
    </r>
    <r>
      <rPr>
        <sz val="10"/>
        <rFont val="Times New Roman"/>
        <family val="1"/>
      </rPr>
      <t>2</t>
    </r>
    <r>
      <rPr>
        <sz val="10"/>
        <rFont val="標楷體"/>
        <family val="4"/>
        <charset val="136"/>
      </rPr>
      <t>億</t>
    </r>
    <r>
      <rPr>
        <sz val="10"/>
        <rFont val="Times New Roman"/>
        <family val="1"/>
      </rPr>
      <t>3,191</t>
    </r>
    <r>
      <rPr>
        <sz val="10"/>
        <rFont val="標楷體"/>
        <family val="4"/>
        <charset val="136"/>
      </rPr>
      <t>萬</t>
    </r>
    <r>
      <rPr>
        <sz val="10"/>
        <rFont val="Times New Roman"/>
        <family val="1"/>
      </rPr>
      <t>2</t>
    </r>
    <r>
      <rPr>
        <sz val="10"/>
        <rFont val="標楷體"/>
        <family val="4"/>
        <charset val="136"/>
      </rPr>
      <t>千元作為</t>
    </r>
    <r>
      <rPr>
        <sz val="10"/>
        <rFont val="Times New Roman"/>
        <family val="1"/>
      </rPr>
      <t>111</t>
    </r>
    <r>
      <rPr>
        <sz val="10"/>
        <rFont val="標楷體"/>
        <family val="4"/>
        <charset val="136"/>
      </rPr>
      <t>年度職災保護專款</t>
    </r>
    <r>
      <rPr>
        <sz val="10"/>
        <rFont val="標楷體"/>
        <family val="1"/>
        <charset val="136"/>
      </rPr>
      <t>)</t>
    </r>
    <r>
      <rPr>
        <sz val="10"/>
        <rFont val="標楷體"/>
        <family val="4"/>
        <charset val="136"/>
      </rPr>
      <t>，同額增加勞職保</t>
    </r>
    <r>
      <rPr>
        <sz val="10"/>
        <rFont val="標楷體"/>
        <family val="1"/>
        <charset val="136"/>
      </rPr>
      <t xml:space="preserve">
</t>
    </r>
    <r>
      <rPr>
        <sz val="10"/>
        <rFont val="Times New Roman"/>
        <family val="1"/>
      </rPr>
      <t xml:space="preserve">                       </t>
    </r>
    <r>
      <rPr>
        <sz val="10"/>
        <rFont val="標楷體"/>
        <family val="1"/>
        <charset val="136"/>
      </rPr>
      <t>及保護</t>
    </r>
    <r>
      <rPr>
        <sz val="10"/>
        <rFont val="Times New Roman"/>
        <family val="1"/>
      </rPr>
      <t>363</t>
    </r>
    <r>
      <rPr>
        <sz val="10"/>
        <rFont val="標楷體"/>
        <family val="1"/>
        <charset val="136"/>
      </rPr>
      <t>億</t>
    </r>
    <r>
      <rPr>
        <sz val="10"/>
        <rFont val="Times New Roman"/>
        <family val="1"/>
      </rPr>
      <t>4,386</t>
    </r>
    <r>
      <rPr>
        <sz val="10"/>
        <rFont val="標楷體"/>
        <family val="1"/>
        <charset val="136"/>
      </rPr>
      <t>萬</t>
    </r>
    <r>
      <rPr>
        <sz val="10"/>
        <rFont val="Times New Roman"/>
        <family val="1"/>
      </rPr>
      <t>8</t>
    </r>
    <r>
      <rPr>
        <sz val="10"/>
        <rFont val="標楷體"/>
        <family val="1"/>
        <charset val="136"/>
      </rPr>
      <t>千元。</t>
    </r>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</si>
</sst>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42" formatCode="_-&quot;$&quot;* #,##0_-;\-&quot;$&quot;* #,##0_-;_-&quot;$&quot;* &quot;-&quot;_-;_-@_-"/>
    <numFmt numFmtId="41" formatCode="_-* #,##0_-;\-* #,##0_-;_-* &quot;-&quot;_-;_-@_-"/>
    <numFmt numFmtId="44" formatCode="_-&quot;$&quot;* #,##0.00_-;\-&quot;$&quot;* #,##0.00_-;_-&quot;$&quot;* &quot;-&quot;??_-;_-@_-"/>
    <numFmt numFmtId="43" formatCode="_-* #,##0.00_-;\-* #,##0.00_-;_-* &quot;-&quot;??_-;_-@_-"/>
    <numFmt numFmtId="176" formatCode="0.00_ "/>
    <numFmt numFmtId="177" formatCode="0.000%"/>
    <numFmt numFmtId="178" formatCode="_-* #,##0_-;\-* #,##0_-;_-* &quot;-&quot;??_-;_-@_-"/>
    <numFmt numFmtId="179" formatCode="#,##0_ "/>
    <numFmt numFmtId="180" formatCode="#,##0_);[Red]\(#,##0\)"/>
    <numFmt numFmtId="181" formatCode="#,##0.00_ "/>
    <numFmt numFmtId="182" formatCode="#,##0_ ;[Red]\-#,##0\ "/>
    <numFmt numFmtId="183" formatCode="0.00000_);[Red]\(0.00000\)"/>
    <numFmt numFmtId="184" formatCode="#,##0.00_);[Red]\(#,##0.00\)"/>
    <numFmt numFmtId="185" formatCode="0.00_);[Red]\(0.00\)"/>
    <numFmt numFmtId="186" formatCode="_-[$€-2]* #,##0.00_-;\-[$€-2]* #,##0.00_-;_-[$€-2]* &quot;-&quot;??_-"/>
    <numFmt numFmtId="187" formatCode="0.0000%"/>
    <numFmt numFmtId="188" formatCode="0.0000_ "/>
    <numFmt numFmtId="189" formatCode="#,##0.0000_ "/>
    <numFmt numFmtId="190" formatCode="&quot;$&quot;#,##0\ ;\(&quot;$&quot;#,##0\)"/>
    <numFmt numFmtId="191" formatCode="#\ ##0_-;\-#\ ##0_-;_-0_-;_-@_ "/>
    <numFmt numFmtId="192" formatCode="#\ ##0.0_-;\-#\ ##0.0_-;_-0.0_-;_-@_ "/>
    <numFmt numFmtId="193" formatCode="_ * #,##0.00_ ;_ * \-#,##0.00_ ;_ * &quot;-&quot;??_ ;_ @_ "/>
    <numFmt numFmtId="194" formatCode="_ * #,##0_ ;_ * \-#,##0_ ;_ * &quot;-&quot;_ ;_ @_ "/>
    <numFmt numFmtId="195" formatCode="_(&quot;$&quot;* #,##0_);_(&quot;$&quot;* \(#,##0\);_(&quot;$&quot;* &quot;-&quot;_);_(@_)"/>
    <numFmt numFmtId="196" formatCode="_ * #,##0_ ;_ * &quot;\&quot;&quot;\&quot;&quot;\&quot;\-#,##0_ ;_ * &quot;-&quot;_ ;_ @_ "/>
    <numFmt numFmtId="197" formatCode="_ * #,##0.00_ ;_ * &quot;\&quot;&quot;\&quot;&quot;\&quot;\-#,##0.00_ ;_ * &quot;-&quot;??_ ;_ @_ "/>
    <numFmt numFmtId="198" formatCode="_ &quot;\&quot;* #,##0_ ;_ &quot;\&quot;* &quot;\&quot;&quot;\&quot;&quot;\&quot;\-#,##0_ ;_ &quot;\&quot;* &quot;-&quot;_ ;_ @_ "/>
    <numFmt numFmtId="199" formatCode="_ &quot;\&quot;* #,##0.00_ ;_ &quot;\&quot;* &quot;\&quot;&quot;\&quot;&quot;\&quot;\-#,##0.00_ ;_ &quot;\&quot;* &quot;-&quot;??_ ;_ @_ "/>
    <numFmt numFmtId="200" formatCode="_-* #,##0.00_-;\-* #,##0.00_-;_-* &quot;-&quot;_-;_-@_-"/>
    <numFmt numFmtId="201" formatCode="0.000"/>
  </numFmts>
  <fonts count="128">
    <font>
      <sz val="12"/>
      <name val="新細明體"/>
      <family val="1"/>
      <charset val="136"/>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name val="新細明體"/>
      <family val="1"/>
      <charset val="136"/>
    </font>
    <font>
      <sz val="9"/>
      <name val="新細明體"/>
      <family val="1"/>
      <charset val="136"/>
    </font>
    <font>
      <u/>
      <sz val="16"/>
      <name val="Times New Roman"/>
      <family val="1"/>
    </font>
    <font>
      <u/>
      <sz val="16"/>
      <name val="標楷體"/>
      <family val="4"/>
      <charset val="136"/>
    </font>
    <font>
      <u/>
      <sz val="14"/>
      <name val="Times New Roman"/>
      <family val="1"/>
    </font>
    <font>
      <sz val="12"/>
      <name val="Times New Roman"/>
      <family val="1"/>
    </font>
    <font>
      <sz val="18"/>
      <name val="標楷體"/>
      <family val="4"/>
      <charset val="136"/>
    </font>
    <font>
      <sz val="18"/>
      <name val="Times New Roman"/>
      <family val="1"/>
    </font>
    <font>
      <b/>
      <sz val="18"/>
      <name val="Times New Roman"/>
      <family val="1"/>
    </font>
    <font>
      <sz val="12"/>
      <name val="標楷體"/>
      <family val="4"/>
      <charset val="136"/>
    </font>
    <font>
      <b/>
      <sz val="12"/>
      <name val="標楷體"/>
      <family val="4"/>
      <charset val="136"/>
    </font>
    <font>
      <b/>
      <sz val="12"/>
      <name val="Times New Roman"/>
      <family val="1"/>
    </font>
    <font>
      <sz val="14"/>
      <name val="Times New Roman"/>
      <family val="1"/>
    </font>
    <font>
      <sz val="14"/>
      <name val="標楷體"/>
      <family val="4"/>
      <charset val="136"/>
    </font>
    <font>
      <sz val="13"/>
      <name val="Times New Roman"/>
      <family val="1"/>
    </font>
    <font>
      <sz val="12"/>
      <color indexed="8"/>
      <name val="標楷體"/>
      <family val="4"/>
      <charset val="136"/>
    </font>
    <font>
      <sz val="12"/>
      <color indexed="8"/>
      <name val="Times New Roman"/>
      <family val="1"/>
    </font>
    <font>
      <sz val="11"/>
      <name val="標楷體"/>
      <family val="4"/>
      <charset val="136"/>
    </font>
    <font>
      <sz val="16"/>
      <name val="華康楷書體W5"/>
      <family val="3"/>
      <charset val="136"/>
    </font>
    <font>
      <sz val="11"/>
      <name val="Times New Roman"/>
      <family val="1"/>
    </font>
    <font>
      <b/>
      <sz val="11"/>
      <name val="標楷體"/>
      <family val="4"/>
      <charset val="136"/>
    </font>
    <font>
      <sz val="16"/>
      <name val="標楷體"/>
      <family val="4"/>
      <charset val="136"/>
    </font>
    <font>
      <b/>
      <sz val="9"/>
      <color indexed="81"/>
      <name val="新細明體"/>
      <family val="1"/>
      <charset val="136"/>
    </font>
    <font>
      <sz val="9"/>
      <color indexed="81"/>
      <name val="新細明體"/>
      <family val="1"/>
      <charset val="136"/>
    </font>
    <font>
      <sz val="10"/>
      <name val="Times New Roman"/>
      <family val="1"/>
    </font>
    <font>
      <sz val="13"/>
      <color indexed="10"/>
      <name val="Times New Roman"/>
      <family val="1"/>
    </font>
    <font>
      <sz val="13"/>
      <name val="標楷體"/>
      <family val="4"/>
      <charset val="136"/>
    </font>
    <font>
      <sz val="12"/>
      <color indexed="12"/>
      <name val="Times New Roman"/>
      <family val="1"/>
    </font>
    <font>
      <b/>
      <sz val="9"/>
      <name val="標楷體"/>
      <family val="4"/>
      <charset val="136"/>
    </font>
    <font>
      <sz val="9"/>
      <name val="Times New Roman"/>
      <family val="1"/>
    </font>
    <font>
      <sz val="9"/>
      <name val="標楷體"/>
      <family val="4"/>
      <charset val="136"/>
    </font>
    <font>
      <b/>
      <sz val="11"/>
      <name val="Times New Roman"/>
      <family val="1"/>
    </font>
    <font>
      <sz val="16"/>
      <name val="Times New Roman"/>
      <family val="1"/>
    </font>
    <font>
      <b/>
      <sz val="12"/>
      <color indexed="8"/>
      <name val="Times New Roman"/>
      <family val="1"/>
    </font>
    <font>
      <sz val="12"/>
      <color indexed="8"/>
      <name val="新細明體"/>
      <family val="1"/>
      <charset val="136"/>
    </font>
    <font>
      <sz val="12"/>
      <color indexed="9"/>
      <name val="新細明體"/>
      <family val="1"/>
      <charset val="136"/>
    </font>
    <font>
      <sz val="12"/>
      <color indexed="60"/>
      <name val="新細明體"/>
      <family val="1"/>
      <charset val="136"/>
    </font>
    <font>
      <sz val="12"/>
      <name val="Courier"/>
      <family val="3"/>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0"/>
      <name val="標楷體"/>
      <family val="4"/>
      <charset val="136"/>
    </font>
    <font>
      <b/>
      <sz val="10"/>
      <name val="Times New Roman"/>
      <family val="1"/>
    </font>
    <font>
      <sz val="7.5"/>
      <name val="標楷體"/>
      <family val="4"/>
      <charset val="136"/>
    </font>
    <font>
      <sz val="7.5"/>
      <name val="Times New Roman"/>
      <family val="1"/>
    </font>
    <font>
      <sz val="11.5"/>
      <name val="Times New Roman"/>
      <family val="1"/>
    </font>
    <font>
      <sz val="11.5"/>
      <name val="標楷體"/>
      <family val="4"/>
      <charset val="136"/>
    </font>
    <font>
      <sz val="10"/>
      <name val="Trebuchet MS"/>
      <family val="2"/>
    </font>
    <font>
      <sz val="9"/>
      <name val="微軟正黑體"/>
      <family val="1"/>
      <charset val="136"/>
    </font>
    <font>
      <sz val="10"/>
      <color indexed="64"/>
      <name val="Arial"/>
      <family val="2"/>
    </font>
    <font>
      <sz val="9"/>
      <color indexed="8"/>
      <name val="Eras Medium ITC"/>
      <family val="2"/>
    </font>
    <font>
      <sz val="10.5"/>
      <name val="標楷體"/>
      <family val="4"/>
      <charset val="136"/>
    </font>
    <font>
      <sz val="12"/>
      <color rgb="FFFF0000"/>
      <name val="Times New Roman"/>
      <family val="1"/>
    </font>
    <font>
      <sz val="10.5"/>
      <name val="Times New Roman"/>
      <family val="1"/>
    </font>
    <font>
      <sz val="10.6"/>
      <name val="標楷體"/>
      <family val="4"/>
      <charset val="136"/>
    </font>
    <font>
      <b/>
      <sz val="16"/>
      <name val="Times New Roman"/>
      <family val="1"/>
    </font>
    <font>
      <b/>
      <sz val="16"/>
      <name val="標楷體"/>
      <family val="4"/>
      <charset val="136"/>
    </font>
    <font>
      <sz val="9"/>
      <name val="細明體"/>
      <family val="3"/>
      <charset val="136"/>
    </font>
    <font>
      <b/>
      <sz val="10"/>
      <name val="標楷體"/>
      <family val="4"/>
      <charset val="136"/>
    </font>
    <font>
      <sz val="8"/>
      <name val="Times New Roman"/>
      <family val="1"/>
    </font>
    <font>
      <sz val="8"/>
      <name val="標楷體"/>
      <family val="4"/>
      <charset val="136"/>
    </font>
    <font>
      <b/>
      <sz val="10"/>
      <color indexed="8"/>
      <name val="Times New Roman"/>
      <family val="1"/>
    </font>
    <font>
      <b/>
      <sz val="9"/>
      <name val="Times New Roman"/>
      <family val="1"/>
    </font>
    <font>
      <b/>
      <sz val="9"/>
      <color indexed="81"/>
      <name val="Tahoma"/>
      <family val="2"/>
    </font>
    <font>
      <sz val="9"/>
      <color indexed="81"/>
      <name val="Tahoma"/>
      <family val="2"/>
    </font>
    <font>
      <sz val="9"/>
      <color indexed="81"/>
      <name val="細明體"/>
      <family val="3"/>
      <charset val="136"/>
    </font>
    <font>
      <b/>
      <sz val="8"/>
      <name val="標楷體"/>
      <family val="4"/>
      <charset val="136"/>
    </font>
    <font>
      <b/>
      <sz val="9"/>
      <color indexed="81"/>
      <name val="細明體"/>
      <family val="3"/>
      <charset val="136"/>
    </font>
    <font>
      <sz val="13"/>
      <name val="新細明體"/>
      <family val="1"/>
      <charset val="136"/>
    </font>
    <font>
      <sz val="10.6"/>
      <name val="Times New Roman"/>
      <family val="1"/>
    </font>
    <font>
      <sz val="16"/>
      <name val="細明體"/>
      <family val="3"/>
      <charset val="136"/>
    </font>
    <font>
      <sz val="12"/>
      <name val="細明體"/>
      <family val="3"/>
      <charset val="136"/>
    </font>
    <font>
      <b/>
      <sz val="12"/>
      <name val="細明體"/>
      <family val="3"/>
      <charset val="136"/>
    </font>
    <font>
      <b/>
      <sz val="12"/>
      <color theme="1"/>
      <name val="Times New Roman"/>
      <family val="1"/>
    </font>
    <font>
      <sz val="12"/>
      <color theme="1"/>
      <name val="Times New Roman"/>
      <family val="1"/>
    </font>
    <font>
      <sz val="10"/>
      <color indexed="24"/>
      <name val="Courier New"/>
      <family val="3"/>
    </font>
    <font>
      <sz val="8"/>
      <name val="Arial"/>
      <family val="2"/>
    </font>
    <font>
      <b/>
      <sz val="12"/>
      <name val="Arial"/>
      <family val="2"/>
    </font>
    <font>
      <b/>
      <sz val="12"/>
      <color indexed="24"/>
      <name val="Times New Roman"/>
      <family val="1"/>
    </font>
    <font>
      <sz val="10"/>
      <color indexed="24"/>
      <name val="Times New Roman"/>
      <family val="1"/>
    </font>
    <font>
      <sz val="7.5"/>
      <name val="Century Schoolbook"/>
      <family val="1"/>
    </font>
    <font>
      <sz val="10"/>
      <name val="Arial"/>
      <family val="2"/>
    </font>
    <font>
      <sz val="12"/>
      <name val="掉葡羹"/>
      <family val="1"/>
      <charset val="136"/>
    </font>
    <font>
      <sz val="9"/>
      <name val="微軟正黑體"/>
      <family val="2"/>
      <charset val="136"/>
    </font>
    <font>
      <sz val="12"/>
      <color theme="1"/>
      <name val="新細明體"/>
      <family val="1"/>
      <charset val="136"/>
      <scheme val="minor"/>
    </font>
    <font>
      <u/>
      <sz val="9"/>
      <color indexed="36"/>
      <name val="Times New Roman"/>
      <family val="1"/>
    </font>
    <font>
      <sz val="12"/>
      <name val="夥鰻羹"/>
      <family val="1"/>
      <charset val="136"/>
    </font>
    <font>
      <sz val="10"/>
      <name val="新細明體"/>
      <family val="1"/>
      <charset val="136"/>
    </font>
    <font>
      <i/>
      <sz val="12"/>
      <name val="Times New Roman"/>
      <family val="1"/>
    </font>
    <font>
      <sz val="9"/>
      <name val="新細明體"/>
      <family val="2"/>
      <charset val="136"/>
      <scheme val="minor"/>
    </font>
    <font>
      <b/>
      <i/>
      <sz val="12"/>
      <name val="Times New Roman"/>
      <family val="1"/>
    </font>
    <font>
      <sz val="13"/>
      <name val="細明體"/>
      <family val="3"/>
      <charset val="136"/>
    </font>
    <font>
      <sz val="11"/>
      <name val="Lucida Sans Unicode"/>
      <family val="2"/>
    </font>
    <font>
      <sz val="12"/>
      <color theme="1"/>
      <name val="標楷體"/>
      <family val="4"/>
      <charset val="136"/>
    </font>
    <font>
      <sz val="11"/>
      <color indexed="8"/>
      <name val="標楷體"/>
      <family val="4"/>
      <charset val="136"/>
    </font>
    <font>
      <sz val="11"/>
      <color theme="1"/>
      <name val="標楷體"/>
      <family val="4"/>
      <charset val="136"/>
    </font>
    <font>
      <sz val="10"/>
      <color theme="1"/>
      <name val="標楷體"/>
      <family val="4"/>
      <charset val="136"/>
    </font>
    <font>
      <sz val="10"/>
      <color indexed="8"/>
      <name val="標楷體"/>
      <family val="4"/>
      <charset val="136"/>
    </font>
    <font>
      <sz val="10"/>
      <color indexed="8"/>
      <name val="Times New Roman"/>
      <family val="1"/>
    </font>
    <font>
      <sz val="10"/>
      <color theme="1"/>
      <name val="Times New Roman"/>
      <family val="1"/>
    </font>
    <font>
      <sz val="12"/>
      <name val="標楷體"/>
      <family val="1"/>
      <charset val="136"/>
    </font>
    <font>
      <sz val="16"/>
      <color rgb="FFFF0000"/>
      <name val="Times New Roman"/>
      <family val="1"/>
    </font>
    <font>
      <b/>
      <sz val="12"/>
      <color theme="1"/>
      <name val="標楷體"/>
      <family val="4"/>
      <charset val="136"/>
    </font>
    <font>
      <sz val="10"/>
      <name val="標楷體"/>
      <family val="1"/>
      <charset val="136"/>
    </font>
    <font>
      <sz val="12"/>
      <name val="Times New Roman"/>
      <family val="4"/>
      <charset val="136"/>
    </font>
    <font>
      <u/>
      <sz val="16"/>
      <name val="Times New Roman"/>
      <family val="4"/>
      <charset val="136"/>
    </font>
    <font>
      <sz val="18"/>
      <name val="Times New Roman"/>
      <family val="4"/>
      <charset val="136"/>
    </font>
    <font>
      <sz val="12"/>
      <name val="Times New Roman"/>
      <family val="4"/>
    </font>
    <font>
      <sz val="10"/>
      <color rgb="FF000000"/>
      <name val="標楷體"/>
      <family val="1"/>
      <charset val="136"/>
    </font>
    <font>
      <sz val="11.5"/>
      <name val="Times New Roman"/>
      <family val="4"/>
      <charset val="136"/>
    </font>
    <font>
      <sz val="13"/>
      <name val="Times New Roman"/>
      <family val="4"/>
      <charset val="136"/>
    </font>
    <font>
      <sz val="12"/>
      <color theme="1"/>
      <name val="Times New Roman"/>
      <family val="4"/>
      <charset val="136"/>
    </font>
    <font>
      <sz val="36"/>
      <name val="標楷體"/>
      <family val="4"/>
      <charset val="136"/>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2"/>
        <bgColor indexed="64"/>
      </patternFill>
    </fill>
    <fill>
      <patternFill patternType="solid">
        <fgColor rgb="FFFFFF00"/>
        <bgColor indexed="64"/>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theme="0"/>
        <bgColor indexed="64"/>
      </patternFill>
    </fill>
  </fills>
  <borders count="73">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style="medium">
        <color indexed="64"/>
      </left>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right/>
      <top/>
      <bottom style="medium">
        <color indexed="64"/>
      </bottom>
      <diagonal/>
    </border>
    <border>
      <left/>
      <right/>
      <top style="thin">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diagonalDown="1">
      <left style="medium">
        <color indexed="64"/>
      </left>
      <right style="thin">
        <color indexed="64"/>
      </right>
      <top style="medium">
        <color indexed="64"/>
      </top>
      <bottom style="thin">
        <color indexed="64"/>
      </bottom>
      <diagonal style="thin">
        <color indexed="64"/>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right style="dotted">
        <color indexed="64"/>
      </right>
      <top/>
      <bottom/>
      <diagonal/>
    </border>
    <border>
      <left/>
      <right/>
      <top style="double">
        <color indexed="64"/>
      </top>
      <bottom/>
      <diagonal/>
    </border>
  </borders>
  <cellStyleXfs count="223">
    <xf numFmtId="0" fontId="0" fillId="0" borderId="0">
      <alignment vertical="center"/>
    </xf>
    <xf numFmtId="0" fontId="38" fillId="2" borderId="0" applyNumberFormat="0" applyBorder="0" applyAlignment="0" applyProtection="0">
      <alignment vertical="center"/>
    </xf>
    <xf numFmtId="0" fontId="38" fillId="3" borderId="0" applyNumberFormat="0" applyBorder="0" applyAlignment="0" applyProtection="0">
      <alignment vertical="center"/>
    </xf>
    <xf numFmtId="0" fontId="38" fillId="4" borderId="0" applyNumberFormat="0" applyBorder="0" applyAlignment="0" applyProtection="0">
      <alignment vertical="center"/>
    </xf>
    <xf numFmtId="0" fontId="38" fillId="5" borderId="0" applyNumberFormat="0" applyBorder="0" applyAlignment="0" applyProtection="0">
      <alignment vertical="center"/>
    </xf>
    <xf numFmtId="0" fontId="38" fillId="6" borderId="0" applyNumberFormat="0" applyBorder="0" applyAlignment="0" applyProtection="0">
      <alignment vertical="center"/>
    </xf>
    <xf numFmtId="0" fontId="38" fillId="7" borderId="0" applyNumberFormat="0" applyBorder="0" applyAlignment="0" applyProtection="0">
      <alignment vertical="center"/>
    </xf>
    <xf numFmtId="0" fontId="38" fillId="8" borderId="0" applyNumberFormat="0" applyBorder="0" applyAlignment="0" applyProtection="0">
      <alignment vertical="center"/>
    </xf>
    <xf numFmtId="0" fontId="38" fillId="9" borderId="0" applyNumberFormat="0" applyBorder="0" applyAlignment="0" applyProtection="0">
      <alignment vertical="center"/>
    </xf>
    <xf numFmtId="0" fontId="38" fillId="10" borderId="0" applyNumberFormat="0" applyBorder="0" applyAlignment="0" applyProtection="0">
      <alignment vertical="center"/>
    </xf>
    <xf numFmtId="0" fontId="38" fillId="5" borderId="0" applyNumberFormat="0" applyBorder="0" applyAlignment="0" applyProtection="0">
      <alignment vertical="center"/>
    </xf>
    <xf numFmtId="0" fontId="38" fillId="8" borderId="0" applyNumberFormat="0" applyBorder="0" applyAlignment="0" applyProtection="0">
      <alignment vertical="center"/>
    </xf>
    <xf numFmtId="0" fontId="38" fillId="11" borderId="0" applyNumberFormat="0" applyBorder="0" applyAlignment="0" applyProtection="0">
      <alignment vertical="center"/>
    </xf>
    <xf numFmtId="0" fontId="39" fillId="12" borderId="0" applyNumberFormat="0" applyBorder="0" applyAlignment="0" applyProtection="0">
      <alignment vertical="center"/>
    </xf>
    <xf numFmtId="0" fontId="39" fillId="9" borderId="0" applyNumberFormat="0" applyBorder="0" applyAlignment="0" applyProtection="0">
      <alignment vertical="center"/>
    </xf>
    <xf numFmtId="0" fontId="39" fillId="10" borderId="0" applyNumberFormat="0" applyBorder="0" applyAlignment="0" applyProtection="0">
      <alignment vertical="center"/>
    </xf>
    <xf numFmtId="0" fontId="39" fillId="13" borderId="0" applyNumberFormat="0" applyBorder="0" applyAlignment="0" applyProtection="0">
      <alignment vertical="center"/>
    </xf>
    <xf numFmtId="0" fontId="39" fillId="14" borderId="0" applyNumberFormat="0" applyBorder="0" applyAlignment="0" applyProtection="0">
      <alignment vertical="center"/>
    </xf>
    <xf numFmtId="0" fontId="39" fillId="15" borderId="0" applyNumberFormat="0" applyBorder="0" applyAlignment="0" applyProtection="0">
      <alignment vertical="center"/>
    </xf>
    <xf numFmtId="186" fontId="25" fillId="0" borderId="0" applyFont="0" applyFill="0" applyBorder="0" applyAlignment="0" applyProtection="0"/>
    <xf numFmtId="0" fontId="22" fillId="0" borderId="0" applyFont="0"/>
    <xf numFmtId="43" fontId="4" fillId="0" borderId="0" applyFont="0" applyFill="0" applyBorder="0" applyAlignment="0" applyProtection="0">
      <alignment vertical="center"/>
    </xf>
    <xf numFmtId="0" fontId="40" fillId="16" borderId="0" applyNumberFormat="0" applyBorder="0" applyAlignment="0" applyProtection="0">
      <alignment vertical="center"/>
    </xf>
    <xf numFmtId="0" fontId="41" fillId="0" borderId="0"/>
    <xf numFmtId="0" fontId="42" fillId="0" borderId="1" applyNumberFormat="0" applyFill="0" applyAlignment="0" applyProtection="0">
      <alignment vertical="center"/>
    </xf>
    <xf numFmtId="0" fontId="43" fillId="4" borderId="0" applyNumberFormat="0" applyBorder="0" applyAlignment="0" applyProtection="0">
      <alignment vertical="center"/>
    </xf>
    <xf numFmtId="9" fontId="4" fillId="0" borderId="0" applyFont="0" applyFill="0" applyBorder="0" applyAlignment="0" applyProtection="0">
      <alignment vertical="center"/>
    </xf>
    <xf numFmtId="0" fontId="44" fillId="17" borderId="2" applyNumberFormat="0" applyAlignment="0" applyProtection="0">
      <alignment vertical="center"/>
    </xf>
    <xf numFmtId="0" fontId="45" fillId="0" borderId="3" applyNumberFormat="0" applyFill="0" applyAlignment="0" applyProtection="0">
      <alignment vertical="center"/>
    </xf>
    <xf numFmtId="0" fontId="38" fillId="18" borderId="4" applyNumberFormat="0" applyFont="0" applyAlignment="0" applyProtection="0">
      <alignment vertical="center"/>
    </xf>
    <xf numFmtId="0" fontId="46" fillId="0" borderId="0" applyNumberFormat="0" applyFill="0" applyBorder="0" applyAlignment="0" applyProtection="0">
      <alignment vertical="center"/>
    </xf>
    <xf numFmtId="0" fontId="39" fillId="19" borderId="0" applyNumberFormat="0" applyBorder="0" applyAlignment="0" applyProtection="0">
      <alignment vertical="center"/>
    </xf>
    <xf numFmtId="0" fontId="39" fillId="20" borderId="0" applyNumberFormat="0" applyBorder="0" applyAlignment="0" applyProtection="0">
      <alignment vertical="center"/>
    </xf>
    <xf numFmtId="0" fontId="39" fillId="21" borderId="0" applyNumberFormat="0" applyBorder="0" applyAlignment="0" applyProtection="0">
      <alignment vertical="center"/>
    </xf>
    <xf numFmtId="0" fontId="39" fillId="13" borderId="0" applyNumberFormat="0" applyBorder="0" applyAlignment="0" applyProtection="0">
      <alignment vertical="center"/>
    </xf>
    <xf numFmtId="0" fontId="39" fillId="14" borderId="0" applyNumberFormat="0" applyBorder="0" applyAlignment="0" applyProtection="0">
      <alignment vertical="center"/>
    </xf>
    <xf numFmtId="0" fontId="39" fillId="22" borderId="0" applyNumberFormat="0" applyBorder="0" applyAlignment="0" applyProtection="0">
      <alignment vertical="center"/>
    </xf>
    <xf numFmtId="0" fontId="47" fillId="0" borderId="0" applyNumberFormat="0" applyFill="0" applyBorder="0" applyAlignment="0" applyProtection="0">
      <alignment vertical="center"/>
    </xf>
    <xf numFmtId="0" fontId="48" fillId="0" borderId="5" applyNumberFormat="0" applyFill="0" applyAlignment="0" applyProtection="0">
      <alignment vertical="center"/>
    </xf>
    <xf numFmtId="0" fontId="49" fillId="0" borderId="6" applyNumberFormat="0" applyFill="0" applyAlignment="0" applyProtection="0">
      <alignment vertical="center"/>
    </xf>
    <xf numFmtId="0" fontId="50" fillId="0" borderId="7" applyNumberFormat="0" applyFill="0" applyAlignment="0" applyProtection="0">
      <alignment vertical="center"/>
    </xf>
    <xf numFmtId="0" fontId="50" fillId="0" borderId="0" applyNumberFormat="0" applyFill="0" applyBorder="0" applyAlignment="0" applyProtection="0">
      <alignment vertical="center"/>
    </xf>
    <xf numFmtId="0" fontId="51" fillId="7" borderId="2" applyNumberFormat="0" applyAlignment="0" applyProtection="0">
      <alignment vertical="center"/>
    </xf>
    <xf numFmtId="0" fontId="52" fillId="17" borderId="8" applyNumberFormat="0" applyAlignment="0" applyProtection="0">
      <alignment vertical="center"/>
    </xf>
    <xf numFmtId="0" fontId="53" fillId="23" borderId="9" applyNumberFormat="0" applyAlignment="0" applyProtection="0">
      <alignment vertical="center"/>
    </xf>
    <xf numFmtId="0" fontId="54" fillId="3" borderId="0" applyNumberFormat="0" applyBorder="0" applyAlignment="0" applyProtection="0">
      <alignment vertical="center"/>
    </xf>
    <xf numFmtId="0" fontId="55" fillId="0" borderId="0" applyNumberFormat="0" applyFill="0" applyBorder="0" applyAlignment="0" applyProtection="0">
      <alignment vertical="center"/>
    </xf>
    <xf numFmtId="0" fontId="62" fillId="0" borderId="0">
      <alignment horizontal="left" vertical="center"/>
    </xf>
    <xf numFmtId="0" fontId="38" fillId="2" borderId="0" applyNumberFormat="0" applyBorder="0" applyAlignment="0" applyProtection="0">
      <alignment vertical="center"/>
    </xf>
    <xf numFmtId="0" fontId="38" fillId="3" borderId="0" applyNumberFormat="0" applyBorder="0" applyAlignment="0" applyProtection="0">
      <alignment vertical="center"/>
    </xf>
    <xf numFmtId="0" fontId="38" fillId="4" borderId="0" applyNumberFormat="0" applyBorder="0" applyAlignment="0" applyProtection="0">
      <alignment vertical="center"/>
    </xf>
    <xf numFmtId="0" fontId="38" fillId="5" borderId="0" applyNumberFormat="0" applyBorder="0" applyAlignment="0" applyProtection="0">
      <alignment vertical="center"/>
    </xf>
    <xf numFmtId="0" fontId="38" fillId="6" borderId="0" applyNumberFormat="0" applyBorder="0" applyAlignment="0" applyProtection="0">
      <alignment vertical="center"/>
    </xf>
    <xf numFmtId="0" fontId="38" fillId="7" borderId="0" applyNumberFormat="0" applyBorder="0" applyAlignment="0" applyProtection="0">
      <alignment vertical="center"/>
    </xf>
    <xf numFmtId="0" fontId="38" fillId="8" borderId="0" applyNumberFormat="0" applyBorder="0" applyAlignment="0" applyProtection="0">
      <alignment vertical="center"/>
    </xf>
    <xf numFmtId="0" fontId="38" fillId="9" borderId="0" applyNumberFormat="0" applyBorder="0" applyAlignment="0" applyProtection="0">
      <alignment vertical="center"/>
    </xf>
    <xf numFmtId="0" fontId="38" fillId="10" borderId="0" applyNumberFormat="0" applyBorder="0" applyAlignment="0" applyProtection="0">
      <alignment vertical="center"/>
    </xf>
    <xf numFmtId="0" fontId="38" fillId="5" borderId="0" applyNumberFormat="0" applyBorder="0" applyAlignment="0" applyProtection="0">
      <alignment vertical="center"/>
    </xf>
    <xf numFmtId="0" fontId="38" fillId="8" borderId="0" applyNumberFormat="0" applyBorder="0" applyAlignment="0" applyProtection="0">
      <alignment vertical="center"/>
    </xf>
    <xf numFmtId="0" fontId="38" fillId="11" borderId="0" applyNumberFormat="0" applyBorder="0" applyAlignment="0" applyProtection="0">
      <alignment vertical="center"/>
    </xf>
    <xf numFmtId="0" fontId="39" fillId="12" borderId="0" applyNumberFormat="0" applyBorder="0" applyAlignment="0" applyProtection="0">
      <alignment vertical="center"/>
    </xf>
    <xf numFmtId="0" fontId="39" fillId="9" borderId="0" applyNumberFormat="0" applyBorder="0" applyAlignment="0" applyProtection="0">
      <alignment vertical="center"/>
    </xf>
    <xf numFmtId="0" fontId="39" fillId="10" borderId="0" applyNumberFormat="0" applyBorder="0" applyAlignment="0" applyProtection="0">
      <alignment vertical="center"/>
    </xf>
    <xf numFmtId="0" fontId="39" fillId="13" borderId="0" applyNumberFormat="0" applyBorder="0" applyAlignment="0" applyProtection="0">
      <alignment vertical="center"/>
    </xf>
    <xf numFmtId="0" fontId="39" fillId="14" borderId="0" applyNumberFormat="0" applyBorder="0" applyAlignment="0" applyProtection="0">
      <alignment vertical="center"/>
    </xf>
    <xf numFmtId="0" fontId="39" fillId="15" borderId="0" applyNumberFormat="0" applyBorder="0" applyAlignment="0" applyProtection="0">
      <alignment vertical="center"/>
    </xf>
    <xf numFmtId="0" fontId="63" fillId="0" borderId="0"/>
    <xf numFmtId="0" fontId="4" fillId="0" borderId="0">
      <alignment vertical="center"/>
    </xf>
    <xf numFmtId="0" fontId="63" fillId="0" borderId="0"/>
    <xf numFmtId="0" fontId="9" fillId="0" borderId="0">
      <alignment vertical="center"/>
    </xf>
    <xf numFmtId="0" fontId="38" fillId="0" borderId="0">
      <alignment vertical="center"/>
    </xf>
    <xf numFmtId="0" fontId="4" fillId="0" borderId="0"/>
    <xf numFmtId="0" fontId="9" fillId="0" borderId="0">
      <alignment vertical="center"/>
    </xf>
    <xf numFmtId="0" fontId="64" fillId="0" borderId="0"/>
    <xf numFmtId="0" fontId="9" fillId="0" borderId="0">
      <alignment vertical="center"/>
    </xf>
    <xf numFmtId="0" fontId="9" fillId="0" borderId="0">
      <alignment vertical="center"/>
    </xf>
    <xf numFmtId="43" fontId="25" fillId="0" borderId="0" applyFont="0" applyFill="0" applyBorder="0" applyAlignment="0" applyProtection="0"/>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25" fillId="0" borderId="0" applyFont="0" applyFill="0" applyBorder="0" applyAlignment="0" applyProtection="0"/>
    <xf numFmtId="43" fontId="4" fillId="0" borderId="0" applyFont="0" applyFill="0" applyBorder="0" applyAlignment="0" applyProtection="0">
      <alignment vertical="center"/>
    </xf>
    <xf numFmtId="43" fontId="9" fillId="0" borderId="0" applyFont="0" applyFill="0" applyBorder="0" applyAlignment="0" applyProtection="0">
      <alignment vertical="center"/>
    </xf>
    <xf numFmtId="43" fontId="4" fillId="0" borderId="0" applyFont="0" applyFill="0" applyBorder="0" applyAlignment="0" applyProtection="0"/>
    <xf numFmtId="41" fontId="65" fillId="0" borderId="0" applyFont="0" applyFill="0" applyBorder="0" applyAlignment="0" applyProtection="0">
      <alignment vertical="center"/>
    </xf>
    <xf numFmtId="41" fontId="4" fillId="0" borderId="0" applyFont="0" applyFill="0" applyBorder="0" applyAlignment="0" applyProtection="0">
      <alignment vertical="center"/>
    </xf>
    <xf numFmtId="0" fontId="40" fillId="16" borderId="0" applyNumberFormat="0" applyBorder="0" applyAlignment="0" applyProtection="0">
      <alignment vertical="center"/>
    </xf>
    <xf numFmtId="0" fontId="42" fillId="0" borderId="1" applyNumberFormat="0" applyFill="0" applyAlignment="0" applyProtection="0">
      <alignment vertical="center"/>
    </xf>
    <xf numFmtId="0" fontId="43" fillId="4" borderId="0" applyNumberFormat="0" applyBorder="0" applyAlignment="0" applyProtection="0">
      <alignment vertical="center"/>
    </xf>
    <xf numFmtId="9" fontId="4" fillId="0" borderId="0" applyFont="0" applyFill="0" applyBorder="0" applyAlignment="0" applyProtection="0">
      <alignment vertical="center"/>
    </xf>
    <xf numFmtId="9" fontId="9" fillId="0" borderId="0" applyFont="0" applyFill="0" applyBorder="0" applyAlignment="0" applyProtection="0">
      <alignment vertical="center"/>
    </xf>
    <xf numFmtId="0" fontId="44" fillId="17" borderId="2" applyNumberFormat="0" applyAlignment="0" applyProtection="0">
      <alignment vertical="center"/>
    </xf>
    <xf numFmtId="0" fontId="45" fillId="0" borderId="3" applyNumberFormat="0" applyFill="0" applyAlignment="0" applyProtection="0">
      <alignment vertical="center"/>
    </xf>
    <xf numFmtId="0" fontId="4" fillId="18" borderId="4" applyNumberFormat="0" applyFont="0" applyAlignment="0" applyProtection="0">
      <alignment vertical="center"/>
    </xf>
    <xf numFmtId="0" fontId="46" fillId="0" borderId="0" applyNumberFormat="0" applyFill="0" applyBorder="0" applyAlignment="0" applyProtection="0">
      <alignment vertical="center"/>
    </xf>
    <xf numFmtId="0" fontId="39" fillId="19" borderId="0" applyNumberFormat="0" applyBorder="0" applyAlignment="0" applyProtection="0">
      <alignment vertical="center"/>
    </xf>
    <xf numFmtId="0" fontId="39" fillId="20" borderId="0" applyNumberFormat="0" applyBorder="0" applyAlignment="0" applyProtection="0">
      <alignment vertical="center"/>
    </xf>
    <xf numFmtId="0" fontId="39" fillId="21" borderId="0" applyNumberFormat="0" applyBorder="0" applyAlignment="0" applyProtection="0">
      <alignment vertical="center"/>
    </xf>
    <xf numFmtId="0" fontId="39" fillId="13" borderId="0" applyNumberFormat="0" applyBorder="0" applyAlignment="0" applyProtection="0">
      <alignment vertical="center"/>
    </xf>
    <xf numFmtId="0" fontId="39" fillId="14" borderId="0" applyNumberFormat="0" applyBorder="0" applyAlignment="0" applyProtection="0">
      <alignment vertical="center"/>
    </xf>
    <xf numFmtId="0" fontId="39" fillId="22" borderId="0" applyNumberFormat="0" applyBorder="0" applyAlignment="0" applyProtection="0">
      <alignment vertical="center"/>
    </xf>
    <xf numFmtId="0" fontId="48" fillId="0" borderId="5" applyNumberFormat="0" applyFill="0" applyAlignment="0" applyProtection="0">
      <alignment vertical="center"/>
    </xf>
    <xf numFmtId="0" fontId="49" fillId="0" borderId="6" applyNumberFormat="0" applyFill="0" applyAlignment="0" applyProtection="0">
      <alignment vertical="center"/>
    </xf>
    <xf numFmtId="0" fontId="50" fillId="0" borderId="7" applyNumberFormat="0" applyFill="0" applyAlignment="0" applyProtection="0">
      <alignment vertical="center"/>
    </xf>
    <xf numFmtId="0" fontId="50"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62" fillId="0" borderId="0">
      <alignment horizontal="left" vertical="center"/>
    </xf>
    <xf numFmtId="0" fontId="51" fillId="7" borderId="2" applyNumberFormat="0" applyAlignment="0" applyProtection="0">
      <alignment vertical="center"/>
    </xf>
    <xf numFmtId="0" fontId="52" fillId="17" borderId="8" applyNumberFormat="0" applyAlignment="0" applyProtection="0">
      <alignment vertical="center"/>
    </xf>
    <xf numFmtId="0" fontId="53" fillId="23" borderId="9" applyNumberFormat="0" applyAlignment="0" applyProtection="0">
      <alignment vertical="center"/>
    </xf>
    <xf numFmtId="0" fontId="54" fillId="3" borderId="0" applyNumberFormat="0" applyBorder="0" applyAlignment="0" applyProtection="0">
      <alignment vertical="center"/>
    </xf>
    <xf numFmtId="0" fontId="55" fillId="0" borderId="0" applyNumberFormat="0" applyFill="0" applyBorder="0" applyAlignment="0" applyProtection="0">
      <alignment vertical="center"/>
    </xf>
    <xf numFmtId="0" fontId="22" fillId="0" borderId="0" applyFont="0"/>
    <xf numFmtId="0" fontId="22" fillId="0" borderId="0" applyFont="0"/>
    <xf numFmtId="0" fontId="22" fillId="0" borderId="0" applyFont="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3" fillId="0" borderId="0"/>
    <xf numFmtId="0" fontId="13" fillId="0" borderId="0"/>
    <xf numFmtId="0" fontId="9" fillId="0" borderId="0"/>
    <xf numFmtId="0" fontId="13" fillId="0" borderId="0"/>
    <xf numFmtId="0" fontId="9" fillId="0" borderId="0"/>
    <xf numFmtId="0" fontId="9" fillId="0" borderId="0"/>
    <xf numFmtId="0" fontId="9" fillId="0" borderId="0"/>
    <xf numFmtId="0" fontId="9" fillId="0" borderId="0"/>
    <xf numFmtId="0" fontId="13" fillId="0" borderId="0"/>
    <xf numFmtId="0" fontId="9" fillId="0" borderId="0"/>
    <xf numFmtId="0" fontId="9" fillId="0" borderId="0"/>
    <xf numFmtId="0" fontId="9" fillId="0" borderId="0"/>
    <xf numFmtId="3" fontId="90" fillId="0" borderId="0" applyFont="0" applyFill="0" applyBorder="0" applyAlignment="0" applyProtection="0"/>
    <xf numFmtId="190" fontId="90" fillId="0" borderId="0" applyFont="0" applyFill="0" applyBorder="0" applyAlignment="0" applyProtection="0"/>
    <xf numFmtId="0" fontId="90" fillId="0" borderId="0" applyFont="0" applyFill="0" applyBorder="0" applyAlignment="0" applyProtection="0"/>
    <xf numFmtId="38" fontId="23" fillId="0" borderId="0" applyBorder="0" applyAlignment="0"/>
    <xf numFmtId="2" fontId="90" fillId="0" borderId="0" applyFont="0" applyFill="0" applyBorder="0" applyAlignment="0" applyProtection="0"/>
    <xf numFmtId="38" fontId="91" fillId="26" borderId="0" applyNumberFormat="0" applyBorder="0" applyAlignment="0" applyProtection="0"/>
    <xf numFmtId="0" fontId="70" fillId="0" borderId="0"/>
    <xf numFmtId="0" fontId="92" fillId="0" borderId="69" applyNumberFormat="0" applyAlignment="0" applyProtection="0">
      <alignment horizontal="left" vertical="center"/>
    </xf>
    <xf numFmtId="0" fontId="92" fillId="0" borderId="70">
      <alignment horizontal="left" vertical="center"/>
    </xf>
    <xf numFmtId="0" fontId="93" fillId="0" borderId="0" applyNumberFormat="0" applyFill="0" applyBorder="0" applyAlignment="0" applyProtection="0"/>
    <xf numFmtId="0" fontId="94" fillId="0" borderId="0" applyNumberFormat="0" applyFill="0" applyBorder="0" applyAlignment="0" applyProtection="0"/>
    <xf numFmtId="10" fontId="91" fillId="27" borderId="28" applyNumberFormat="0" applyBorder="0" applyAlignment="0" applyProtection="0"/>
    <xf numFmtId="0" fontId="4" fillId="0" borderId="0" applyNumberFormat="0" applyFill="0" applyBorder="0">
      <alignment horizontal="center" vertical="center"/>
    </xf>
    <xf numFmtId="191" fontId="95" fillId="0" borderId="71" applyFill="0" applyBorder="0" applyProtection="0">
      <alignment horizontal="right" vertical="center"/>
    </xf>
    <xf numFmtId="192" fontId="95" fillId="0" borderId="0" applyFill="0" applyBorder="0" applyProtection="0">
      <alignment horizontal="right" vertical="center"/>
    </xf>
    <xf numFmtId="0" fontId="96" fillId="0" borderId="0"/>
    <xf numFmtId="0" fontId="28" fillId="0" borderId="0"/>
    <xf numFmtId="10" fontId="96" fillId="0" borderId="0" applyFont="0" applyFill="0" applyBorder="0" applyAlignment="0" applyProtection="0"/>
    <xf numFmtId="0" fontId="9" fillId="0" borderId="0">
      <alignment vertical="center"/>
    </xf>
    <xf numFmtId="0" fontId="90" fillId="0" borderId="72" applyNumberFormat="0" applyFont="0" applyFill="0" applyAlignment="0" applyProtection="0"/>
    <xf numFmtId="0" fontId="97" fillId="0" borderId="0"/>
    <xf numFmtId="0" fontId="3" fillId="0" borderId="0">
      <alignment vertical="center"/>
    </xf>
    <xf numFmtId="0" fontId="4" fillId="0" borderId="0">
      <alignment vertical="center"/>
    </xf>
    <xf numFmtId="0" fontId="98" fillId="0" borderId="0"/>
    <xf numFmtId="0" fontId="9" fillId="0" borderId="0">
      <alignment vertical="center"/>
    </xf>
    <xf numFmtId="0" fontId="4" fillId="0" borderId="0">
      <alignment vertical="center"/>
    </xf>
    <xf numFmtId="0" fontId="4" fillId="0" borderId="0">
      <alignment vertical="center"/>
    </xf>
    <xf numFmtId="0" fontId="4" fillId="0" borderId="0">
      <alignment vertical="center"/>
    </xf>
    <xf numFmtId="0" fontId="9" fillId="0" borderId="0">
      <alignment vertical="center"/>
    </xf>
    <xf numFmtId="0" fontId="9" fillId="0" borderId="0">
      <alignment vertical="center"/>
    </xf>
    <xf numFmtId="0" fontId="9" fillId="0" borderId="0">
      <alignment vertical="center"/>
    </xf>
    <xf numFmtId="0" fontId="86" fillId="0" borderId="0"/>
    <xf numFmtId="0" fontId="4" fillId="0" borderId="0"/>
    <xf numFmtId="0" fontId="4" fillId="0" borderId="0"/>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99"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25" fillId="0" borderId="0" applyFont="0" applyFill="0" applyBorder="0" applyAlignment="0" applyProtection="0"/>
    <xf numFmtId="43" fontId="25" fillId="0" borderId="0" applyFont="0" applyFill="0" applyBorder="0" applyAlignment="0" applyProtection="0"/>
    <xf numFmtId="43" fontId="4" fillId="0" borderId="0" applyFont="0" applyFill="0" applyBorder="0" applyAlignment="0" applyProtection="0">
      <alignment vertical="center"/>
    </xf>
    <xf numFmtId="43" fontId="9" fillId="0" borderId="0" applyFont="0" applyFill="0" applyBorder="0" applyAlignment="0" applyProtection="0">
      <alignment vertical="center"/>
    </xf>
    <xf numFmtId="43" fontId="4" fillId="0" borderId="0" applyFont="0" applyFill="0" applyBorder="0" applyAlignment="0" applyProtection="0"/>
    <xf numFmtId="43" fontId="4" fillId="0" borderId="0" applyFont="0" applyFill="0" applyBorder="0" applyAlignment="0" applyProtection="0">
      <alignment vertical="center"/>
    </xf>
    <xf numFmtId="41" fontId="65" fillId="0" borderId="0" applyFont="0" applyFill="0" applyBorder="0" applyAlignment="0" applyProtection="0">
      <alignment vertical="center"/>
    </xf>
    <xf numFmtId="41" fontId="4" fillId="0" borderId="0" applyFont="0" applyFill="0" applyBorder="0" applyAlignment="0" applyProtection="0">
      <alignment vertical="center"/>
    </xf>
    <xf numFmtId="0" fontId="9" fillId="0" borderId="0" applyNumberFormat="0">
      <alignment horizontal="centerContinuous" vertical="center"/>
    </xf>
    <xf numFmtId="193" fontId="96" fillId="0" borderId="0" applyFont="0" applyFill="0" applyBorder="0" applyAlignment="0" applyProtection="0"/>
    <xf numFmtId="194" fontId="96" fillId="0" borderId="0" applyFont="0" applyFill="0" applyBorder="0" applyAlignment="0" applyProtection="0"/>
    <xf numFmtId="44" fontId="4" fillId="0" borderId="0" applyFont="0" applyFill="0" applyBorder="0" applyAlignment="0" applyProtection="0">
      <alignment vertical="center"/>
    </xf>
    <xf numFmtId="195" fontId="9" fillId="0" borderId="0" applyFont="0" applyFill="0" applyBorder="0" applyAlignment="0" applyProtection="0"/>
    <xf numFmtId="42" fontId="9" fillId="0" borderId="0" applyFont="0" applyFill="0" applyBorder="0" applyAlignment="0" applyProtection="0"/>
    <xf numFmtId="42" fontId="9" fillId="0" borderId="0" applyFont="0" applyFill="0" applyBorder="0" applyAlignment="0" applyProtection="0"/>
    <xf numFmtId="44" fontId="96" fillId="0" borderId="0" applyFont="0" applyFill="0" applyBorder="0" applyAlignment="0" applyProtection="0"/>
    <xf numFmtId="42" fontId="96" fillId="0" borderId="0" applyFont="0" applyFill="0" applyBorder="0" applyAlignment="0" applyProtection="0"/>
    <xf numFmtId="0" fontId="96" fillId="0" borderId="0"/>
    <xf numFmtId="0" fontId="100" fillId="0" borderId="0" applyNumberFormat="0" applyFill="0" applyBorder="0" applyAlignment="0" applyProtection="0">
      <alignment vertical="top"/>
      <protection locked="0"/>
    </xf>
    <xf numFmtId="196" fontId="101" fillId="0" borderId="0" applyFont="0" applyFill="0" applyBorder="0" applyAlignment="0" applyProtection="0"/>
    <xf numFmtId="197" fontId="101" fillId="0" borderId="0" applyFont="0" applyFill="0" applyBorder="0" applyAlignment="0" applyProtection="0"/>
    <xf numFmtId="198" fontId="101" fillId="0" borderId="0" applyFont="0" applyFill="0" applyBorder="0" applyAlignment="0" applyProtection="0"/>
    <xf numFmtId="199" fontId="101" fillId="0" borderId="0" applyFont="0" applyFill="0" applyBorder="0" applyAlignment="0" applyProtection="0"/>
    <xf numFmtId="0" fontId="2" fillId="0" borderId="0">
      <alignment vertical="center"/>
    </xf>
    <xf numFmtId="43" fontId="2" fillId="0" borderId="0" applyFont="0" applyFill="0" applyBorder="0" applyAlignment="0" applyProtection="0">
      <alignment vertical="center"/>
    </xf>
    <xf numFmtId="0" fontId="4" fillId="0" borderId="0"/>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0" fontId="1" fillId="0" borderId="0">
      <alignment vertical="center"/>
    </xf>
    <xf numFmtId="43" fontId="1" fillId="0" borderId="0" applyFont="0" applyFill="0" applyBorder="0" applyAlignment="0" applyProtection="0">
      <alignment vertical="center"/>
    </xf>
    <xf numFmtId="0" fontId="9" fillId="0" borderId="0"/>
  </cellStyleXfs>
  <cellXfs count="1620">
    <xf numFmtId="0" fontId="0" fillId="0" borderId="0" xfId="0">
      <alignment vertical="center"/>
    </xf>
    <xf numFmtId="0" fontId="8" fillId="0" borderId="0" xfId="0" applyFont="1" applyFill="1" applyAlignment="1">
      <alignment vertical="center"/>
    </xf>
    <xf numFmtId="0" fontId="9" fillId="0" borderId="0" xfId="0" applyFont="1" applyFill="1">
      <alignment vertical="center"/>
    </xf>
    <xf numFmtId="0" fontId="12" fillId="0" borderId="0" xfId="0" applyFont="1" applyFill="1" applyAlignment="1">
      <alignment vertical="center"/>
    </xf>
    <xf numFmtId="0" fontId="9" fillId="0" borderId="0" xfId="0" applyFont="1" applyFill="1" applyBorder="1" applyAlignment="1">
      <alignment vertical="center"/>
    </xf>
    <xf numFmtId="0" fontId="9" fillId="0" borderId="10" xfId="0" applyFont="1" applyFill="1" applyBorder="1" applyAlignment="1">
      <alignment vertical="center"/>
    </xf>
    <xf numFmtId="0" fontId="9" fillId="0" borderId="0" xfId="0" applyFont="1" applyFill="1" applyAlignment="1">
      <alignment vertical="center"/>
    </xf>
    <xf numFmtId="0" fontId="9" fillId="0" borderId="14" xfId="0" applyFont="1" applyFill="1" applyBorder="1" applyAlignment="1">
      <alignment horizontal="center" vertical="center" wrapText="1"/>
    </xf>
    <xf numFmtId="182" fontId="9" fillId="0" borderId="18" xfId="0" applyNumberFormat="1" applyFont="1" applyFill="1" applyBorder="1" applyAlignment="1">
      <alignment vertical="top" wrapText="1"/>
    </xf>
    <xf numFmtId="0" fontId="9" fillId="0" borderId="0" xfId="0" applyFont="1" applyFill="1" applyAlignment="1">
      <alignment vertical="top"/>
    </xf>
    <xf numFmtId="0" fontId="15" fillId="0" borderId="0" xfId="0" applyFont="1" applyFill="1" applyBorder="1" applyAlignment="1">
      <alignment vertical="top" wrapText="1"/>
    </xf>
    <xf numFmtId="0" fontId="6" fillId="0" borderId="0" xfId="0" applyFont="1" applyAlignment="1">
      <alignment vertical="center"/>
    </xf>
    <xf numFmtId="0" fontId="9" fillId="0" borderId="0" xfId="0" applyFont="1">
      <alignment vertical="center"/>
    </xf>
    <xf numFmtId="0" fontId="12" fillId="0" borderId="0" xfId="0" applyFont="1" applyAlignment="1">
      <alignment vertical="center"/>
    </xf>
    <xf numFmtId="0" fontId="9" fillId="0" borderId="0" xfId="0" applyFont="1" applyBorder="1" applyAlignment="1">
      <alignment vertical="center"/>
    </xf>
    <xf numFmtId="0" fontId="18" fillId="0" borderId="0" xfId="0" applyFont="1" applyBorder="1" applyAlignment="1">
      <alignment vertical="center"/>
    </xf>
    <xf numFmtId="0" fontId="18" fillId="0" borderId="0" xfId="0" applyFont="1">
      <alignment vertical="center"/>
    </xf>
    <xf numFmtId="0" fontId="18" fillId="0" borderId="0" xfId="0" applyFont="1" applyAlignment="1">
      <alignment vertical="top"/>
    </xf>
    <xf numFmtId="0" fontId="17" fillId="0" borderId="19" xfId="0" applyFont="1" applyBorder="1" applyAlignment="1">
      <alignment horizontal="distributed" vertical="center" indent="2"/>
    </xf>
    <xf numFmtId="177" fontId="9" fillId="0" borderId="0" xfId="0" applyNumberFormat="1" applyFont="1" applyFill="1" applyAlignment="1">
      <alignment vertical="center"/>
    </xf>
    <xf numFmtId="182" fontId="15" fillId="0" borderId="18" xfId="0" applyNumberFormat="1" applyFont="1" applyFill="1" applyBorder="1" applyAlignment="1">
      <alignment vertical="top" wrapText="1"/>
    </xf>
    <xf numFmtId="0" fontId="9" fillId="0" borderId="0" xfId="0" applyFont="1" applyAlignment="1">
      <alignment vertical="top"/>
    </xf>
    <xf numFmtId="0" fontId="9" fillId="0" borderId="11" xfId="0" applyFont="1" applyBorder="1" applyAlignment="1">
      <alignment horizontal="left" vertical="top" wrapText="1"/>
    </xf>
    <xf numFmtId="0" fontId="18" fillId="0" borderId="0" xfId="0" applyFont="1" applyAlignment="1">
      <alignment horizontal="left" vertical="top"/>
    </xf>
    <xf numFmtId="0" fontId="9" fillId="0" borderId="14" xfId="0" applyFont="1" applyFill="1" applyBorder="1" applyAlignment="1">
      <alignment horizontal="center" vertical="center"/>
    </xf>
    <xf numFmtId="0" fontId="9" fillId="0" borderId="16" xfId="0" applyFont="1" applyFill="1" applyBorder="1" applyAlignment="1">
      <alignment horizontal="distributed" vertical="center" wrapText="1" indent="2"/>
    </xf>
    <xf numFmtId="0" fontId="14" fillId="0" borderId="17" xfId="0" applyFont="1" applyFill="1" applyBorder="1" applyAlignment="1">
      <alignment horizontal="left" vertical="top"/>
    </xf>
    <xf numFmtId="3" fontId="15" fillId="0" borderId="18" xfId="0" applyNumberFormat="1" applyFont="1" applyFill="1" applyBorder="1" applyAlignment="1">
      <alignment horizontal="right" vertical="top" wrapText="1"/>
    </xf>
    <xf numFmtId="3" fontId="15" fillId="0" borderId="18" xfId="0" applyNumberFormat="1" applyFont="1" applyFill="1" applyBorder="1" applyAlignment="1">
      <alignment horizontal="center" vertical="top" wrapText="1"/>
    </xf>
    <xf numFmtId="0" fontId="15" fillId="0" borderId="11" xfId="0" applyFont="1" applyFill="1" applyBorder="1" applyAlignment="1">
      <alignment vertical="top" wrapText="1"/>
    </xf>
    <xf numFmtId="0" fontId="15" fillId="0" borderId="0" xfId="0" applyFont="1" applyFill="1" applyAlignment="1">
      <alignment vertical="top"/>
    </xf>
    <xf numFmtId="3" fontId="9" fillId="0" borderId="18" xfId="0" applyNumberFormat="1" applyFont="1" applyFill="1" applyBorder="1" applyAlignment="1">
      <alignment horizontal="right" vertical="top" wrapText="1"/>
    </xf>
    <xf numFmtId="0" fontId="15" fillId="0" borderId="0" xfId="0" applyFont="1" applyFill="1" applyBorder="1" applyAlignment="1">
      <alignment vertical="top"/>
    </xf>
    <xf numFmtId="0" fontId="9" fillId="0" borderId="18" xfId="0" applyFont="1" applyFill="1" applyBorder="1" applyAlignment="1">
      <alignment horizontal="center" vertical="top" wrapText="1"/>
    </xf>
    <xf numFmtId="0" fontId="9" fillId="0" borderId="11" xfId="0" applyFont="1" applyFill="1" applyBorder="1" applyAlignment="1">
      <alignment vertical="top" wrapText="1"/>
    </xf>
    <xf numFmtId="0" fontId="15" fillId="0" borderId="0" xfId="0" applyFont="1" applyFill="1" applyBorder="1" applyAlignment="1">
      <alignment horizontal="left" vertical="top" wrapText="1"/>
    </xf>
    <xf numFmtId="0" fontId="15" fillId="0" borderId="0" xfId="0" applyFont="1" applyFill="1" applyAlignment="1">
      <alignment vertical="top" wrapText="1"/>
    </xf>
    <xf numFmtId="182" fontId="9" fillId="0" borderId="12" xfId="0" applyNumberFormat="1" applyFont="1" applyFill="1" applyBorder="1" applyAlignment="1">
      <alignment vertical="top" wrapText="1"/>
    </xf>
    <xf numFmtId="0" fontId="9" fillId="0" borderId="13" xfId="0" applyFont="1" applyFill="1" applyBorder="1" applyAlignment="1">
      <alignment vertical="top" wrapText="1"/>
    </xf>
    <xf numFmtId="0" fontId="18" fillId="0" borderId="0" xfId="0" applyFont="1" applyAlignment="1">
      <alignment vertical="top" wrapText="1"/>
    </xf>
    <xf numFmtId="0" fontId="9" fillId="0" borderId="18" xfId="0" applyFont="1" applyFill="1" applyBorder="1" applyAlignment="1">
      <alignment vertical="top" wrapText="1"/>
    </xf>
    <xf numFmtId="0" fontId="9" fillId="0" borderId="12" xfId="0" applyFont="1" applyFill="1" applyBorder="1" applyAlignment="1">
      <alignment vertical="top" wrapText="1"/>
    </xf>
    <xf numFmtId="0" fontId="9" fillId="0" borderId="11" xfId="0" applyFont="1" applyBorder="1" applyAlignment="1">
      <alignment vertical="top" wrapText="1"/>
    </xf>
    <xf numFmtId="0" fontId="18" fillId="0" borderId="0" xfId="0" applyFont="1" applyBorder="1" applyAlignment="1">
      <alignment vertical="top"/>
    </xf>
    <xf numFmtId="0" fontId="9" fillId="0" borderId="11" xfId="0" applyFont="1" applyBorder="1" applyAlignment="1">
      <alignment horizontal="justify" vertical="top"/>
    </xf>
    <xf numFmtId="0" fontId="9" fillId="0" borderId="11" xfId="0" applyFont="1" applyBorder="1" applyAlignment="1">
      <alignment vertical="top"/>
    </xf>
    <xf numFmtId="0" fontId="9" fillId="0" borderId="17" xfId="0" applyFont="1" applyBorder="1" applyAlignment="1">
      <alignment horizontal="left" vertical="top" wrapText="1"/>
    </xf>
    <xf numFmtId="0" fontId="14" fillId="0" borderId="17" xfId="0" applyFont="1" applyBorder="1" applyAlignment="1">
      <alignment horizontal="left" vertical="top"/>
    </xf>
    <xf numFmtId="0" fontId="9" fillId="0" borderId="22" xfId="0" applyFont="1" applyBorder="1" applyAlignment="1">
      <alignment horizontal="center" vertical="top"/>
    </xf>
    <xf numFmtId="0" fontId="9" fillId="0" borderId="23" xfId="0" applyFont="1" applyBorder="1" applyAlignment="1">
      <alignment vertical="top"/>
    </xf>
    <xf numFmtId="0" fontId="16" fillId="0" borderId="17" xfId="0" applyFont="1" applyBorder="1" applyAlignment="1">
      <alignment horizontal="distributed" vertical="center" indent="2"/>
    </xf>
    <xf numFmtId="0" fontId="16" fillId="0" borderId="22" xfId="0" applyFont="1" applyBorder="1" applyAlignment="1">
      <alignment horizontal="distributed" vertical="center" indent="2"/>
    </xf>
    <xf numFmtId="0" fontId="13" fillId="0" borderId="24" xfId="0" applyFont="1" applyFill="1" applyBorder="1" applyAlignment="1">
      <alignment horizontal="center" vertical="center" wrapText="1"/>
    </xf>
    <xf numFmtId="0" fontId="16" fillId="0" borderId="25" xfId="0" applyFont="1" applyBorder="1" applyAlignment="1">
      <alignment horizontal="distributed" vertical="center" indent="2"/>
    </xf>
    <xf numFmtId="0" fontId="16" fillId="0" borderId="26" xfId="0" applyFont="1" applyBorder="1" applyAlignment="1">
      <alignment horizontal="distributed" vertical="center" indent="2"/>
    </xf>
    <xf numFmtId="0" fontId="9" fillId="0" borderId="27" xfId="0" applyFont="1" applyBorder="1" applyAlignment="1">
      <alignment horizontal="center" vertical="top"/>
    </xf>
    <xf numFmtId="0" fontId="9" fillId="0" borderId="0" xfId="0" applyFont="1" applyFill="1" applyAlignment="1">
      <alignment horizontal="center" vertical="center"/>
    </xf>
    <xf numFmtId="3" fontId="9" fillId="0" borderId="14" xfId="0" applyNumberFormat="1" applyFont="1" applyBorder="1" applyAlignment="1">
      <alignment vertical="top"/>
    </xf>
    <xf numFmtId="179" fontId="9" fillId="0" borderId="15" xfId="0" applyNumberFormat="1" applyFont="1" applyBorder="1" applyAlignment="1">
      <alignment vertical="top"/>
    </xf>
    <xf numFmtId="179" fontId="9" fillId="0" borderId="16" xfId="0" applyNumberFormat="1" applyFont="1" applyBorder="1" applyAlignment="1">
      <alignment vertical="top"/>
    </xf>
    <xf numFmtId="179" fontId="9" fillId="0" borderId="18" xfId="0" applyNumberFormat="1" applyFont="1" applyBorder="1" applyAlignment="1">
      <alignment vertical="top"/>
    </xf>
    <xf numFmtId="179" fontId="9" fillId="0" borderId="11" xfId="0" applyNumberFormat="1" applyFont="1" applyBorder="1" applyAlignment="1">
      <alignment vertical="top"/>
    </xf>
    <xf numFmtId="179" fontId="15" fillId="0" borderId="18" xfId="0" applyNumberFormat="1" applyFont="1" applyBorder="1" applyAlignment="1">
      <alignment vertical="top"/>
    </xf>
    <xf numFmtId="0" fontId="15" fillId="0" borderId="18" xfId="0" applyFont="1" applyFill="1" applyBorder="1" applyAlignment="1">
      <alignment horizontal="center" vertical="top" wrapText="1"/>
    </xf>
    <xf numFmtId="0" fontId="15" fillId="0" borderId="18" xfId="0" applyFont="1" applyFill="1" applyBorder="1" applyAlignment="1">
      <alignment horizontal="justify" vertical="top" wrapText="1"/>
    </xf>
    <xf numFmtId="0" fontId="9" fillId="0" borderId="11" xfId="0" applyFont="1" applyFill="1" applyBorder="1" applyAlignment="1">
      <alignment horizontal="justify" vertical="top" wrapText="1"/>
    </xf>
    <xf numFmtId="179" fontId="9" fillId="0" borderId="18" xfId="0" applyNumberFormat="1" applyFont="1" applyFill="1" applyBorder="1" applyAlignment="1">
      <alignment horizontal="right" vertical="top" wrapText="1"/>
    </xf>
    <xf numFmtId="0" fontId="9" fillId="0" borderId="18" xfId="0" applyFont="1" applyFill="1" applyBorder="1" applyAlignment="1">
      <alignment horizontal="right" vertical="top" wrapText="1"/>
    </xf>
    <xf numFmtId="0" fontId="9" fillId="0" borderId="17" xfId="0" applyFont="1" applyFill="1" applyBorder="1" applyAlignment="1">
      <alignment horizontal="left" vertical="top" wrapText="1"/>
    </xf>
    <xf numFmtId="0" fontId="9" fillId="0" borderId="18" xfId="0" applyFont="1" applyFill="1" applyBorder="1" applyAlignment="1">
      <alignment horizontal="justify" vertical="top" wrapText="1"/>
    </xf>
    <xf numFmtId="0" fontId="9" fillId="0" borderId="12" xfId="0" applyFont="1" applyFill="1" applyBorder="1" applyAlignment="1">
      <alignment horizontal="center" vertical="top" wrapText="1"/>
    </xf>
    <xf numFmtId="0" fontId="9" fillId="0" borderId="12" xfId="0" applyFont="1" applyFill="1" applyBorder="1" applyAlignment="1">
      <alignment horizontal="justify" vertical="top" wrapText="1"/>
    </xf>
    <xf numFmtId="0" fontId="9" fillId="0" borderId="13" xfId="0" applyFont="1" applyFill="1" applyBorder="1" applyAlignment="1">
      <alignment horizontal="justify" vertical="top" wrapText="1"/>
    </xf>
    <xf numFmtId="0" fontId="13" fillId="0" borderId="14" xfId="0" applyFont="1" applyFill="1" applyBorder="1" applyAlignment="1">
      <alignment horizontal="center" vertical="center" wrapText="1"/>
    </xf>
    <xf numFmtId="0" fontId="13" fillId="0" borderId="15" xfId="0" applyFont="1" applyFill="1" applyBorder="1" applyAlignment="1">
      <alignment horizontal="center" vertical="center" wrapText="1"/>
    </xf>
    <xf numFmtId="0" fontId="13" fillId="0" borderId="16" xfId="0" applyFont="1" applyFill="1" applyBorder="1" applyAlignment="1">
      <alignment horizontal="center" vertical="center" wrapText="1"/>
    </xf>
    <xf numFmtId="0" fontId="15" fillId="0" borderId="11" xfId="0" applyFont="1" applyFill="1" applyBorder="1" applyAlignment="1">
      <alignment horizontal="justify" vertical="top" wrapText="1"/>
    </xf>
    <xf numFmtId="179" fontId="15" fillId="0" borderId="18" xfId="0" applyNumberFormat="1" applyFont="1" applyFill="1" applyBorder="1" applyAlignment="1">
      <alignment horizontal="right" vertical="top" wrapText="1"/>
    </xf>
    <xf numFmtId="3" fontId="9" fillId="0" borderId="18" xfId="0" applyNumberFormat="1" applyFont="1" applyFill="1" applyBorder="1" applyAlignment="1">
      <alignment vertical="top"/>
    </xf>
    <xf numFmtId="3" fontId="15" fillId="0" borderId="18" xfId="0" applyNumberFormat="1" applyFont="1" applyFill="1" applyBorder="1" applyAlignment="1">
      <alignment vertical="top"/>
    </xf>
    <xf numFmtId="0" fontId="9" fillId="0" borderId="29" xfId="0" applyFont="1" applyFill="1" applyBorder="1" applyAlignment="1">
      <alignment horizontal="center" vertical="center" wrapText="1"/>
    </xf>
    <xf numFmtId="0" fontId="9" fillId="0" borderId="29" xfId="0" applyFont="1" applyFill="1" applyBorder="1" applyAlignment="1">
      <alignment vertical="center" wrapText="1"/>
    </xf>
    <xf numFmtId="181" fontId="9" fillId="0" borderId="30" xfId="0" applyNumberFormat="1" applyFont="1" applyFill="1" applyBorder="1" applyAlignment="1">
      <alignment vertical="top"/>
    </xf>
    <xf numFmtId="182" fontId="9" fillId="0" borderId="30" xfId="0" applyNumberFormat="1" applyFont="1" applyFill="1" applyBorder="1" applyAlignment="1">
      <alignment vertical="top" wrapText="1"/>
    </xf>
    <xf numFmtId="0" fontId="9" fillId="0" borderId="25" xfId="0" applyFont="1" applyFill="1" applyBorder="1" applyAlignment="1">
      <alignment horizontal="distributed" vertical="center" wrapText="1" indent="1"/>
    </xf>
    <xf numFmtId="182" fontId="15" fillId="0" borderId="27" xfId="0" applyNumberFormat="1" applyFont="1" applyFill="1" applyBorder="1" applyAlignment="1">
      <alignment vertical="top" wrapText="1"/>
    </xf>
    <xf numFmtId="49" fontId="20" fillId="0" borderId="27" xfId="0" applyNumberFormat="1" applyFont="1" applyBorder="1" applyAlignment="1">
      <alignment vertical="top" wrapText="1"/>
    </xf>
    <xf numFmtId="0" fontId="9" fillId="0" borderId="26" xfId="0" applyFont="1" applyFill="1" applyBorder="1" applyAlignment="1">
      <alignment horizontal="distributed" vertical="center" wrapText="1" indent="1"/>
    </xf>
    <xf numFmtId="0" fontId="15" fillId="0" borderId="30" xfId="0" applyFont="1" applyFill="1" applyBorder="1" applyAlignment="1">
      <alignment vertical="top" wrapText="1"/>
    </xf>
    <xf numFmtId="0" fontId="9" fillId="0" borderId="30" xfId="0" applyFont="1" applyFill="1" applyBorder="1" applyAlignment="1">
      <alignment horizontal="justify" vertical="top"/>
    </xf>
    <xf numFmtId="0" fontId="9" fillId="0" borderId="30" xfId="0" applyFont="1" applyFill="1" applyBorder="1" applyAlignment="1">
      <alignment vertical="top"/>
    </xf>
    <xf numFmtId="177" fontId="15" fillId="0" borderId="18" xfId="0" applyNumberFormat="1" applyFont="1" applyFill="1" applyBorder="1" applyAlignment="1">
      <alignment horizontal="right" vertical="top" wrapText="1"/>
    </xf>
    <xf numFmtId="177" fontId="9" fillId="0" borderId="18" xfId="0" applyNumberFormat="1" applyFont="1" applyFill="1" applyBorder="1" applyAlignment="1">
      <alignment horizontal="right" vertical="top" wrapText="1"/>
    </xf>
    <xf numFmtId="0" fontId="9" fillId="0" borderId="0" xfId="0" applyFont="1" applyAlignment="1">
      <alignment vertical="center"/>
    </xf>
    <xf numFmtId="0" fontId="9" fillId="0" borderId="0" xfId="0" applyFont="1" applyAlignment="1">
      <alignment horizontal="center" vertical="center"/>
    </xf>
    <xf numFmtId="41" fontId="15" fillId="0" borderId="18" xfId="0" applyNumberFormat="1" applyFont="1" applyBorder="1" applyAlignment="1">
      <alignment horizontal="right" vertical="center" wrapText="1"/>
    </xf>
    <xf numFmtId="0" fontId="9" fillId="0" borderId="12" xfId="0" applyFont="1" applyBorder="1" applyAlignment="1">
      <alignment horizontal="justify" vertical="center" wrapText="1"/>
    </xf>
    <xf numFmtId="0" fontId="13" fillId="0" borderId="20" xfId="0" applyFont="1" applyFill="1" applyBorder="1" applyAlignment="1">
      <alignment horizontal="center" vertical="center" wrapText="1"/>
    </xf>
    <xf numFmtId="0" fontId="9" fillId="0" borderId="10" xfId="0" applyFont="1" applyFill="1" applyBorder="1" applyAlignment="1">
      <alignment horizontal="center" vertical="center"/>
    </xf>
    <xf numFmtId="3" fontId="9" fillId="0" borderId="12" xfId="0" applyNumberFormat="1" applyFont="1" applyFill="1" applyBorder="1" applyAlignment="1">
      <alignment horizontal="right" vertical="top" wrapText="1"/>
    </xf>
    <xf numFmtId="0" fontId="13" fillId="0" borderId="17" xfId="0" applyFont="1" applyBorder="1" applyAlignment="1">
      <alignment vertical="top"/>
    </xf>
    <xf numFmtId="0" fontId="9" fillId="0" borderId="11" xfId="0" applyFont="1" applyBorder="1" applyAlignment="1">
      <alignment horizontal="justify" vertical="center" wrapText="1"/>
    </xf>
    <xf numFmtId="0" fontId="9" fillId="0" borderId="17" xfId="0" applyFont="1" applyBorder="1" applyAlignment="1">
      <alignment horizontal="justify" vertical="top" wrapText="1"/>
    </xf>
    <xf numFmtId="0" fontId="9" fillId="0" borderId="18" xfId="0" applyFont="1" applyBorder="1" applyAlignment="1">
      <alignment horizontal="justify" vertical="top" wrapText="1"/>
    </xf>
    <xf numFmtId="0" fontId="9" fillId="0" borderId="18" xfId="0" applyFont="1" applyBorder="1" applyAlignment="1">
      <alignment horizontal="justify" vertical="center" wrapText="1"/>
    </xf>
    <xf numFmtId="0" fontId="23" fillId="0" borderId="18" xfId="0" applyFont="1" applyBorder="1" applyAlignment="1">
      <alignment horizontal="justify" vertical="center" wrapText="1"/>
    </xf>
    <xf numFmtId="0" fontId="9" fillId="0" borderId="21" xfId="0" applyFont="1" applyBorder="1" applyAlignment="1">
      <alignment horizontal="justify" vertical="top" wrapText="1"/>
    </xf>
    <xf numFmtId="0" fontId="9" fillId="0" borderId="12" xfId="0" applyFont="1" applyBorder="1" applyAlignment="1">
      <alignment horizontal="justify" vertical="top" wrapText="1"/>
    </xf>
    <xf numFmtId="0" fontId="23" fillId="0" borderId="12" xfId="0" applyFont="1" applyBorder="1" applyAlignment="1">
      <alignment horizontal="justify" vertical="center" wrapText="1"/>
    </xf>
    <xf numFmtId="0" fontId="9" fillId="0" borderId="13" xfId="0" applyFont="1" applyBorder="1" applyAlignment="1">
      <alignment horizontal="justify" vertical="center" wrapText="1"/>
    </xf>
    <xf numFmtId="176" fontId="9" fillId="0" borderId="0" xfId="0" applyNumberFormat="1" applyFont="1">
      <alignment vertical="center"/>
    </xf>
    <xf numFmtId="0" fontId="29" fillId="0" borderId="0" xfId="0" applyFont="1" applyAlignment="1">
      <alignment vertical="top"/>
    </xf>
    <xf numFmtId="177" fontId="9" fillId="0" borderId="16" xfId="0" applyNumberFormat="1" applyFont="1" applyFill="1" applyBorder="1" applyAlignment="1">
      <alignment horizontal="center" vertical="center" wrapText="1"/>
    </xf>
    <xf numFmtId="179" fontId="15" fillId="0" borderId="17" xfId="0" applyNumberFormat="1" applyFont="1" applyFill="1" applyBorder="1" applyAlignment="1">
      <alignment vertical="top"/>
    </xf>
    <xf numFmtId="0" fontId="14" fillId="0" borderId="0" xfId="0" applyFont="1" applyFill="1" applyBorder="1" applyAlignment="1">
      <alignment horizontal="distributed" vertical="top" indent="6"/>
    </xf>
    <xf numFmtId="179" fontId="15" fillId="0" borderId="18" xfId="0" applyNumberFormat="1" applyFont="1" applyFill="1" applyBorder="1" applyAlignment="1">
      <alignment vertical="top"/>
    </xf>
    <xf numFmtId="179" fontId="15" fillId="0" borderId="11" xfId="0" applyNumberFormat="1" applyFont="1" applyFill="1" applyBorder="1" applyAlignment="1">
      <alignment vertical="top"/>
    </xf>
    <xf numFmtId="0" fontId="14" fillId="0" borderId="0" xfId="0" applyFont="1" applyFill="1" applyBorder="1" applyAlignment="1">
      <alignment horizontal="left" vertical="top"/>
    </xf>
    <xf numFmtId="179" fontId="9" fillId="0" borderId="17" xfId="0" applyNumberFormat="1" applyFont="1" applyFill="1" applyBorder="1" applyAlignment="1">
      <alignment vertical="top"/>
    </xf>
    <xf numFmtId="0" fontId="13" fillId="0" borderId="0" xfId="0" applyFont="1" applyFill="1" applyBorder="1" applyAlignment="1">
      <alignment horizontal="justify" vertical="top"/>
    </xf>
    <xf numFmtId="179" fontId="9" fillId="0" borderId="18" xfId="0" applyNumberFormat="1" applyFont="1" applyFill="1" applyBorder="1" applyAlignment="1">
      <alignment vertical="top"/>
    </xf>
    <xf numFmtId="179" fontId="9" fillId="0" borderId="11" xfId="0" applyNumberFormat="1" applyFont="1" applyFill="1" applyBorder="1" applyAlignment="1">
      <alignment vertical="top"/>
    </xf>
    <xf numFmtId="0" fontId="14" fillId="0" borderId="0" xfId="0" applyFont="1" applyFill="1" applyBorder="1" applyAlignment="1">
      <alignment horizontal="left" vertical="top" shrinkToFit="1"/>
    </xf>
    <xf numFmtId="41" fontId="9" fillId="0" borderId="11" xfId="0" applyNumberFormat="1" applyFont="1" applyFill="1" applyBorder="1" applyAlignment="1">
      <alignment vertical="top"/>
    </xf>
    <xf numFmtId="179" fontId="15" fillId="0" borderId="21" xfId="0" applyNumberFormat="1" applyFont="1" applyFill="1" applyBorder="1" applyAlignment="1">
      <alignment vertical="top"/>
    </xf>
    <xf numFmtId="0" fontId="14" fillId="0" borderId="36" xfId="0" applyFont="1" applyFill="1" applyBorder="1" applyAlignment="1">
      <alignment horizontal="distributed" vertical="top" indent="6"/>
    </xf>
    <xf numFmtId="179" fontId="15" fillId="0" borderId="12" xfId="0" applyNumberFormat="1" applyFont="1" applyFill="1" applyBorder="1" applyAlignment="1">
      <alignment vertical="top"/>
    </xf>
    <xf numFmtId="179" fontId="15" fillId="0" borderId="13" xfId="0" applyNumberFormat="1" applyFont="1" applyFill="1" applyBorder="1" applyAlignment="1">
      <alignment vertical="top"/>
    </xf>
    <xf numFmtId="41" fontId="9" fillId="0" borderId="18" xfId="0" applyNumberFormat="1" applyFont="1" applyFill="1" applyBorder="1" applyAlignment="1">
      <alignment vertical="top"/>
    </xf>
    <xf numFmtId="41" fontId="15" fillId="0" borderId="17" xfId="0" applyNumberFormat="1" applyFont="1" applyFill="1" applyBorder="1" applyAlignment="1">
      <alignment vertical="top"/>
    </xf>
    <xf numFmtId="41" fontId="15" fillId="0" borderId="18" xfId="0" applyNumberFormat="1" applyFont="1" applyFill="1" applyBorder="1" applyAlignment="1">
      <alignment vertical="top"/>
    </xf>
    <xf numFmtId="41" fontId="15" fillId="0" borderId="11" xfId="0" applyNumberFormat="1" applyFont="1" applyFill="1" applyBorder="1" applyAlignment="1">
      <alignment vertical="top"/>
    </xf>
    <xf numFmtId="41" fontId="9" fillId="0" borderId="17" xfId="0" applyNumberFormat="1" applyFont="1" applyFill="1" applyBorder="1" applyAlignment="1">
      <alignment vertical="top"/>
    </xf>
    <xf numFmtId="0" fontId="9" fillId="0" borderId="37" xfId="0" applyFont="1" applyFill="1" applyBorder="1" applyAlignment="1">
      <alignment horizontal="distributed" vertical="center" wrapText="1" indent="1"/>
    </xf>
    <xf numFmtId="0" fontId="14" fillId="0" borderId="17" xfId="0" applyFont="1" applyFill="1" applyBorder="1" applyAlignment="1">
      <alignment horizontal="left" vertical="top" wrapText="1"/>
    </xf>
    <xf numFmtId="3" fontId="15" fillId="0" borderId="18" xfId="0" applyNumberFormat="1" applyFont="1" applyFill="1" applyBorder="1" applyAlignment="1">
      <alignment vertical="top" wrapText="1"/>
    </xf>
    <xf numFmtId="3" fontId="15" fillId="0" borderId="27" xfId="0" applyNumberFormat="1" applyFont="1" applyFill="1" applyBorder="1" applyAlignment="1">
      <alignment vertical="top" wrapText="1"/>
    </xf>
    <xf numFmtId="3" fontId="15" fillId="0" borderId="0" xfId="0" applyNumberFormat="1" applyFont="1" applyFill="1" applyBorder="1" applyAlignment="1">
      <alignment vertical="top" wrapText="1"/>
    </xf>
    <xf numFmtId="0" fontId="23" fillId="0" borderId="22" xfId="0" applyFont="1" applyFill="1" applyBorder="1" applyAlignment="1">
      <alignment vertical="top" wrapText="1"/>
    </xf>
    <xf numFmtId="0" fontId="13" fillId="0" borderId="17" xfId="0" applyFont="1" applyFill="1" applyBorder="1" applyAlignment="1">
      <alignment horizontal="left" vertical="top" wrapText="1"/>
    </xf>
    <xf numFmtId="0" fontId="9" fillId="0" borderId="27" xfId="0" applyFont="1" applyFill="1" applyBorder="1" applyAlignment="1">
      <alignment horizontal="right" vertical="top" wrapText="1"/>
    </xf>
    <xf numFmtId="0" fontId="9" fillId="0" borderId="0" xfId="0" applyFont="1" applyFill="1" applyBorder="1" applyAlignment="1">
      <alignment horizontal="right" vertical="top" wrapText="1"/>
    </xf>
    <xf numFmtId="3" fontId="9" fillId="0" borderId="18" xfId="0" applyNumberFormat="1" applyFont="1" applyFill="1" applyBorder="1" applyAlignment="1">
      <alignment vertical="top" wrapText="1"/>
    </xf>
    <xf numFmtId="41" fontId="15" fillId="0" borderId="18" xfId="0" applyNumberFormat="1" applyFont="1" applyFill="1" applyBorder="1" applyAlignment="1">
      <alignment horizontal="right" vertical="top" wrapText="1"/>
    </xf>
    <xf numFmtId="179" fontId="15" fillId="0" borderId="12" xfId="0" applyNumberFormat="1" applyFont="1" applyFill="1" applyBorder="1" applyAlignment="1">
      <alignment horizontal="right" vertical="top" wrapText="1"/>
    </xf>
    <xf numFmtId="0" fontId="6" fillId="0" borderId="0" xfId="0" applyFont="1" applyFill="1" applyAlignment="1">
      <alignment vertical="center"/>
    </xf>
    <xf numFmtId="0" fontId="11" fillId="0" borderId="0" xfId="0" applyFont="1" applyFill="1" applyAlignment="1">
      <alignment vertical="center"/>
    </xf>
    <xf numFmtId="3" fontId="9" fillId="0" borderId="18" xfId="0" applyNumberFormat="1" applyFont="1" applyBorder="1" applyAlignment="1">
      <alignment horizontal="right" vertical="center" wrapText="1"/>
    </xf>
    <xf numFmtId="3" fontId="9" fillId="0" borderId="18" xfId="0" applyNumberFormat="1" applyFont="1" applyBorder="1" applyAlignment="1">
      <alignment horizontal="right" vertical="top" wrapText="1"/>
    </xf>
    <xf numFmtId="0" fontId="9" fillId="0" borderId="11" xfId="0" applyFont="1" applyBorder="1" applyAlignment="1">
      <alignment horizontal="justify" vertical="top" wrapText="1"/>
    </xf>
    <xf numFmtId="0" fontId="9" fillId="0" borderId="17" xfId="0" applyFont="1" applyBorder="1" applyAlignment="1">
      <alignment horizontal="justify" vertical="center" wrapText="1"/>
    </xf>
    <xf numFmtId="0" fontId="15" fillId="0" borderId="17" xfId="0" applyFont="1" applyBorder="1" applyAlignment="1">
      <alignment horizontal="justify" vertical="center" wrapText="1"/>
    </xf>
    <xf numFmtId="0" fontId="31" fillId="0" borderId="11" xfId="0" applyFont="1" applyBorder="1" applyAlignment="1">
      <alignment horizontal="center" vertical="top" wrapText="1"/>
    </xf>
    <xf numFmtId="0" fontId="15" fillId="0" borderId="21" xfId="0" applyFont="1" applyBorder="1" applyAlignment="1">
      <alignment horizontal="justify" vertical="center" wrapText="1"/>
    </xf>
    <xf numFmtId="179" fontId="15" fillId="0" borderId="12" xfId="0" applyNumberFormat="1" applyFont="1" applyBorder="1" applyAlignment="1">
      <alignment horizontal="right" vertical="center" wrapText="1"/>
    </xf>
    <xf numFmtId="0" fontId="21" fillId="0" borderId="35" xfId="0" applyFont="1" applyFill="1" applyBorder="1" applyAlignment="1">
      <alignment horizontal="center" vertical="center" wrapText="1"/>
    </xf>
    <xf numFmtId="180" fontId="9" fillId="0" borderId="0" xfId="0" applyNumberFormat="1" applyFont="1" applyFill="1">
      <alignment vertical="center"/>
    </xf>
    <xf numFmtId="0" fontId="28" fillId="0" borderId="0" xfId="0" applyFont="1" applyFill="1">
      <alignment vertical="center"/>
    </xf>
    <xf numFmtId="0" fontId="36" fillId="0" borderId="0" xfId="20" applyFont="1" applyAlignment="1">
      <alignment vertical="top"/>
    </xf>
    <xf numFmtId="0" fontId="23" fillId="0" borderId="15" xfId="20" applyFont="1" applyBorder="1" applyAlignment="1">
      <alignment vertical="top"/>
    </xf>
    <xf numFmtId="0" fontId="23" fillId="0" borderId="25" xfId="20" applyFont="1" applyBorder="1" applyAlignment="1">
      <alignment vertical="top"/>
    </xf>
    <xf numFmtId="179" fontId="23" fillId="0" borderId="16" xfId="20" applyNumberFormat="1" applyFont="1" applyBorder="1" applyAlignment="1">
      <alignment vertical="top"/>
    </xf>
    <xf numFmtId="0" fontId="9" fillId="0" borderId="15" xfId="0" applyFont="1" applyBorder="1" applyAlignment="1">
      <alignment horizontal="distributed" vertical="center" wrapText="1" indent="1"/>
    </xf>
    <xf numFmtId="0" fontId="9" fillId="0" borderId="16" xfId="0" applyFont="1" applyBorder="1" applyAlignment="1">
      <alignment horizontal="distributed" vertical="center" wrapText="1" indent="1"/>
    </xf>
    <xf numFmtId="0" fontId="21" fillId="0" borderId="14" xfId="0" applyFont="1" applyFill="1" applyBorder="1" applyAlignment="1">
      <alignment horizontal="center" vertical="center" wrapText="1"/>
    </xf>
    <xf numFmtId="0" fontId="21" fillId="0" borderId="15" xfId="0" applyFont="1" applyFill="1" applyBorder="1" applyAlignment="1">
      <alignment horizontal="center" vertical="center" wrapText="1"/>
    </xf>
    <xf numFmtId="0" fontId="23" fillId="0" borderId="15" xfId="0" applyFont="1" applyFill="1" applyBorder="1" applyAlignment="1">
      <alignment horizontal="center" vertical="center" wrapText="1"/>
    </xf>
    <xf numFmtId="180" fontId="21" fillId="0" borderId="15" xfId="0" applyNumberFormat="1" applyFont="1" applyFill="1" applyBorder="1" applyAlignment="1">
      <alignment horizontal="center" vertical="center" wrapText="1"/>
    </xf>
    <xf numFmtId="0" fontId="9" fillId="0" borderId="17" xfId="0" applyFont="1" applyBorder="1" applyAlignment="1">
      <alignment horizontal="right" vertical="top" wrapText="1"/>
    </xf>
    <xf numFmtId="0" fontId="9" fillId="0" borderId="18" xfId="0" applyFont="1" applyBorder="1" applyAlignment="1">
      <alignment horizontal="right" vertical="top" wrapText="1"/>
    </xf>
    <xf numFmtId="41" fontId="15" fillId="0" borderId="17" xfId="0" applyNumberFormat="1" applyFont="1" applyBorder="1" applyAlignment="1">
      <alignment horizontal="right" vertical="top" wrapText="1"/>
    </xf>
    <xf numFmtId="41" fontId="15" fillId="0" borderId="18" xfId="0" applyNumberFormat="1" applyFont="1" applyBorder="1" applyAlignment="1">
      <alignment horizontal="right" vertical="top" wrapText="1"/>
    </xf>
    <xf numFmtId="178" fontId="15" fillId="0" borderId="11" xfId="21" applyNumberFormat="1" applyFont="1" applyBorder="1" applyAlignment="1">
      <alignment horizontal="right" vertical="top" wrapText="1"/>
    </xf>
    <xf numFmtId="41" fontId="9" fillId="0" borderId="17" xfId="0" applyNumberFormat="1" applyFont="1" applyBorder="1" applyAlignment="1">
      <alignment horizontal="right" vertical="top" wrapText="1"/>
    </xf>
    <xf numFmtId="41" fontId="9" fillId="0" borderId="18" xfId="0" applyNumberFormat="1" applyFont="1" applyBorder="1" applyAlignment="1">
      <alignment horizontal="right" vertical="top" wrapText="1"/>
    </xf>
    <xf numFmtId="178" fontId="9" fillId="0" borderId="11" xfId="21" applyNumberFormat="1" applyFont="1" applyBorder="1" applyAlignment="1">
      <alignment horizontal="right" vertical="top" wrapText="1"/>
    </xf>
    <xf numFmtId="41" fontId="15" fillId="0" borderId="11" xfId="0" applyNumberFormat="1" applyFont="1" applyBorder="1" applyAlignment="1">
      <alignment horizontal="right" vertical="top" wrapText="1"/>
    </xf>
    <xf numFmtId="41" fontId="9" fillId="0" borderId="21" xfId="0" applyNumberFormat="1" applyFont="1" applyBorder="1" applyAlignment="1">
      <alignment horizontal="right" vertical="top" wrapText="1"/>
    </xf>
    <xf numFmtId="178" fontId="9" fillId="0" borderId="13" xfId="21" applyNumberFormat="1" applyFont="1" applyBorder="1" applyAlignment="1">
      <alignment horizontal="right" vertical="top" wrapText="1"/>
    </xf>
    <xf numFmtId="179" fontId="15" fillId="0" borderId="17" xfId="0" applyNumberFormat="1" applyFont="1" applyFill="1" applyBorder="1" applyAlignment="1">
      <alignment horizontal="right" vertical="top" wrapText="1"/>
    </xf>
    <xf numFmtId="3" fontId="15" fillId="0" borderId="11" xfId="0" applyNumberFormat="1" applyFont="1" applyFill="1" applyBorder="1" applyAlignment="1">
      <alignment vertical="top"/>
    </xf>
    <xf numFmtId="3" fontId="15" fillId="0" borderId="11" xfId="0" applyNumberFormat="1" applyFont="1" applyFill="1" applyBorder="1" applyAlignment="1">
      <alignment horizontal="right" vertical="top" wrapText="1"/>
    </xf>
    <xf numFmtId="0" fontId="9" fillId="0" borderId="0" xfId="0" applyFont="1" applyFill="1" applyBorder="1" applyAlignment="1">
      <alignment horizontal="center" vertical="top"/>
    </xf>
    <xf numFmtId="0" fontId="9" fillId="0" borderId="0" xfId="0" applyFont="1" applyFill="1" applyAlignment="1">
      <alignment horizontal="center" vertical="top"/>
    </xf>
    <xf numFmtId="179" fontId="9" fillId="0" borderId="17" xfId="0" applyNumberFormat="1" applyFont="1" applyFill="1" applyBorder="1" applyAlignment="1">
      <alignment horizontal="right" vertical="top" wrapText="1"/>
    </xf>
    <xf numFmtId="3" fontId="9" fillId="0" borderId="11" xfId="0" applyNumberFormat="1" applyFont="1" applyFill="1" applyBorder="1" applyAlignment="1">
      <alignment horizontal="right" vertical="top" wrapText="1"/>
    </xf>
    <xf numFmtId="41" fontId="9" fillId="0" borderId="18" xfId="0" applyNumberFormat="1" applyFont="1" applyFill="1" applyBorder="1" applyAlignment="1">
      <alignment horizontal="right" vertical="top" wrapText="1"/>
    </xf>
    <xf numFmtId="41" fontId="9" fillId="0" borderId="17" xfId="0" applyNumberFormat="1" applyFont="1" applyFill="1" applyBorder="1" applyAlignment="1">
      <alignment horizontal="right" vertical="top" wrapText="1"/>
    </xf>
    <xf numFmtId="0" fontId="9" fillId="0" borderId="17" xfId="0" applyFont="1" applyFill="1" applyBorder="1" applyAlignment="1">
      <alignment horizontal="justify" vertical="top" wrapText="1"/>
    </xf>
    <xf numFmtId="41" fontId="9" fillId="0" borderId="21" xfId="0" applyNumberFormat="1" applyFont="1" applyFill="1" applyBorder="1" applyAlignment="1">
      <alignment horizontal="right" vertical="top" wrapText="1"/>
    </xf>
    <xf numFmtId="41" fontId="9" fillId="0" borderId="12" xfId="0" applyNumberFormat="1" applyFont="1" applyFill="1" applyBorder="1" applyAlignment="1">
      <alignment horizontal="right" vertical="top" wrapText="1"/>
    </xf>
    <xf numFmtId="0" fontId="9" fillId="0" borderId="32" xfId="0" applyFont="1" applyBorder="1" applyAlignment="1">
      <alignment horizontal="left" vertical="top" wrapText="1"/>
    </xf>
    <xf numFmtId="0" fontId="9" fillId="0" borderId="23" xfId="0" applyFont="1" applyBorder="1" applyAlignment="1">
      <alignment horizontal="left" vertical="top" wrapText="1"/>
    </xf>
    <xf numFmtId="41" fontId="35" fillId="0" borderId="18" xfId="0" applyNumberFormat="1" applyFont="1" applyFill="1" applyBorder="1" applyAlignment="1">
      <alignment horizontal="right" vertical="top" wrapText="1"/>
    </xf>
    <xf numFmtId="0" fontId="35" fillId="0" borderId="0" xfId="0" applyFont="1" applyFill="1" applyAlignment="1">
      <alignment vertical="top"/>
    </xf>
    <xf numFmtId="41" fontId="23" fillId="0" borderId="18" xfId="0" applyNumberFormat="1" applyFont="1" applyFill="1" applyBorder="1" applyAlignment="1">
      <alignment horizontal="right" vertical="top" wrapText="1"/>
    </xf>
    <xf numFmtId="0" fontId="23" fillId="0" borderId="0" xfId="0" applyFont="1" applyFill="1" applyAlignment="1">
      <alignment vertical="top"/>
    </xf>
    <xf numFmtId="0" fontId="9" fillId="0" borderId="21" xfId="0" applyFont="1" applyFill="1" applyBorder="1" applyAlignment="1">
      <alignment horizontal="justify" vertical="top" wrapText="1"/>
    </xf>
    <xf numFmtId="3" fontId="15" fillId="0" borderId="18" xfId="0" applyNumberFormat="1" applyFont="1" applyBorder="1" applyAlignment="1">
      <alignment vertical="top" wrapText="1"/>
    </xf>
    <xf numFmtId="3" fontId="15" fillId="0" borderId="18" xfId="0" applyNumberFormat="1" applyFont="1" applyBorder="1" applyAlignment="1">
      <alignment horizontal="right" vertical="top" wrapText="1"/>
    </xf>
    <xf numFmtId="0" fontId="18" fillId="0" borderId="0" xfId="0" applyFont="1" applyFill="1" applyAlignment="1">
      <alignment vertical="center"/>
    </xf>
    <xf numFmtId="10" fontId="9" fillId="0" borderId="18" xfId="0" applyNumberFormat="1" applyFont="1" applyFill="1" applyBorder="1" applyAlignment="1">
      <alignment horizontal="right" vertical="top" wrapText="1"/>
    </xf>
    <xf numFmtId="41" fontId="9" fillId="0" borderId="11" xfId="0" applyNumberFormat="1" applyFont="1" applyFill="1" applyBorder="1" applyAlignment="1">
      <alignment horizontal="right" vertical="top" wrapText="1"/>
    </xf>
    <xf numFmtId="179" fontId="15" fillId="0" borderId="27" xfId="0" applyNumberFormat="1" applyFont="1" applyBorder="1" applyAlignment="1">
      <alignment vertical="top"/>
    </xf>
    <xf numFmtId="179" fontId="15" fillId="0" borderId="18" xfId="0" applyNumberFormat="1" applyFont="1" applyBorder="1" applyAlignment="1">
      <alignment horizontal="right" vertical="top"/>
    </xf>
    <xf numFmtId="179" fontId="9" fillId="0" borderId="27" xfId="0" applyNumberFormat="1" applyFont="1" applyBorder="1" applyAlignment="1">
      <alignment vertical="top"/>
    </xf>
    <xf numFmtId="179" fontId="9" fillId="0" borderId="18" xfId="0" applyNumberFormat="1" applyFont="1" applyBorder="1" applyAlignment="1">
      <alignment horizontal="right" vertical="top"/>
    </xf>
    <xf numFmtId="179" fontId="15" fillId="0" borderId="18" xfId="20" applyNumberFormat="1" applyFont="1" applyFill="1" applyBorder="1" applyAlignment="1">
      <alignment vertical="top"/>
    </xf>
    <xf numFmtId="179" fontId="9" fillId="0" borderId="18" xfId="20" applyNumberFormat="1" applyFont="1" applyFill="1" applyBorder="1" applyAlignment="1">
      <alignment vertical="top"/>
    </xf>
    <xf numFmtId="179" fontId="9" fillId="0" borderId="12" xfId="20" applyNumberFormat="1" applyFont="1" applyFill="1" applyBorder="1" applyAlignment="1">
      <alignment vertical="top"/>
    </xf>
    <xf numFmtId="179" fontId="9" fillId="0" borderId="18" xfId="20" applyNumberFormat="1" applyFont="1" applyBorder="1" applyAlignment="1">
      <alignment vertical="top"/>
    </xf>
    <xf numFmtId="179" fontId="15" fillId="0" borderId="18" xfId="20" applyNumberFormat="1" applyFont="1" applyBorder="1" applyAlignment="1">
      <alignment vertical="top"/>
    </xf>
    <xf numFmtId="179" fontId="15" fillId="0" borderId="12" xfId="20" applyNumberFormat="1" applyFont="1" applyFill="1" applyBorder="1" applyAlignment="1">
      <alignment vertical="top"/>
    </xf>
    <xf numFmtId="179" fontId="15" fillId="0" borderId="27" xfId="0" applyNumberFormat="1" applyFont="1" applyFill="1" applyBorder="1" applyAlignment="1">
      <alignment vertical="top"/>
    </xf>
    <xf numFmtId="179" fontId="15" fillId="0" borderId="12" xfId="20" applyNumberFormat="1" applyFont="1" applyBorder="1" applyAlignment="1">
      <alignment vertical="top"/>
    </xf>
    <xf numFmtId="0" fontId="9" fillId="0" borderId="0" xfId="20" applyFont="1" applyAlignment="1">
      <alignment vertical="top"/>
    </xf>
    <xf numFmtId="183" fontId="15" fillId="0" borderId="0" xfId="0" applyNumberFormat="1" applyFont="1" applyFill="1" applyAlignment="1">
      <alignment vertical="top"/>
    </xf>
    <xf numFmtId="183" fontId="9" fillId="0" borderId="0" xfId="0" applyNumberFormat="1" applyFont="1" applyFill="1" applyAlignment="1">
      <alignment vertical="top"/>
    </xf>
    <xf numFmtId="41" fontId="9" fillId="0" borderId="13" xfId="0" applyNumberFormat="1" applyFont="1" applyFill="1" applyBorder="1" applyAlignment="1">
      <alignment horizontal="right" vertical="top" wrapText="1"/>
    </xf>
    <xf numFmtId="0" fontId="15" fillId="0" borderId="11" xfId="0" applyFont="1" applyFill="1" applyBorder="1" applyAlignment="1">
      <alignment horizontal="left" vertical="top" wrapText="1"/>
    </xf>
    <xf numFmtId="0" fontId="15" fillId="0" borderId="10" xfId="0" applyFont="1" applyFill="1" applyBorder="1" applyAlignment="1">
      <alignment horizontal="left" vertical="top" wrapText="1"/>
    </xf>
    <xf numFmtId="0" fontId="16" fillId="0" borderId="16" xfId="0" applyFont="1" applyBorder="1" applyAlignment="1">
      <alignment horizontal="distributed" vertical="top"/>
    </xf>
    <xf numFmtId="0" fontId="9" fillId="0" borderId="13" xfId="0" applyFont="1" applyBorder="1" applyAlignment="1">
      <alignment horizontal="left" vertical="top" wrapText="1"/>
    </xf>
    <xf numFmtId="0" fontId="9" fillId="0" borderId="21" xfId="0" applyFont="1" applyBorder="1" applyAlignment="1">
      <alignment horizontal="left" vertical="top" wrapText="1"/>
    </xf>
    <xf numFmtId="10" fontId="15" fillId="0" borderId="18" xfId="0" applyNumberFormat="1" applyFont="1" applyFill="1" applyBorder="1" applyAlignment="1">
      <alignment horizontal="right" vertical="top" wrapText="1"/>
    </xf>
    <xf numFmtId="178" fontId="15" fillId="0" borderId="18" xfId="0" applyNumberFormat="1" applyFont="1" applyFill="1" applyBorder="1" applyAlignment="1">
      <alignment horizontal="right" vertical="top" wrapText="1"/>
    </xf>
    <xf numFmtId="177" fontId="15" fillId="0" borderId="18" xfId="0" applyNumberFormat="1" applyFont="1" applyFill="1" applyBorder="1" applyAlignment="1">
      <alignment horizontal="right" vertical="top"/>
    </xf>
    <xf numFmtId="10" fontId="15" fillId="0" borderId="18" xfId="0" applyNumberFormat="1" applyFont="1" applyFill="1" applyBorder="1" applyAlignment="1">
      <alignment horizontal="right" vertical="top"/>
    </xf>
    <xf numFmtId="179" fontId="15" fillId="0" borderId="11" xfId="0" applyNumberFormat="1" applyFont="1" applyBorder="1" applyAlignment="1">
      <alignment vertical="top"/>
    </xf>
    <xf numFmtId="179" fontId="9" fillId="0" borderId="12" xfId="0" applyNumberFormat="1" applyFont="1" applyBorder="1" applyAlignment="1">
      <alignment horizontal="right" vertical="top"/>
    </xf>
    <xf numFmtId="181" fontId="15" fillId="0" borderId="30" xfId="0" applyNumberFormat="1" applyFont="1" applyFill="1" applyBorder="1" applyAlignment="1">
      <alignment vertical="top"/>
    </xf>
    <xf numFmtId="0" fontId="15" fillId="0" borderId="30" xfId="0" applyFont="1" applyFill="1" applyBorder="1" applyAlignment="1">
      <alignment horizontal="justify" vertical="top"/>
    </xf>
    <xf numFmtId="0" fontId="15" fillId="0" borderId="30" xfId="0" applyFont="1" applyFill="1" applyBorder="1" applyAlignment="1">
      <alignment vertical="top"/>
    </xf>
    <xf numFmtId="0" fontId="9" fillId="0" borderId="0" xfId="0" applyFont="1" applyFill="1" applyBorder="1" applyAlignment="1">
      <alignment vertical="top"/>
    </xf>
    <xf numFmtId="0" fontId="15" fillId="0" borderId="0" xfId="0" applyFont="1" applyFill="1" applyAlignment="1">
      <alignment vertical="center"/>
    </xf>
    <xf numFmtId="0" fontId="15" fillId="0" borderId="0" xfId="20" applyFont="1" applyAlignment="1">
      <alignment vertical="top"/>
    </xf>
    <xf numFmtId="0" fontId="15" fillId="0" borderId="17" xfId="20" applyFont="1" applyBorder="1" applyAlignment="1">
      <alignment vertical="top" wrapText="1"/>
    </xf>
    <xf numFmtId="0" fontId="15" fillId="0" borderId="0" xfId="20" applyFont="1" applyBorder="1" applyAlignment="1">
      <alignment vertical="top"/>
    </xf>
    <xf numFmtId="0" fontId="9" fillId="0" borderId="0" xfId="20" applyFont="1" applyBorder="1" applyAlignment="1">
      <alignment vertical="top"/>
    </xf>
    <xf numFmtId="0" fontId="9" fillId="0" borderId="11" xfId="0" applyNumberFormat="1" applyFont="1" applyBorder="1" applyAlignment="1">
      <alignment horizontal="justify" vertical="top" wrapText="1"/>
    </xf>
    <xf numFmtId="0" fontId="9" fillId="0" borderId="17" xfId="0" applyFont="1" applyBorder="1" applyAlignment="1">
      <alignment vertical="top" wrapText="1"/>
    </xf>
    <xf numFmtId="0" fontId="15" fillId="0" borderId="11" xfId="0" applyNumberFormat="1" applyFont="1" applyBorder="1" applyAlignment="1">
      <alignment horizontal="justify" vertical="top" wrapText="1"/>
    </xf>
    <xf numFmtId="0" fontId="15" fillId="0" borderId="0" xfId="0" applyFont="1" applyAlignment="1">
      <alignment vertical="top"/>
    </xf>
    <xf numFmtId="182" fontId="15" fillId="0" borderId="0" xfId="0" applyNumberFormat="1" applyFont="1" applyFill="1" applyBorder="1" applyAlignment="1">
      <alignment vertical="top" wrapText="1"/>
    </xf>
    <xf numFmtId="49" fontId="20" fillId="0" borderId="36" xfId="0" applyNumberFormat="1" applyFont="1" applyBorder="1" applyAlignment="1">
      <alignment vertical="top" wrapText="1"/>
    </xf>
    <xf numFmtId="0" fontId="9" fillId="0" borderId="0" xfId="0" applyFont="1" applyBorder="1">
      <alignment vertical="center"/>
    </xf>
    <xf numFmtId="0" fontId="18" fillId="0" borderId="0" xfId="0" applyFont="1" applyBorder="1">
      <alignment vertical="center"/>
    </xf>
    <xf numFmtId="0" fontId="9" fillId="0" borderId="0" xfId="0" applyFont="1" applyBorder="1" applyAlignment="1">
      <alignment vertical="top"/>
    </xf>
    <xf numFmtId="0" fontId="16" fillId="0" borderId="0" xfId="0" applyFont="1" applyBorder="1" applyAlignment="1">
      <alignment horizontal="distributed" vertical="center" indent="2"/>
    </xf>
    <xf numFmtId="0" fontId="9" fillId="0" borderId="0" xfId="0" applyFont="1" applyBorder="1" applyAlignment="1">
      <alignment horizontal="center" vertical="top"/>
    </xf>
    <xf numFmtId="49" fontId="9" fillId="0" borderId="0" xfId="0" applyNumberFormat="1" applyFont="1" applyBorder="1" applyAlignment="1">
      <alignment horizontal="left" vertical="top"/>
    </xf>
    <xf numFmtId="0" fontId="9" fillId="0" borderId="0" xfId="0" applyFont="1" applyBorder="1" applyAlignment="1">
      <alignment horizontal="left" vertical="top" wrapText="1"/>
    </xf>
    <xf numFmtId="0" fontId="9" fillId="0" borderId="0" xfId="0" applyFont="1" applyBorder="1" applyAlignment="1">
      <alignment horizontal="left" vertical="top"/>
    </xf>
    <xf numFmtId="0" fontId="9" fillId="0" borderId="21" xfId="0" applyFont="1" applyFill="1" applyBorder="1" applyAlignment="1">
      <alignment vertical="center"/>
    </xf>
    <xf numFmtId="0" fontId="9" fillId="0" borderId="12" xfId="0" applyFont="1" applyFill="1" applyBorder="1" applyAlignment="1">
      <alignment vertical="center"/>
    </xf>
    <xf numFmtId="0" fontId="9" fillId="0" borderId="13" xfId="0" applyFont="1" applyFill="1" applyBorder="1" applyAlignment="1">
      <alignment vertical="center"/>
    </xf>
    <xf numFmtId="179" fontId="15" fillId="0" borderId="10" xfId="0" applyNumberFormat="1" applyFont="1" applyFill="1" applyBorder="1" applyAlignment="1">
      <alignment vertical="top"/>
    </xf>
    <xf numFmtId="0" fontId="14" fillId="0" borderId="30" xfId="0" applyFont="1" applyFill="1" applyBorder="1" applyAlignment="1">
      <alignment horizontal="left" vertical="top"/>
    </xf>
    <xf numFmtId="0" fontId="14" fillId="0" borderId="30" xfId="0" applyFont="1" applyFill="1" applyBorder="1" applyAlignment="1">
      <alignment horizontal="left" vertical="top" wrapText="1"/>
    </xf>
    <xf numFmtId="0" fontId="13" fillId="0" borderId="30" xfId="0" applyFont="1" applyFill="1" applyBorder="1" applyAlignment="1">
      <alignment horizontal="left" vertical="top" wrapText="1"/>
    </xf>
    <xf numFmtId="178" fontId="9" fillId="0" borderId="18" xfId="21" applyNumberFormat="1" applyFont="1" applyBorder="1" applyAlignment="1">
      <alignment horizontal="right" vertical="top" wrapText="1"/>
    </xf>
    <xf numFmtId="10" fontId="9" fillId="0" borderId="18" xfId="26" applyNumberFormat="1" applyFont="1" applyFill="1" applyBorder="1" applyAlignment="1">
      <alignment horizontal="right" vertical="top" wrapText="1"/>
    </xf>
    <xf numFmtId="0" fontId="32" fillId="0" borderId="27" xfId="0" applyFont="1" applyFill="1" applyBorder="1" applyAlignment="1">
      <alignment horizontal="justify" vertical="top" wrapText="1"/>
    </xf>
    <xf numFmtId="0" fontId="34" fillId="0" borderId="27" xfId="0" applyFont="1" applyFill="1" applyBorder="1" applyAlignment="1">
      <alignment horizontal="justify" vertical="top" wrapText="1"/>
    </xf>
    <xf numFmtId="0" fontId="34" fillId="0" borderId="27" xfId="0" applyFont="1" applyFill="1" applyBorder="1" applyAlignment="1">
      <alignment vertical="top" wrapText="1"/>
    </xf>
    <xf numFmtId="0" fontId="34" fillId="0" borderId="27" xfId="0" applyFont="1" applyFill="1" applyBorder="1" applyAlignment="1">
      <alignment horizontal="left" vertical="top" wrapText="1"/>
    </xf>
    <xf numFmtId="0" fontId="33" fillId="0" borderId="0" xfId="0" applyFont="1" applyFill="1">
      <alignment vertical="center"/>
    </xf>
    <xf numFmtId="43" fontId="9" fillId="0" borderId="0" xfId="0" applyNumberFormat="1" applyFont="1" applyFill="1">
      <alignment vertical="center"/>
    </xf>
    <xf numFmtId="0" fontId="34" fillId="0" borderId="32" xfId="0" applyFont="1" applyFill="1" applyBorder="1" applyAlignment="1">
      <alignment horizontal="justify" vertical="top" wrapText="1"/>
    </xf>
    <xf numFmtId="0" fontId="32" fillId="0" borderId="32" xfId="0" applyFont="1" applyFill="1" applyBorder="1" applyAlignment="1">
      <alignment horizontal="justify" vertical="top" wrapText="1"/>
    </xf>
    <xf numFmtId="0" fontId="9" fillId="0" borderId="15" xfId="20" applyFont="1" applyFill="1" applyBorder="1" applyAlignment="1">
      <alignment vertical="top"/>
    </xf>
    <xf numFmtId="0" fontId="9" fillId="0" borderId="25" xfId="20" applyFont="1" applyFill="1" applyBorder="1" applyAlignment="1">
      <alignment vertical="top"/>
    </xf>
    <xf numFmtId="0" fontId="15" fillId="0" borderId="18" xfId="20" applyFont="1" applyFill="1" applyBorder="1" applyAlignment="1">
      <alignment vertical="top"/>
    </xf>
    <xf numFmtId="0" fontId="15" fillId="0" borderId="27" xfId="20" applyFont="1" applyFill="1" applyBorder="1" applyAlignment="1">
      <alignment vertical="top"/>
    </xf>
    <xf numFmtId="0" fontId="15" fillId="0" borderId="0" xfId="20" applyFont="1" applyFill="1" applyAlignment="1">
      <alignment vertical="top"/>
    </xf>
    <xf numFmtId="0" fontId="9" fillId="0" borderId="36" xfId="0" applyFont="1" applyFill="1" applyBorder="1" applyAlignment="1">
      <alignment vertical="top"/>
    </xf>
    <xf numFmtId="0" fontId="9" fillId="0" borderId="0" xfId="20" applyFont="1" applyFill="1" applyAlignment="1">
      <alignment vertical="top"/>
    </xf>
    <xf numFmtId="182" fontId="15" fillId="0" borderId="12" xfId="0" applyNumberFormat="1" applyFont="1" applyFill="1" applyBorder="1" applyAlignment="1">
      <alignment vertical="top" wrapText="1"/>
    </xf>
    <xf numFmtId="180" fontId="21" fillId="0" borderId="28" xfId="0" applyNumberFormat="1" applyFont="1" applyFill="1" applyBorder="1" applyAlignment="1">
      <alignment horizontal="center" vertical="center" wrapText="1"/>
    </xf>
    <xf numFmtId="176" fontId="21" fillId="0" borderId="28" xfId="0" applyNumberFormat="1" applyFont="1" applyFill="1" applyBorder="1" applyAlignment="1">
      <alignment horizontal="center" vertical="center" wrapText="1"/>
    </xf>
    <xf numFmtId="0" fontId="21" fillId="0" borderId="44" xfId="0" applyFont="1" applyFill="1" applyBorder="1" applyAlignment="1">
      <alignment horizontal="center" vertical="center" wrapText="1"/>
    </xf>
    <xf numFmtId="176" fontId="21" fillId="0" borderId="15" xfId="0" applyNumberFormat="1" applyFont="1" applyFill="1" applyBorder="1" applyAlignment="1">
      <alignment horizontal="center" vertical="center" wrapText="1"/>
    </xf>
    <xf numFmtId="176" fontId="9" fillId="0" borderId="0" xfId="0" applyNumberFormat="1" applyFont="1" applyFill="1">
      <alignment vertical="center"/>
    </xf>
    <xf numFmtId="0" fontId="56" fillId="0" borderId="28" xfId="0" applyFont="1" applyFill="1" applyBorder="1" applyAlignment="1">
      <alignment horizontal="justify" vertical="top" wrapText="1"/>
    </xf>
    <xf numFmtId="180" fontId="28" fillId="0" borderId="28" xfId="0" applyNumberFormat="1" applyFont="1" applyFill="1" applyBorder="1">
      <alignment vertical="center"/>
    </xf>
    <xf numFmtId="184" fontId="28" fillId="0" borderId="28" xfId="0" applyNumberFormat="1" applyFont="1" applyFill="1" applyBorder="1">
      <alignment vertical="center"/>
    </xf>
    <xf numFmtId="176" fontId="28" fillId="0" borderId="28" xfId="0" applyNumberFormat="1" applyFont="1" applyFill="1" applyBorder="1">
      <alignment vertical="center"/>
    </xf>
    <xf numFmtId="178" fontId="28" fillId="0" borderId="28" xfId="0" applyNumberFormat="1" applyFont="1" applyFill="1" applyBorder="1">
      <alignment vertical="center"/>
    </xf>
    <xf numFmtId="43" fontId="28" fillId="0" borderId="28" xfId="0" applyNumberFormat="1" applyFont="1" applyFill="1" applyBorder="1">
      <alignment vertical="center"/>
    </xf>
    <xf numFmtId="0" fontId="56" fillId="0" borderId="28" xfId="0" applyFont="1" applyFill="1" applyBorder="1">
      <alignment vertical="center"/>
    </xf>
    <xf numFmtId="0" fontId="13" fillId="0" borderId="31" xfId="0" applyFont="1" applyFill="1" applyBorder="1" applyAlignment="1">
      <alignment horizontal="left" vertical="top" wrapText="1"/>
    </xf>
    <xf numFmtId="185" fontId="28" fillId="0" borderId="28" xfId="0" applyNumberFormat="1" applyFont="1" applyFill="1" applyBorder="1">
      <alignment vertical="center"/>
    </xf>
    <xf numFmtId="0" fontId="9" fillId="0" borderId="17" xfId="0" applyNumberFormat="1" applyFont="1" applyBorder="1" applyAlignment="1">
      <alignment vertical="top" wrapText="1"/>
    </xf>
    <xf numFmtId="3" fontId="9" fillId="0" borderId="12" xfId="0" applyNumberFormat="1" applyFont="1" applyFill="1" applyBorder="1" applyAlignment="1">
      <alignment vertical="top"/>
    </xf>
    <xf numFmtId="0" fontId="9" fillId="0" borderId="0" xfId="0" applyFont="1" applyFill="1" applyBorder="1" applyAlignment="1">
      <alignment horizontal="center" vertical="top" wrapText="1"/>
    </xf>
    <xf numFmtId="0" fontId="9" fillId="0" borderId="0" xfId="0" applyFont="1" applyFill="1" applyBorder="1" applyAlignment="1">
      <alignment horizontal="justify" vertical="top" wrapText="1"/>
    </xf>
    <xf numFmtId="3" fontId="9" fillId="0" borderId="0" xfId="0" applyNumberFormat="1" applyFont="1" applyFill="1" applyBorder="1" applyAlignment="1">
      <alignment vertical="top"/>
    </xf>
    <xf numFmtId="49" fontId="9" fillId="0" borderId="22" xfId="0" applyNumberFormat="1" applyFont="1" applyBorder="1" applyAlignment="1">
      <alignment horizontal="left" vertical="top"/>
    </xf>
    <xf numFmtId="178" fontId="57" fillId="0" borderId="17" xfId="0" applyNumberFormat="1" applyFont="1" applyFill="1" applyBorder="1" applyAlignment="1">
      <alignment horizontal="right" vertical="top" wrapText="1"/>
    </xf>
    <xf numFmtId="43" fontId="57" fillId="0" borderId="30" xfId="0" applyNumberFormat="1" applyFont="1" applyFill="1" applyBorder="1" applyAlignment="1">
      <alignment horizontal="right" vertical="top" wrapText="1"/>
    </xf>
    <xf numFmtId="178" fontId="28" fillId="0" borderId="17" xfId="0" applyNumberFormat="1" applyFont="1" applyFill="1" applyBorder="1" applyAlignment="1">
      <alignment horizontal="right" vertical="top" wrapText="1"/>
    </xf>
    <xf numFmtId="43" fontId="28" fillId="0" borderId="30" xfId="0" applyNumberFormat="1" applyFont="1" applyFill="1" applyBorder="1" applyAlignment="1">
      <alignment horizontal="right" vertical="top" wrapText="1"/>
    </xf>
    <xf numFmtId="178" fontId="28" fillId="0" borderId="21" xfId="0" applyNumberFormat="1" applyFont="1" applyFill="1" applyBorder="1" applyAlignment="1">
      <alignment horizontal="right" vertical="top" wrapText="1"/>
    </xf>
    <xf numFmtId="43" fontId="28" fillId="0" borderId="31" xfId="0" applyNumberFormat="1" applyFont="1" applyFill="1" applyBorder="1" applyAlignment="1">
      <alignment horizontal="right" vertical="top" wrapText="1"/>
    </xf>
    <xf numFmtId="43" fontId="57" fillId="0" borderId="31" xfId="0" applyNumberFormat="1" applyFont="1" applyFill="1" applyBorder="1" applyAlignment="1">
      <alignment horizontal="right" vertical="top" wrapText="1"/>
    </xf>
    <xf numFmtId="179" fontId="57" fillId="0" borderId="17" xfId="0" applyNumberFormat="1" applyFont="1" applyFill="1" applyBorder="1" applyAlignment="1">
      <alignment horizontal="right" vertical="top" wrapText="1"/>
    </xf>
    <xf numFmtId="181" fontId="57" fillId="0" borderId="30" xfId="0" applyNumberFormat="1" applyFont="1" applyFill="1" applyBorder="1" applyAlignment="1">
      <alignment horizontal="right" vertical="top" wrapText="1"/>
    </xf>
    <xf numFmtId="178" fontId="57" fillId="0" borderId="17" xfId="21" applyNumberFormat="1" applyFont="1" applyFill="1" applyBorder="1" applyAlignment="1">
      <alignment horizontal="right" vertical="top" wrapText="1"/>
    </xf>
    <xf numFmtId="178" fontId="57" fillId="0" borderId="21" xfId="21" applyNumberFormat="1" applyFont="1" applyFill="1" applyBorder="1" applyAlignment="1">
      <alignment horizontal="right" vertical="top" wrapText="1"/>
    </xf>
    <xf numFmtId="178" fontId="57" fillId="0" borderId="18" xfId="0" applyNumberFormat="1" applyFont="1" applyFill="1" applyBorder="1" applyAlignment="1">
      <alignment horizontal="right" vertical="top" wrapText="1"/>
    </xf>
    <xf numFmtId="43" fontId="57" fillId="0" borderId="0" xfId="0" applyNumberFormat="1" applyFont="1" applyFill="1" applyBorder="1" applyAlignment="1">
      <alignment horizontal="right" vertical="top" wrapText="1"/>
    </xf>
    <xf numFmtId="43" fontId="57" fillId="0" borderId="11" xfId="0" applyNumberFormat="1" applyFont="1" applyFill="1" applyBorder="1" applyAlignment="1">
      <alignment horizontal="right" vertical="top" wrapText="1"/>
    </xf>
    <xf numFmtId="178" fontId="28" fillId="0" borderId="18" xfId="0" applyNumberFormat="1" applyFont="1" applyFill="1" applyBorder="1" applyAlignment="1">
      <alignment horizontal="right" vertical="top" wrapText="1"/>
    </xf>
    <xf numFmtId="43" fontId="28" fillId="0" borderId="0" xfId="0" applyNumberFormat="1" applyFont="1" applyFill="1" applyBorder="1" applyAlignment="1">
      <alignment horizontal="right" vertical="top" wrapText="1"/>
    </xf>
    <xf numFmtId="43" fontId="28" fillId="0" borderId="11" xfId="0" applyNumberFormat="1" applyFont="1" applyFill="1" applyBorder="1" applyAlignment="1">
      <alignment horizontal="right" vertical="top" wrapText="1"/>
    </xf>
    <xf numFmtId="179" fontId="28" fillId="0" borderId="18" xfId="0" applyNumberFormat="1" applyFont="1" applyFill="1" applyBorder="1" applyAlignment="1">
      <alignment horizontal="right" vertical="top" wrapText="1"/>
    </xf>
    <xf numFmtId="181" fontId="28" fillId="0" borderId="11" xfId="0" applyNumberFormat="1" applyFont="1" applyFill="1" applyBorder="1" applyAlignment="1">
      <alignment horizontal="right" vertical="top" wrapText="1"/>
    </xf>
    <xf numFmtId="178" fontId="28" fillId="0" borderId="12" xfId="0" applyNumberFormat="1" applyFont="1" applyFill="1" applyBorder="1" applyAlignment="1">
      <alignment horizontal="right" vertical="top" wrapText="1"/>
    </xf>
    <xf numFmtId="43" fontId="28" fillId="0" borderId="36" xfId="0" applyNumberFormat="1" applyFont="1" applyFill="1" applyBorder="1" applyAlignment="1">
      <alignment horizontal="right" vertical="top" wrapText="1"/>
    </xf>
    <xf numFmtId="179" fontId="57" fillId="0" borderId="18" xfId="0" applyNumberFormat="1" applyFont="1" applyFill="1" applyBorder="1" applyAlignment="1">
      <alignment horizontal="right" vertical="top" wrapText="1"/>
    </xf>
    <xf numFmtId="181" fontId="57" fillId="0" borderId="11" xfId="0" applyNumberFormat="1" applyFont="1" applyFill="1" applyBorder="1" applyAlignment="1">
      <alignment horizontal="right" vertical="top" wrapText="1"/>
    </xf>
    <xf numFmtId="178" fontId="57" fillId="0" borderId="12" xfId="0" applyNumberFormat="1" applyFont="1" applyFill="1" applyBorder="1" applyAlignment="1">
      <alignment horizontal="right" vertical="top" wrapText="1"/>
    </xf>
    <xf numFmtId="43" fontId="57" fillId="0" borderId="36" xfId="0" applyNumberFormat="1" applyFont="1" applyFill="1" applyBorder="1" applyAlignment="1">
      <alignment horizontal="right" vertical="top" wrapText="1"/>
    </xf>
    <xf numFmtId="178" fontId="57" fillId="0" borderId="18" xfId="21" applyNumberFormat="1" applyFont="1" applyFill="1" applyBorder="1" applyAlignment="1">
      <alignment horizontal="right" vertical="top" wrapText="1"/>
    </xf>
    <xf numFmtId="178" fontId="57" fillId="0" borderId="12" xfId="21" applyNumberFormat="1" applyFont="1" applyFill="1" applyBorder="1" applyAlignment="1">
      <alignment horizontal="right" vertical="top" wrapText="1"/>
    </xf>
    <xf numFmtId="0" fontId="9" fillId="0" borderId="13" xfId="0" applyNumberFormat="1" applyFont="1" applyBorder="1" applyAlignment="1">
      <alignment horizontal="justify" vertical="top" wrapText="1"/>
    </xf>
    <xf numFmtId="10" fontId="9" fillId="0" borderId="12" xfId="0" applyNumberFormat="1" applyFont="1" applyFill="1" applyBorder="1" applyAlignment="1">
      <alignment horizontal="right" vertical="top" wrapText="1"/>
    </xf>
    <xf numFmtId="41" fontId="23" fillId="0" borderId="18" xfId="21" applyNumberFormat="1" applyFont="1" applyFill="1" applyBorder="1" applyAlignment="1">
      <alignment horizontal="right" vertical="top" wrapText="1"/>
    </xf>
    <xf numFmtId="178" fontId="9" fillId="0" borderId="12" xfId="21" applyNumberFormat="1" applyFont="1" applyBorder="1" applyAlignment="1">
      <alignment horizontal="right" vertical="top" wrapText="1"/>
    </xf>
    <xf numFmtId="41" fontId="35" fillId="0" borderId="27" xfId="0" applyNumberFormat="1" applyFont="1" applyFill="1" applyBorder="1" applyAlignment="1">
      <alignment horizontal="right" vertical="top" wrapText="1"/>
    </xf>
    <xf numFmtId="41" fontId="23" fillId="0" borderId="27" xfId="0" applyNumberFormat="1" applyFont="1" applyFill="1" applyBorder="1" applyAlignment="1">
      <alignment horizontal="right" vertical="top" wrapText="1"/>
    </xf>
    <xf numFmtId="179" fontId="28" fillId="0" borderId="12" xfId="0" applyNumberFormat="1" applyFont="1" applyFill="1" applyBorder="1" applyAlignment="1">
      <alignment horizontal="right" vertical="top" wrapText="1"/>
    </xf>
    <xf numFmtId="181" fontId="28" fillId="0" borderId="13" xfId="0" applyNumberFormat="1" applyFont="1" applyFill="1" applyBorder="1" applyAlignment="1">
      <alignment horizontal="right" vertical="top" wrapText="1"/>
    </xf>
    <xf numFmtId="3" fontId="9" fillId="0" borderId="30" xfId="0" applyNumberFormat="1" applyFont="1" applyFill="1" applyBorder="1" applyAlignment="1">
      <alignment horizontal="right" vertical="top" wrapText="1"/>
    </xf>
    <xf numFmtId="178" fontId="9" fillId="0" borderId="17" xfId="21" applyNumberFormat="1" applyFont="1" applyBorder="1" applyAlignment="1">
      <alignment horizontal="right" vertical="top" wrapText="1"/>
    </xf>
    <xf numFmtId="0" fontId="9" fillId="0" borderId="0" xfId="0" applyFont="1" applyFill="1" applyBorder="1" applyAlignment="1">
      <alignment horizontal="left" vertical="top" wrapText="1"/>
    </xf>
    <xf numFmtId="0" fontId="9" fillId="0" borderId="22" xfId="0" applyFont="1" applyFill="1" applyBorder="1" applyAlignment="1">
      <alignment horizontal="center" vertical="top"/>
    </xf>
    <xf numFmtId="49" fontId="9" fillId="0" borderId="0" xfId="0" applyNumberFormat="1" applyFont="1" applyFill="1" applyBorder="1" applyAlignment="1">
      <alignment horizontal="left" vertical="top"/>
    </xf>
    <xf numFmtId="49" fontId="9" fillId="0" borderId="22" xfId="0" applyNumberFormat="1" applyFont="1" applyFill="1" applyBorder="1" applyAlignment="1">
      <alignment horizontal="left" vertical="top"/>
    </xf>
    <xf numFmtId="0" fontId="9" fillId="0" borderId="10" xfId="0" applyFont="1" applyFill="1" applyBorder="1" applyAlignment="1">
      <alignment vertical="top"/>
    </xf>
    <xf numFmtId="0" fontId="9" fillId="0" borderId="11" xfId="0" applyFont="1" applyFill="1" applyBorder="1" applyAlignment="1">
      <alignment horizontal="left" vertical="top" wrapText="1"/>
    </xf>
    <xf numFmtId="0" fontId="18" fillId="0" borderId="39" xfId="0" applyFont="1" applyFill="1" applyBorder="1" applyAlignment="1">
      <alignment horizontal="center" vertical="center"/>
    </xf>
    <xf numFmtId="0" fontId="18" fillId="0" borderId="40" xfId="0" applyFont="1" applyFill="1" applyBorder="1" applyAlignment="1">
      <alignment horizontal="center" vertical="center"/>
    </xf>
    <xf numFmtId="0" fontId="18" fillId="0" borderId="41" xfId="0" applyFont="1" applyFill="1" applyBorder="1" applyAlignment="1">
      <alignment horizontal="center" vertical="center"/>
    </xf>
    <xf numFmtId="0" fontId="18" fillId="0" borderId="0" xfId="0" applyFont="1" applyFill="1" applyBorder="1" applyAlignment="1">
      <alignment vertical="center"/>
    </xf>
    <xf numFmtId="0" fontId="18" fillId="0" borderId="0" xfId="0" applyFont="1" applyFill="1">
      <alignment vertical="center"/>
    </xf>
    <xf numFmtId="0" fontId="18" fillId="0" borderId="0" xfId="0" applyFont="1" applyFill="1" applyAlignment="1">
      <alignment vertical="top"/>
    </xf>
    <xf numFmtId="0" fontId="18" fillId="0" borderId="10" xfId="0" applyFont="1" applyFill="1" applyBorder="1" applyAlignment="1">
      <alignment horizontal="left" vertical="top"/>
    </xf>
    <xf numFmtId="0" fontId="18" fillId="0" borderId="0" xfId="0" applyFont="1" applyFill="1" applyAlignment="1">
      <alignment horizontal="left" vertical="top"/>
    </xf>
    <xf numFmtId="0" fontId="9" fillId="0" borderId="42" xfId="0" applyFont="1" applyFill="1" applyBorder="1">
      <alignment vertical="center"/>
    </xf>
    <xf numFmtId="0" fontId="9" fillId="0" borderId="36" xfId="0" applyFont="1" applyFill="1" applyBorder="1">
      <alignment vertical="center"/>
    </xf>
    <xf numFmtId="0" fontId="9" fillId="0" borderId="23" xfId="0" applyFont="1" applyFill="1" applyBorder="1">
      <alignment vertical="center"/>
    </xf>
    <xf numFmtId="41" fontId="35" fillId="0" borderId="0" xfId="0" applyNumberFormat="1" applyFont="1" applyFill="1" applyBorder="1" applyAlignment="1">
      <alignment horizontal="right" vertical="top" wrapText="1"/>
    </xf>
    <xf numFmtId="0" fontId="9" fillId="0" borderId="13" xfId="0" applyFont="1" applyFill="1" applyBorder="1" applyAlignment="1">
      <alignment horizontal="left" vertical="top" wrapText="1"/>
    </xf>
    <xf numFmtId="179" fontId="15" fillId="0" borderId="27" xfId="20" applyNumberFormat="1" applyFont="1" applyFill="1" applyBorder="1" applyAlignment="1">
      <alignment vertical="top"/>
    </xf>
    <xf numFmtId="43" fontId="28" fillId="0" borderId="18" xfId="0" applyNumberFormat="1" applyFont="1" applyFill="1" applyBorder="1" applyAlignment="1">
      <alignment horizontal="right" vertical="top" wrapText="1"/>
    </xf>
    <xf numFmtId="0" fontId="18" fillId="0" borderId="0" xfId="0" applyFont="1" applyFill="1" applyBorder="1" applyAlignment="1">
      <alignment vertical="top"/>
    </xf>
    <xf numFmtId="41" fontId="9" fillId="0" borderId="10" xfId="0" applyNumberFormat="1" applyFont="1" applyFill="1" applyBorder="1" applyAlignment="1">
      <alignment horizontal="right" vertical="top" wrapText="1"/>
    </xf>
    <xf numFmtId="41" fontId="15" fillId="0" borderId="10" xfId="0" applyNumberFormat="1" applyFont="1" applyFill="1" applyBorder="1" applyAlignment="1">
      <alignment horizontal="right" vertical="top" wrapText="1"/>
    </xf>
    <xf numFmtId="0" fontId="15" fillId="0" borderId="17" xfId="0" applyFont="1" applyFill="1" applyBorder="1" applyAlignment="1">
      <alignment horizontal="left" vertical="top" wrapText="1"/>
    </xf>
    <xf numFmtId="3" fontId="9" fillId="0" borderId="27" xfId="0" applyNumberFormat="1" applyFont="1" applyFill="1" applyBorder="1" applyAlignment="1">
      <alignment horizontal="right" vertical="top" wrapText="1"/>
    </xf>
    <xf numFmtId="3" fontId="9" fillId="0" borderId="0" xfId="0" applyNumberFormat="1" applyFont="1" applyFill="1" applyBorder="1" applyAlignment="1">
      <alignment horizontal="right" vertical="top" wrapText="1"/>
    </xf>
    <xf numFmtId="3" fontId="15" fillId="0" borderId="27" xfId="0" applyNumberFormat="1" applyFont="1" applyFill="1" applyBorder="1" applyAlignment="1">
      <alignment horizontal="right" vertical="top" wrapText="1"/>
    </xf>
    <xf numFmtId="3" fontId="15" fillId="0" borderId="0" xfId="0" applyNumberFormat="1" applyFont="1" applyFill="1" applyBorder="1" applyAlignment="1">
      <alignment horizontal="right" vertical="top" wrapText="1"/>
    </xf>
    <xf numFmtId="0" fontId="9" fillId="0" borderId="22" xfId="0" applyFont="1" applyFill="1" applyBorder="1" applyAlignment="1">
      <alignment horizontal="justify" vertical="top" wrapText="1"/>
    </xf>
    <xf numFmtId="41" fontId="15" fillId="0" borderId="27" xfId="0" applyNumberFormat="1" applyFont="1" applyFill="1" applyBorder="1" applyAlignment="1">
      <alignment horizontal="right" vertical="top" wrapText="1"/>
    </xf>
    <xf numFmtId="41" fontId="15" fillId="0" borderId="0" xfId="0" applyNumberFormat="1" applyFont="1" applyFill="1" applyBorder="1" applyAlignment="1">
      <alignment horizontal="right" vertical="top" wrapText="1"/>
    </xf>
    <xf numFmtId="41" fontId="9" fillId="0" borderId="27" xfId="0" applyNumberFormat="1" applyFont="1" applyFill="1" applyBorder="1" applyAlignment="1">
      <alignment horizontal="right" vertical="top" wrapText="1"/>
    </xf>
    <xf numFmtId="41" fontId="9" fillId="0" borderId="0" xfId="0" applyNumberFormat="1" applyFont="1" applyFill="1" applyBorder="1" applyAlignment="1">
      <alignment horizontal="right" vertical="top" wrapText="1"/>
    </xf>
    <xf numFmtId="0" fontId="23" fillId="0" borderId="22" xfId="0" applyFont="1" applyFill="1" applyBorder="1" applyAlignment="1">
      <alignment horizontal="center" vertical="top" wrapText="1"/>
    </xf>
    <xf numFmtId="179" fontId="15" fillId="0" borderId="27" xfId="0" applyNumberFormat="1" applyFont="1" applyFill="1" applyBorder="1" applyAlignment="1">
      <alignment horizontal="right" vertical="top" wrapText="1"/>
    </xf>
    <xf numFmtId="179" fontId="15" fillId="0" borderId="0" xfId="0" applyNumberFormat="1" applyFont="1" applyFill="1" applyBorder="1" applyAlignment="1">
      <alignment horizontal="right" vertical="top" wrapText="1"/>
    </xf>
    <xf numFmtId="0" fontId="23" fillId="0" borderId="22" xfId="0" applyFont="1" applyFill="1" applyBorder="1" applyAlignment="1">
      <alignment horizontal="justify" vertical="top" wrapText="1"/>
    </xf>
    <xf numFmtId="0" fontId="15" fillId="0" borderId="21" xfId="0" applyFont="1" applyFill="1" applyBorder="1" applyAlignment="1">
      <alignment horizontal="left" vertical="top" wrapText="1"/>
    </xf>
    <xf numFmtId="179" fontId="15" fillId="0" borderId="32" xfId="0" applyNumberFormat="1" applyFont="1" applyFill="1" applyBorder="1" applyAlignment="1">
      <alignment horizontal="right" vertical="top" wrapText="1"/>
    </xf>
    <xf numFmtId="179" fontId="15" fillId="0" borderId="36" xfId="0" applyNumberFormat="1" applyFont="1" applyFill="1" applyBorder="1" applyAlignment="1">
      <alignment horizontal="right" vertical="top" wrapText="1"/>
    </xf>
    <xf numFmtId="0" fontId="23" fillId="0" borderId="23" xfId="0" applyFont="1" applyFill="1" applyBorder="1" applyAlignment="1">
      <alignment horizontal="justify" vertical="top" wrapText="1"/>
    </xf>
    <xf numFmtId="43" fontId="28" fillId="0" borderId="12" xfId="0" applyNumberFormat="1" applyFont="1" applyFill="1" applyBorder="1" applyAlignment="1">
      <alignment horizontal="right" vertical="top" wrapText="1"/>
    </xf>
    <xf numFmtId="0" fontId="67" fillId="0" borderId="0" xfId="0" applyFont="1" applyFill="1" applyAlignment="1">
      <alignment vertical="top"/>
    </xf>
    <xf numFmtId="41" fontId="9" fillId="0" borderId="11" xfId="0" applyNumberFormat="1" applyFont="1" applyBorder="1" applyAlignment="1">
      <alignment vertical="top"/>
    </xf>
    <xf numFmtId="178" fontId="9" fillId="0" borderId="18" xfId="21" applyNumberFormat="1" applyFont="1" applyFill="1" applyBorder="1" applyAlignment="1">
      <alignment horizontal="right" vertical="top" wrapText="1"/>
    </xf>
    <xf numFmtId="178" fontId="9" fillId="0" borderId="11" xfId="21" applyNumberFormat="1" applyFont="1" applyFill="1" applyBorder="1" applyAlignment="1">
      <alignment horizontal="right" vertical="top" wrapText="1"/>
    </xf>
    <xf numFmtId="0" fontId="9" fillId="0" borderId="0" xfId="0" applyFont="1" applyFill="1" applyBorder="1" applyAlignment="1">
      <alignment horizontal="center" vertical="center"/>
    </xf>
    <xf numFmtId="0" fontId="9" fillId="0" borderId="24" xfId="0" applyFont="1" applyFill="1" applyBorder="1" applyAlignment="1">
      <alignment horizontal="distributed" vertical="center" wrapText="1" indent="1"/>
    </xf>
    <xf numFmtId="0" fontId="9" fillId="0" borderId="15" xfId="0" applyFont="1" applyFill="1" applyBorder="1" applyAlignment="1">
      <alignment horizontal="distributed" vertical="center" wrapText="1" indent="1"/>
    </xf>
    <xf numFmtId="0" fontId="9" fillId="0" borderId="15" xfId="0" applyFont="1" applyFill="1" applyBorder="1" applyAlignment="1">
      <alignment horizontal="center" vertical="center" wrapText="1"/>
    </xf>
    <xf numFmtId="0" fontId="9" fillId="0" borderId="16" xfId="0" applyFont="1" applyFill="1" applyBorder="1" applyAlignment="1">
      <alignment horizontal="distributed" vertical="center" wrapText="1" indent="1"/>
    </xf>
    <xf numFmtId="0" fontId="16" fillId="0" borderId="45" xfId="0" applyFont="1" applyBorder="1" applyAlignment="1">
      <alignment horizontal="distributed" vertical="center" indent="2"/>
    </xf>
    <xf numFmtId="0" fontId="9" fillId="0" borderId="35" xfId="0" applyFont="1" applyBorder="1" applyAlignment="1">
      <alignment horizontal="distributed" vertical="center" wrapText="1" indent="1"/>
    </xf>
    <xf numFmtId="0" fontId="9" fillId="0" borderId="14" xfId="0" applyFont="1" applyBorder="1" applyAlignment="1">
      <alignment horizontal="distributed" vertical="center" wrapText="1" indent="1"/>
    </xf>
    <xf numFmtId="0" fontId="9" fillId="0" borderId="18" xfId="0" applyFont="1" applyBorder="1" applyAlignment="1">
      <alignment horizontal="left" vertical="top" wrapText="1"/>
    </xf>
    <xf numFmtId="0" fontId="20" fillId="24" borderId="11" xfId="0" applyFont="1" applyFill="1" applyBorder="1" applyAlignment="1">
      <alignment vertical="top" wrapText="1"/>
    </xf>
    <xf numFmtId="0" fontId="9" fillId="0" borderId="19"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20"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16" fillId="0" borderId="19" xfId="0" applyFont="1" applyBorder="1" applyAlignment="1">
      <alignment horizontal="distributed" vertical="center" indent="2"/>
    </xf>
    <xf numFmtId="0" fontId="16" fillId="0" borderId="20" xfId="0" applyFont="1" applyBorder="1" applyAlignment="1">
      <alignment horizontal="distributed" vertical="center" indent="2"/>
    </xf>
    <xf numFmtId="0" fontId="9" fillId="0" borderId="0" xfId="0" applyFont="1" applyBorder="1" applyAlignment="1">
      <alignment vertical="top" wrapText="1"/>
    </xf>
    <xf numFmtId="0" fontId="15" fillId="0" borderId="22" xfId="0" applyFont="1" applyFill="1" applyBorder="1" applyAlignment="1">
      <alignment horizontal="justify" vertical="top" wrapText="1"/>
    </xf>
    <xf numFmtId="0" fontId="9" fillId="0" borderId="19" xfId="0" applyFont="1" applyFill="1" applyBorder="1" applyAlignment="1">
      <alignment horizontal="center" vertical="center" wrapText="1"/>
    </xf>
    <xf numFmtId="0" fontId="9" fillId="0" borderId="24" xfId="0" applyFont="1" applyFill="1" applyBorder="1" applyAlignment="1">
      <alignment horizontal="center" vertical="center" wrapText="1"/>
    </xf>
    <xf numFmtId="0" fontId="9" fillId="0" borderId="20" xfId="0" applyFont="1" applyFill="1" applyBorder="1" applyAlignment="1">
      <alignment horizontal="center" vertical="center" wrapText="1"/>
    </xf>
    <xf numFmtId="0" fontId="9" fillId="0" borderId="16" xfId="0" applyFont="1" applyFill="1" applyBorder="1" applyAlignment="1">
      <alignment horizontal="center" vertical="center" wrapText="1"/>
    </xf>
    <xf numFmtId="0" fontId="9" fillId="0" borderId="34" xfId="0" applyFont="1" applyBorder="1" applyAlignment="1">
      <alignment horizontal="distributed" vertical="center" wrapText="1" indent="1"/>
    </xf>
    <xf numFmtId="0" fontId="9" fillId="0" borderId="33" xfId="0" applyFont="1" applyBorder="1" applyAlignment="1">
      <alignment horizontal="distributed" vertical="distributed" wrapText="1" indent="1"/>
    </xf>
    <xf numFmtId="0" fontId="9" fillId="0" borderId="38" xfId="0" applyFont="1" applyBorder="1" applyAlignment="1">
      <alignment horizontal="distributed" vertical="center" wrapText="1" indent="1"/>
    </xf>
    <xf numFmtId="0" fontId="9" fillId="0" borderId="14" xfId="0" applyFont="1" applyBorder="1" applyAlignment="1">
      <alignment horizontal="distributed" vertical="distributed" wrapText="1" indent="1"/>
    </xf>
    <xf numFmtId="0" fontId="9" fillId="0" borderId="19" xfId="0" applyFont="1" applyFill="1" applyBorder="1" applyAlignment="1">
      <alignment horizontal="distributed" vertical="center" wrapText="1" indent="2"/>
    </xf>
    <xf numFmtId="0" fontId="9" fillId="0" borderId="24" xfId="0" applyFont="1" applyFill="1" applyBorder="1" applyAlignment="1">
      <alignment horizontal="distributed" vertical="center" wrapText="1"/>
    </xf>
    <xf numFmtId="0" fontId="9" fillId="0" borderId="20" xfId="0" applyFont="1" applyFill="1" applyBorder="1" applyAlignment="1">
      <alignment horizontal="distributed" vertical="center" wrapText="1" indent="2"/>
    </xf>
    <xf numFmtId="0" fontId="23" fillId="0" borderId="25" xfId="0" applyFont="1" applyFill="1" applyBorder="1" applyAlignment="1">
      <alignment horizontal="distributed" vertical="center" wrapText="1"/>
    </xf>
    <xf numFmtId="0" fontId="23" fillId="0" borderId="15" xfId="0" applyFont="1" applyFill="1" applyBorder="1" applyAlignment="1">
      <alignment horizontal="distributed" vertical="center" wrapText="1"/>
    </xf>
    <xf numFmtId="0" fontId="9" fillId="0" borderId="28" xfId="0" applyFont="1" applyBorder="1" applyAlignment="1">
      <alignment horizontal="distributed" vertical="center" wrapText="1"/>
    </xf>
    <xf numFmtId="0" fontId="9" fillId="0" borderId="28" xfId="0" applyFont="1" applyBorder="1" applyAlignment="1">
      <alignment horizontal="distributed" vertical="distributed" wrapText="1"/>
    </xf>
    <xf numFmtId="0" fontId="9" fillId="0" borderId="17" xfId="0" applyFont="1" applyBorder="1" applyAlignment="1">
      <alignment horizontal="left" vertical="top" wrapText="1" indent="1"/>
    </xf>
    <xf numFmtId="182" fontId="9" fillId="0" borderId="0" xfId="0" applyNumberFormat="1" applyFont="1" applyFill="1" applyBorder="1" applyAlignment="1">
      <alignment vertical="top" wrapText="1"/>
    </xf>
    <xf numFmtId="182" fontId="9" fillId="0" borderId="22" xfId="0" applyNumberFormat="1" applyFont="1" applyFill="1" applyBorder="1" applyAlignment="1">
      <alignment vertical="top" wrapText="1"/>
    </xf>
    <xf numFmtId="182" fontId="9" fillId="0" borderId="23" xfId="0" applyNumberFormat="1" applyFont="1" applyFill="1" applyBorder="1" applyAlignment="1">
      <alignment vertical="top" wrapText="1"/>
    </xf>
    <xf numFmtId="3" fontId="9" fillId="0" borderId="14" xfId="20" applyNumberFormat="1" applyFont="1" applyBorder="1" applyAlignment="1">
      <alignment vertical="top"/>
    </xf>
    <xf numFmtId="0" fontId="16" fillId="0" borderId="0" xfId="20" applyFont="1" applyAlignment="1">
      <alignment vertical="top"/>
    </xf>
    <xf numFmtId="0" fontId="36" fillId="0" borderId="0" xfId="20" applyFont="1" applyAlignment="1">
      <alignment horizontal="left" vertical="top" indent="1"/>
    </xf>
    <xf numFmtId="0" fontId="68" fillId="0" borderId="24" xfId="20" applyFont="1" applyFill="1" applyBorder="1" applyAlignment="1">
      <alignment horizontal="distributed" vertical="center" wrapText="1"/>
    </xf>
    <xf numFmtId="0" fontId="9" fillId="0" borderId="43" xfId="20" applyFont="1" applyFill="1" applyBorder="1" applyAlignment="1">
      <alignment horizontal="center" vertical="center" wrapText="1"/>
    </xf>
    <xf numFmtId="0" fontId="9" fillId="0" borderId="43" xfId="20" applyFont="1" applyFill="1" applyBorder="1" applyAlignment="1">
      <alignment horizontal="distributed" vertical="center"/>
    </xf>
    <xf numFmtId="0" fontId="16" fillId="0" borderId="0" xfId="20" applyFont="1" applyFill="1" applyAlignment="1">
      <alignment vertical="center"/>
    </xf>
    <xf numFmtId="0" fontId="16" fillId="0" borderId="0" xfId="20" applyFont="1" applyFill="1" applyAlignment="1">
      <alignment vertical="top"/>
    </xf>
    <xf numFmtId="0" fontId="36" fillId="0" borderId="0" xfId="20" applyFont="1" applyFill="1" applyAlignment="1">
      <alignment vertical="top"/>
    </xf>
    <xf numFmtId="0" fontId="9" fillId="0" borderId="19" xfId="20" applyFont="1" applyBorder="1" applyAlignment="1">
      <alignment horizontal="distributed" vertical="center" indent="2"/>
    </xf>
    <xf numFmtId="0" fontId="68" fillId="0" borderId="24" xfId="20" applyFont="1" applyBorder="1" applyAlignment="1">
      <alignment horizontal="distributed" vertical="center" wrapText="1"/>
    </xf>
    <xf numFmtId="0" fontId="9" fillId="0" borderId="43" xfId="20" applyFont="1" applyBorder="1" applyAlignment="1">
      <alignment horizontal="center" vertical="center" wrapText="1"/>
    </xf>
    <xf numFmtId="0" fontId="9" fillId="0" borderId="43" xfId="20" applyFont="1" applyBorder="1" applyAlignment="1">
      <alignment horizontal="distributed" vertical="center"/>
    </xf>
    <xf numFmtId="0" fontId="9" fillId="0" borderId="20" xfId="20" applyFont="1" applyBorder="1" applyAlignment="1">
      <alignment horizontal="distributed" vertical="center" indent="1"/>
    </xf>
    <xf numFmtId="0" fontId="16" fillId="0" borderId="0" xfId="20" applyFont="1" applyAlignment="1">
      <alignment vertical="center"/>
    </xf>
    <xf numFmtId="0" fontId="9" fillId="0" borderId="28" xfId="0" applyFont="1" applyBorder="1" applyAlignment="1">
      <alignment horizontal="distributed" vertical="center" wrapText="1" indent="1"/>
    </xf>
    <xf numFmtId="0" fontId="13" fillId="0" borderId="14" xfId="0" applyFont="1" applyFill="1" applyBorder="1" applyAlignment="1">
      <alignment horizontal="center" vertical="center"/>
    </xf>
    <xf numFmtId="0" fontId="14" fillId="0" borderId="18" xfId="0" applyFont="1" applyFill="1" applyBorder="1" applyAlignment="1">
      <alignment horizontal="center" vertical="top" wrapText="1"/>
    </xf>
    <xf numFmtId="0" fontId="13" fillId="0" borderId="17" xfId="0" applyFont="1" applyFill="1" applyBorder="1" applyAlignment="1">
      <alignment horizontal="left" vertical="top"/>
    </xf>
    <xf numFmtId="0" fontId="13" fillId="0" borderId="18" xfId="0" applyFont="1" applyFill="1" applyBorder="1" applyAlignment="1">
      <alignment horizontal="center" vertical="top" wrapText="1"/>
    </xf>
    <xf numFmtId="0" fontId="13" fillId="0" borderId="21" xfId="0" applyFont="1" applyFill="1" applyBorder="1" applyAlignment="1">
      <alignment horizontal="left" vertical="top"/>
    </xf>
    <xf numFmtId="0" fontId="13" fillId="0" borderId="12" xfId="0" applyFont="1" applyFill="1" applyBorder="1" applyAlignment="1">
      <alignment horizontal="center" vertical="top" wrapText="1"/>
    </xf>
    <xf numFmtId="0" fontId="14" fillId="0" borderId="17" xfId="0" applyFont="1" applyFill="1" applyBorder="1" applyAlignment="1">
      <alignment vertical="top" wrapText="1"/>
    </xf>
    <xf numFmtId="0" fontId="14" fillId="0" borderId="17" xfId="0" applyFont="1" applyFill="1" applyBorder="1" applyAlignment="1">
      <alignment horizontal="justify" vertical="top"/>
    </xf>
    <xf numFmtId="0" fontId="14" fillId="0" borderId="17" xfId="0" applyFont="1" applyFill="1" applyBorder="1" applyAlignment="1">
      <alignment horizontal="justify" vertical="top" wrapText="1"/>
    </xf>
    <xf numFmtId="0" fontId="13" fillId="0" borderId="17" xfId="0" applyFont="1" applyFill="1" applyBorder="1" applyAlignment="1">
      <alignment horizontal="justify" vertical="top" wrapText="1"/>
    </xf>
    <xf numFmtId="0" fontId="13" fillId="0" borderId="17" xfId="0" applyFont="1" applyFill="1" applyBorder="1" applyAlignment="1">
      <alignment vertical="top" wrapText="1"/>
    </xf>
    <xf numFmtId="0" fontId="13" fillId="0" borderId="21" xfId="0" applyFont="1" applyFill="1" applyBorder="1" applyAlignment="1">
      <alignment horizontal="justify" vertical="top" wrapText="1"/>
    </xf>
    <xf numFmtId="0" fontId="13" fillId="0" borderId="21" xfId="0" applyFont="1" applyFill="1" applyBorder="1" applyAlignment="1">
      <alignment vertical="top" wrapText="1"/>
    </xf>
    <xf numFmtId="0" fontId="13" fillId="0" borderId="24" xfId="0" applyFont="1" applyBorder="1" applyAlignment="1">
      <alignment horizontal="center" vertical="center" wrapText="1"/>
    </xf>
    <xf numFmtId="0" fontId="13" fillId="0" borderId="15" xfId="0" applyFont="1" applyBorder="1" applyAlignment="1">
      <alignment horizontal="center" vertical="center" wrapText="1"/>
    </xf>
    <xf numFmtId="0" fontId="14" fillId="0" borderId="30" xfId="0" applyFont="1" applyBorder="1" applyAlignment="1">
      <alignment vertical="top" wrapText="1"/>
    </xf>
    <xf numFmtId="0" fontId="14" fillId="0" borderId="30" xfId="0" applyFont="1" applyBorder="1" applyAlignment="1">
      <alignment horizontal="left" vertical="top" wrapText="1"/>
    </xf>
    <xf numFmtId="0" fontId="13" fillId="0" borderId="30" xfId="0" applyFont="1" applyBorder="1" applyAlignment="1">
      <alignment horizontal="left" vertical="top" wrapText="1"/>
    </xf>
    <xf numFmtId="0" fontId="13" fillId="0" borderId="31" xfId="0" applyFont="1" applyBorder="1" applyAlignment="1">
      <alignment horizontal="left" vertical="top" wrapText="1"/>
    </xf>
    <xf numFmtId="0" fontId="13" fillId="0" borderId="12" xfId="0" applyFont="1" applyFill="1" applyBorder="1" applyAlignment="1">
      <alignment horizontal="left" vertical="top" wrapText="1"/>
    </xf>
    <xf numFmtId="0" fontId="17" fillId="0" borderId="17" xfId="0" applyFont="1" applyBorder="1" applyAlignment="1">
      <alignment horizontal="distributed" vertical="center" indent="2"/>
    </xf>
    <xf numFmtId="0" fontId="13" fillId="0" borderId="21" xfId="0" applyFont="1" applyBorder="1" applyAlignment="1">
      <alignment vertical="top"/>
    </xf>
    <xf numFmtId="0" fontId="14" fillId="0" borderId="17" xfId="0" applyFont="1" applyBorder="1" applyAlignment="1">
      <alignment vertical="top"/>
    </xf>
    <xf numFmtId="0" fontId="14" fillId="0" borderId="17" xfId="0" applyFont="1" applyBorder="1" applyAlignment="1">
      <alignment horizontal="justify" vertical="top" wrapText="1"/>
    </xf>
    <xf numFmtId="0" fontId="13" fillId="0" borderId="17" xfId="0" applyFont="1" applyBorder="1" applyAlignment="1">
      <alignment vertical="top" wrapText="1"/>
    </xf>
    <xf numFmtId="0" fontId="13" fillId="0" borderId="0" xfId="0" applyFont="1" applyFill="1" applyAlignment="1">
      <alignment vertical="center"/>
    </xf>
    <xf numFmtId="0" fontId="9" fillId="0" borderId="36" xfId="0" applyFont="1" applyBorder="1" applyAlignment="1">
      <alignment vertical="top" wrapText="1"/>
    </xf>
    <xf numFmtId="0" fontId="9" fillId="0" borderId="23" xfId="0" applyFont="1" applyBorder="1" applyAlignment="1">
      <alignment vertical="top" wrapText="1"/>
    </xf>
    <xf numFmtId="0" fontId="14" fillId="0" borderId="21" xfId="0" applyFont="1" applyFill="1" applyBorder="1" applyAlignment="1">
      <alignment horizontal="justify" vertical="top"/>
    </xf>
    <xf numFmtId="0" fontId="13" fillId="0" borderId="17" xfId="0" applyFont="1" applyFill="1" applyBorder="1" applyAlignment="1">
      <alignment horizontal="justify" vertical="top"/>
    </xf>
    <xf numFmtId="0" fontId="13" fillId="0" borderId="17" xfId="20" applyFont="1" applyBorder="1" applyAlignment="1">
      <alignment vertical="top" wrapText="1"/>
    </xf>
    <xf numFmtId="0" fontId="14" fillId="0" borderId="21" xfId="0" applyFont="1" applyFill="1" applyBorder="1" applyAlignment="1">
      <alignment horizontal="left" vertical="top" wrapText="1"/>
    </xf>
    <xf numFmtId="0" fontId="14" fillId="0" borderId="21" xfId="0" applyFont="1" applyFill="1" applyBorder="1" applyAlignment="1">
      <alignment horizontal="left" vertical="top"/>
    </xf>
    <xf numFmtId="0" fontId="13" fillId="0" borderId="21" xfId="20" applyFont="1" applyBorder="1" applyAlignment="1">
      <alignment vertical="top" wrapText="1"/>
    </xf>
    <xf numFmtId="0" fontId="17" fillId="0" borderId="14" xfId="0" applyFont="1" applyBorder="1" applyAlignment="1">
      <alignment horizontal="distributed" vertical="top"/>
    </xf>
    <xf numFmtId="0" fontId="13" fillId="0" borderId="17" xfId="0" applyFont="1" applyBorder="1" applyAlignment="1">
      <alignment horizontal="left" vertical="top" wrapText="1"/>
    </xf>
    <xf numFmtId="0" fontId="13" fillId="0" borderId="21" xfId="0" applyFont="1" applyBorder="1" applyAlignment="1">
      <alignment horizontal="left" vertical="top" wrapText="1"/>
    </xf>
    <xf numFmtId="0" fontId="14" fillId="0" borderId="17" xfId="0" applyFont="1" applyBorder="1" applyAlignment="1">
      <alignment horizontal="left" vertical="top" wrapText="1"/>
    </xf>
    <xf numFmtId="0" fontId="13" fillId="0" borderId="21" xfId="0" applyFont="1" applyFill="1" applyBorder="1" applyAlignment="1">
      <alignment horizontal="left" vertical="top" wrapText="1"/>
    </xf>
    <xf numFmtId="0" fontId="30" fillId="0" borderId="17" xfId="0" applyFont="1" applyFill="1" applyBorder="1" applyAlignment="1">
      <alignment vertical="top"/>
    </xf>
    <xf numFmtId="0" fontId="13" fillId="0" borderId="17" xfId="0" applyFont="1" applyBorder="1" applyAlignment="1">
      <alignment horizontal="left" vertical="top"/>
    </xf>
    <xf numFmtId="0" fontId="70" fillId="0" borderId="0" xfId="111" applyFont="1"/>
    <xf numFmtId="0" fontId="11" fillId="0" borderId="0" xfId="111" applyFont="1"/>
    <xf numFmtId="0" fontId="16" fillId="0" borderId="0" xfId="111" applyFont="1" applyAlignment="1">
      <alignment vertical="top"/>
    </xf>
    <xf numFmtId="0" fontId="36" fillId="0" borderId="0" xfId="111" applyFont="1"/>
    <xf numFmtId="0" fontId="9" fillId="0" borderId="0" xfId="111" applyFont="1" applyAlignment="1">
      <alignment horizontal="right"/>
    </xf>
    <xf numFmtId="0" fontId="14" fillId="0" borderId="28" xfId="111" applyFont="1" applyBorder="1" applyAlignment="1">
      <alignment horizontal="center" vertical="center" wrapText="1"/>
    </xf>
    <xf numFmtId="0" fontId="15" fillId="0" borderId="28" xfId="111" applyFont="1" applyBorder="1" applyAlignment="1">
      <alignment horizontal="center" vertical="center" wrapText="1"/>
    </xf>
    <xf numFmtId="0" fontId="14" fillId="0" borderId="15" xfId="111" applyFont="1" applyBorder="1" applyAlignment="1">
      <alignment horizontal="justify" vertical="center" wrapText="1"/>
    </xf>
    <xf numFmtId="182" fontId="15" fillId="0" borderId="15" xfId="111" applyNumberFormat="1" applyFont="1" applyBorder="1" applyAlignment="1">
      <alignment vertical="center" wrapText="1"/>
    </xf>
    <xf numFmtId="0" fontId="14" fillId="0" borderId="15" xfId="111" applyFont="1" applyBorder="1" applyAlignment="1">
      <alignment vertical="center" wrapText="1"/>
    </xf>
    <xf numFmtId="3" fontId="15" fillId="0" borderId="15" xfId="111" applyNumberFormat="1" applyFont="1" applyBorder="1" applyAlignment="1">
      <alignment vertical="center" wrapText="1"/>
    </xf>
    <xf numFmtId="0" fontId="13" fillId="0" borderId="18" xfId="111" applyFont="1" applyBorder="1" applyAlignment="1">
      <alignment horizontal="justify" vertical="center" wrapText="1"/>
    </xf>
    <xf numFmtId="182" fontId="9" fillId="0" borderId="18" xfId="111" applyNumberFormat="1" applyFont="1" applyBorder="1" applyAlignment="1">
      <alignment vertical="center" wrapText="1"/>
    </xf>
    <xf numFmtId="0" fontId="13" fillId="0" borderId="18" xfId="111" applyFont="1" applyBorder="1" applyAlignment="1">
      <alignment vertical="center" wrapText="1"/>
    </xf>
    <xf numFmtId="3" fontId="9" fillId="0" borderId="18" xfId="111" applyNumberFormat="1" applyFont="1" applyBorder="1" applyAlignment="1">
      <alignment vertical="center" wrapText="1"/>
    </xf>
    <xf numFmtId="0" fontId="14" fillId="0" borderId="18" xfId="111" applyFont="1" applyBorder="1" applyAlignment="1">
      <alignment horizontal="justify" vertical="center" wrapText="1"/>
    </xf>
    <xf numFmtId="182" fontId="15" fillId="0" borderId="18" xfId="111" applyNumberFormat="1" applyFont="1" applyBorder="1" applyAlignment="1">
      <alignment vertical="center" wrapText="1"/>
    </xf>
    <xf numFmtId="0" fontId="14" fillId="0" borderId="18" xfId="111" applyFont="1" applyBorder="1" applyAlignment="1">
      <alignment vertical="center" wrapText="1"/>
    </xf>
    <xf numFmtId="3" fontId="15" fillId="0" borderId="18" xfId="111" applyNumberFormat="1" applyFont="1" applyBorder="1" applyAlignment="1">
      <alignment vertical="center" wrapText="1"/>
    </xf>
    <xf numFmtId="0" fontId="13" fillId="0" borderId="46" xfId="111" applyFont="1" applyBorder="1" applyAlignment="1">
      <alignment horizontal="justify" vertical="center" wrapText="1"/>
    </xf>
    <xf numFmtId="182" fontId="9" fillId="0" borderId="46" xfId="111" applyNumberFormat="1" applyFont="1" applyBorder="1" applyAlignment="1">
      <alignment vertical="center" wrapText="1"/>
    </xf>
    <xf numFmtId="0" fontId="14" fillId="0" borderId="46" xfId="111" applyFont="1" applyBorder="1" applyAlignment="1">
      <alignment vertical="center" wrapText="1"/>
    </xf>
    <xf numFmtId="0" fontId="9" fillId="0" borderId="46" xfId="111" applyFont="1" applyBorder="1" applyAlignment="1">
      <alignment horizontal="right" vertical="center" wrapText="1"/>
    </xf>
    <xf numFmtId="0" fontId="14" fillId="0" borderId="28" xfId="111" applyFont="1" applyBorder="1" applyAlignment="1">
      <alignment horizontal="left" vertical="center" wrapText="1"/>
    </xf>
    <xf numFmtId="182" fontId="15" fillId="0" borderId="28" xfId="111" applyNumberFormat="1" applyFont="1" applyBorder="1" applyAlignment="1">
      <alignment vertical="center" wrapText="1"/>
    </xf>
    <xf numFmtId="3" fontId="15" fillId="0" borderId="28" xfId="111" applyNumberFormat="1" applyFont="1" applyBorder="1" applyAlignment="1">
      <alignment vertical="center" wrapText="1"/>
    </xf>
    <xf numFmtId="182" fontId="36" fillId="0" borderId="0" xfId="111" applyNumberFormat="1" applyFont="1"/>
    <xf numFmtId="187" fontId="36" fillId="0" borderId="0" xfId="111" applyNumberFormat="1" applyFont="1"/>
    <xf numFmtId="176" fontId="36" fillId="0" borderId="0" xfId="111" applyNumberFormat="1" applyFont="1"/>
    <xf numFmtId="0" fontId="13" fillId="0" borderId="0" xfId="111" applyFont="1" applyAlignment="1">
      <alignment horizontal="right"/>
    </xf>
    <xf numFmtId="0" fontId="9" fillId="0" borderId="57" xfId="111" applyFont="1" applyBorder="1" applyAlignment="1">
      <alignment horizontal="left" vertical="center" wrapText="1"/>
    </xf>
    <xf numFmtId="0" fontId="36" fillId="0" borderId="0" xfId="111" applyFont="1" applyAlignment="1">
      <alignment vertical="center"/>
    </xf>
    <xf numFmtId="0" fontId="14" fillId="0" borderId="15" xfId="111" applyFont="1" applyBorder="1" applyAlignment="1">
      <alignment vertical="center"/>
    </xf>
    <xf numFmtId="3" fontId="15" fillId="0" borderId="15" xfId="111" applyNumberFormat="1" applyFont="1" applyBorder="1" applyAlignment="1">
      <alignment horizontal="right" vertical="center" wrapText="1"/>
    </xf>
    <xf numFmtId="0" fontId="70" fillId="0" borderId="0" xfId="111" applyFont="1" applyAlignment="1">
      <alignment vertical="center"/>
    </xf>
    <xf numFmtId="0" fontId="13" fillId="0" borderId="18" xfId="111" applyFont="1" applyBorder="1" applyAlignment="1">
      <alignment horizontal="left" vertical="center"/>
    </xf>
    <xf numFmtId="3" fontId="9" fillId="0" borderId="18" xfId="111" applyNumberFormat="1" applyFont="1" applyBorder="1" applyAlignment="1">
      <alignment horizontal="right" vertical="center"/>
    </xf>
    <xf numFmtId="0" fontId="36" fillId="0" borderId="0" xfId="111" applyFont="1" applyBorder="1" applyAlignment="1">
      <alignment vertical="center"/>
    </xf>
    <xf numFmtId="0" fontId="14" fillId="0" borderId="46" xfId="111" applyFont="1" applyBorder="1" applyAlignment="1">
      <alignment vertical="center"/>
    </xf>
    <xf numFmtId="3" fontId="15" fillId="0" borderId="46" xfId="111" applyNumberFormat="1" applyFont="1" applyBorder="1" applyAlignment="1">
      <alignment horizontal="right" vertical="center" wrapText="1"/>
    </xf>
    <xf numFmtId="0" fontId="70" fillId="0" borderId="0" xfId="111" applyFont="1" applyBorder="1" applyAlignment="1">
      <alignment vertical="center"/>
    </xf>
    <xf numFmtId="0" fontId="14" fillId="0" borderId="18" xfId="111" applyFont="1" applyBorder="1" applyAlignment="1">
      <alignment vertical="center"/>
    </xf>
    <xf numFmtId="3" fontId="15" fillId="0" borderId="18" xfId="111" applyNumberFormat="1" applyFont="1" applyBorder="1" applyAlignment="1">
      <alignment horizontal="right" vertical="center" wrapText="1"/>
    </xf>
    <xf numFmtId="0" fontId="14" fillId="0" borderId="28" xfId="111" applyFont="1" applyBorder="1" applyAlignment="1">
      <alignment vertical="center"/>
    </xf>
    <xf numFmtId="41" fontId="15" fillId="0" borderId="28" xfId="111" applyNumberFormat="1" applyFont="1" applyBorder="1" applyAlignment="1">
      <alignment horizontal="right" vertical="center" wrapText="1"/>
    </xf>
    <xf numFmtId="0" fontId="9" fillId="0" borderId="58" xfId="111" applyFont="1" applyBorder="1" applyAlignment="1">
      <alignment horizontal="left" vertical="center" wrapText="1"/>
    </xf>
    <xf numFmtId="0" fontId="9" fillId="0" borderId="34" xfId="111" applyFont="1" applyBorder="1" applyAlignment="1">
      <alignment horizontal="center" vertical="center"/>
    </xf>
    <xf numFmtId="0" fontId="15" fillId="0" borderId="14" xfId="111" applyFont="1" applyBorder="1" applyAlignment="1">
      <alignment vertical="center"/>
    </xf>
    <xf numFmtId="0" fontId="57" fillId="0" borderId="15" xfId="111" applyFont="1" applyBorder="1" applyAlignment="1">
      <alignment horizontal="right" vertical="center"/>
    </xf>
    <xf numFmtId="0" fontId="9" fillId="0" borderId="17" xfId="111" applyFont="1" applyBorder="1" applyAlignment="1">
      <alignment horizontal="left" vertical="center"/>
    </xf>
    <xf numFmtId="3" fontId="28" fillId="0" borderId="18" xfId="111" applyNumberFormat="1" applyFont="1" applyBorder="1" applyAlignment="1">
      <alignment horizontal="right" vertical="center"/>
    </xf>
    <xf numFmtId="0" fontId="15" fillId="0" borderId="49" xfId="111" applyFont="1" applyBorder="1" applyAlignment="1">
      <alignment vertical="center"/>
    </xf>
    <xf numFmtId="3" fontId="57" fillId="0" borderId="46" xfId="111" applyNumberFormat="1" applyFont="1" applyBorder="1" applyAlignment="1">
      <alignment horizontal="right" vertical="center" wrapText="1"/>
    </xf>
    <xf numFmtId="0" fontId="15" fillId="0" borderId="17" xfId="111" applyFont="1" applyBorder="1" applyAlignment="1">
      <alignment vertical="center"/>
    </xf>
    <xf numFmtId="0" fontId="57" fillId="0" borderId="18" xfId="111" applyFont="1" applyBorder="1" applyAlignment="1">
      <alignment horizontal="right" vertical="center"/>
    </xf>
    <xf numFmtId="0" fontId="15" fillId="0" borderId="59" xfId="111" applyFont="1" applyBorder="1" applyAlignment="1">
      <alignment vertical="center"/>
    </xf>
    <xf numFmtId="41" fontId="57" fillId="0" borderId="60" xfId="111" applyNumberFormat="1" applyFont="1" applyBorder="1" applyAlignment="1">
      <alignment horizontal="right" vertical="center"/>
    </xf>
    <xf numFmtId="41" fontId="57" fillId="0" borderId="61" xfId="111" applyNumberFormat="1" applyFont="1" applyBorder="1" applyAlignment="1">
      <alignment horizontal="right" vertical="center"/>
    </xf>
    <xf numFmtId="41" fontId="57" fillId="0" borderId="62" xfId="111" applyNumberFormat="1" applyFont="1" applyBorder="1" applyAlignment="1">
      <alignment horizontal="right" vertical="center"/>
    </xf>
    <xf numFmtId="0" fontId="23" fillId="0" borderId="35" xfId="0" applyFont="1" applyFill="1" applyBorder="1" applyAlignment="1">
      <alignment horizontal="center" vertical="center" wrapText="1"/>
    </xf>
    <xf numFmtId="180" fontId="23" fillId="0" borderId="28" xfId="0" applyNumberFormat="1" applyFont="1" applyFill="1" applyBorder="1" applyAlignment="1">
      <alignment horizontal="center" vertical="center" wrapText="1"/>
    </xf>
    <xf numFmtId="176" fontId="23" fillId="0" borderId="28" xfId="0" applyNumberFormat="1" applyFont="1" applyFill="1" applyBorder="1" applyAlignment="1">
      <alignment horizontal="center" vertical="center" wrapText="1"/>
    </xf>
    <xf numFmtId="0" fontId="23" fillId="0" borderId="44" xfId="0" applyFont="1" applyFill="1" applyBorder="1" applyAlignment="1">
      <alignment horizontal="center" vertical="center" wrapText="1"/>
    </xf>
    <xf numFmtId="0" fontId="23" fillId="0" borderId="14" xfId="0" applyFont="1" applyFill="1" applyBorder="1" applyAlignment="1">
      <alignment horizontal="center" vertical="center" wrapText="1"/>
    </xf>
    <xf numFmtId="180" fontId="23" fillId="0" borderId="15" xfId="0" applyNumberFormat="1" applyFont="1" applyFill="1" applyBorder="1" applyAlignment="1">
      <alignment horizontal="center" vertical="center" wrapText="1"/>
    </xf>
    <xf numFmtId="176" fontId="23" fillId="0" borderId="15" xfId="0" applyNumberFormat="1" applyFont="1" applyFill="1" applyBorder="1" applyAlignment="1">
      <alignment horizontal="center" vertical="center" wrapText="1"/>
    </xf>
    <xf numFmtId="0" fontId="23" fillId="0" borderId="16" xfId="0" applyFont="1" applyFill="1" applyBorder="1" applyAlignment="1">
      <alignment horizontal="center" vertical="center" wrapText="1"/>
    </xf>
    <xf numFmtId="181" fontId="57" fillId="0" borderId="18" xfId="0" applyNumberFormat="1" applyFont="1" applyFill="1" applyBorder="1" applyAlignment="1">
      <alignment horizontal="right" vertical="top" wrapText="1"/>
    </xf>
    <xf numFmtId="0" fontId="73" fillId="0" borderId="18" xfId="0" applyFont="1" applyFill="1" applyBorder="1" applyAlignment="1">
      <alignment horizontal="justify" vertical="top" wrapText="1"/>
    </xf>
    <xf numFmtId="180" fontId="57" fillId="0" borderId="18" xfId="0" applyNumberFormat="1" applyFont="1" applyFill="1" applyBorder="1" applyAlignment="1">
      <alignment horizontal="right" vertical="top" wrapText="1"/>
    </xf>
    <xf numFmtId="3" fontId="57" fillId="0" borderId="18" xfId="0" applyNumberFormat="1" applyFont="1" applyFill="1" applyBorder="1" applyAlignment="1">
      <alignment horizontal="right" vertical="top" wrapText="1"/>
    </xf>
    <xf numFmtId="188" fontId="15" fillId="0" borderId="0" xfId="0" applyNumberFormat="1" applyFont="1" applyFill="1" applyBorder="1" applyAlignment="1">
      <alignment vertical="top"/>
    </xf>
    <xf numFmtId="43" fontId="57" fillId="0" borderId="18" xfId="0" applyNumberFormat="1" applyFont="1" applyFill="1" applyBorder="1" applyAlignment="1">
      <alignment horizontal="right" vertical="top" wrapText="1"/>
    </xf>
    <xf numFmtId="179" fontId="28" fillId="0" borderId="17" xfId="0" applyNumberFormat="1" applyFont="1" applyFill="1" applyBorder="1" applyAlignment="1">
      <alignment horizontal="right" vertical="top" wrapText="1"/>
    </xf>
    <xf numFmtId="181" fontId="28" fillId="0" borderId="18" xfId="0" applyNumberFormat="1" applyFont="1" applyFill="1" applyBorder="1" applyAlignment="1">
      <alignment horizontal="right" vertical="top" wrapText="1"/>
    </xf>
    <xf numFmtId="0" fontId="56" fillId="0" borderId="18" xfId="0" applyFont="1" applyFill="1" applyBorder="1" applyAlignment="1">
      <alignment horizontal="justify" vertical="top" wrapText="1"/>
    </xf>
    <xf numFmtId="41" fontId="28" fillId="0" borderId="18" xfId="0" applyNumberFormat="1" applyFont="1" applyFill="1" applyBorder="1" applyAlignment="1">
      <alignment horizontal="right" vertical="top" wrapText="1"/>
    </xf>
    <xf numFmtId="41" fontId="28" fillId="0" borderId="11" xfId="0" applyNumberFormat="1" applyFont="1" applyFill="1" applyBorder="1" applyAlignment="1">
      <alignment horizontal="right" vertical="top" wrapText="1"/>
    </xf>
    <xf numFmtId="188" fontId="9" fillId="0" borderId="0" xfId="0" applyNumberFormat="1" applyFont="1" applyFill="1" applyBorder="1" applyAlignment="1">
      <alignment vertical="top"/>
    </xf>
    <xf numFmtId="180" fontId="28" fillId="0" borderId="18" xfId="0" applyNumberFormat="1" applyFont="1" applyFill="1" applyBorder="1" applyAlignment="1">
      <alignment horizontal="right" vertical="top" wrapText="1"/>
    </xf>
    <xf numFmtId="3" fontId="28" fillId="0" borderId="18" xfId="0" applyNumberFormat="1" applyFont="1" applyFill="1" applyBorder="1" applyAlignment="1">
      <alignment horizontal="right" vertical="top" wrapText="1"/>
    </xf>
    <xf numFmtId="41" fontId="57" fillId="0" borderId="18" xfId="0" applyNumberFormat="1" applyFont="1" applyFill="1" applyBorder="1" applyAlignment="1">
      <alignment horizontal="right" vertical="top" wrapText="1"/>
    </xf>
    <xf numFmtId="41" fontId="57" fillId="0" borderId="30" xfId="0" applyNumberFormat="1" applyFont="1" applyFill="1" applyBorder="1" applyAlignment="1">
      <alignment horizontal="right" vertical="top" wrapText="1"/>
    </xf>
    <xf numFmtId="41" fontId="57" fillId="0" borderId="22" xfId="0" applyNumberFormat="1" applyFont="1" applyFill="1" applyBorder="1" applyAlignment="1">
      <alignment horizontal="right" vertical="top" wrapText="1"/>
    </xf>
    <xf numFmtId="179" fontId="28" fillId="0" borderId="21" xfId="0" applyNumberFormat="1" applyFont="1" applyFill="1" applyBorder="1" applyAlignment="1">
      <alignment horizontal="right" vertical="top" wrapText="1"/>
    </xf>
    <xf numFmtId="181" fontId="28" fillId="0" borderId="12" xfId="0" applyNumberFormat="1" applyFont="1" applyFill="1" applyBorder="1" applyAlignment="1">
      <alignment horizontal="right" vertical="top" wrapText="1"/>
    </xf>
    <xf numFmtId="0" fontId="56" fillId="0" borderId="12" xfId="0" applyFont="1" applyFill="1" applyBorder="1" applyAlignment="1">
      <alignment horizontal="justify" vertical="top" wrapText="1"/>
    </xf>
    <xf numFmtId="180" fontId="28" fillId="0" borderId="12" xfId="0" applyNumberFormat="1" applyFont="1" applyFill="1" applyBorder="1" applyAlignment="1">
      <alignment horizontal="right" vertical="top" wrapText="1"/>
    </xf>
    <xf numFmtId="3" fontId="28" fillId="0" borderId="12" xfId="0" applyNumberFormat="1" applyFont="1" applyFill="1" applyBorder="1" applyAlignment="1">
      <alignment horizontal="right" vertical="top" wrapText="1"/>
    </xf>
    <xf numFmtId="41" fontId="57" fillId="0" borderId="17" xfId="0" applyNumberFormat="1" applyFont="1" applyFill="1" applyBorder="1" applyAlignment="1">
      <alignment horizontal="right" vertical="top" wrapText="1"/>
    </xf>
    <xf numFmtId="0" fontId="56" fillId="0" borderId="18" xfId="0" applyFont="1" applyFill="1" applyBorder="1" applyAlignment="1">
      <alignment vertical="top" wrapText="1"/>
    </xf>
    <xf numFmtId="41" fontId="28" fillId="0" borderId="17" xfId="0" applyNumberFormat="1" applyFont="1" applyFill="1" applyBorder="1" applyAlignment="1">
      <alignment horizontal="right" vertical="top" wrapText="1"/>
    </xf>
    <xf numFmtId="41" fontId="57" fillId="0" borderId="11" xfId="0" applyNumberFormat="1" applyFont="1" applyFill="1" applyBorder="1" applyAlignment="1">
      <alignment horizontal="right" vertical="top" wrapText="1"/>
    </xf>
    <xf numFmtId="0" fontId="56" fillId="0" borderId="18" xfId="0" applyFont="1" applyFill="1" applyBorder="1" applyAlignment="1">
      <alignment horizontal="left" vertical="top" wrapText="1"/>
    </xf>
    <xf numFmtId="41" fontId="28" fillId="0" borderId="18" xfId="21" applyNumberFormat="1" applyFont="1" applyFill="1" applyBorder="1" applyAlignment="1">
      <alignment horizontal="right" vertical="top" wrapText="1"/>
    </xf>
    <xf numFmtId="180" fontId="28" fillId="0" borderId="18" xfId="21" applyNumberFormat="1" applyFont="1" applyFill="1" applyBorder="1" applyAlignment="1">
      <alignment horizontal="right" vertical="top" wrapText="1"/>
    </xf>
    <xf numFmtId="3" fontId="57" fillId="0" borderId="17" xfId="0" applyNumberFormat="1" applyFont="1" applyFill="1" applyBorder="1" applyAlignment="1">
      <alignment horizontal="right" vertical="top" wrapText="1"/>
    </xf>
    <xf numFmtId="179" fontId="28" fillId="0" borderId="17" xfId="21" applyNumberFormat="1" applyFont="1" applyFill="1" applyBorder="1" applyAlignment="1">
      <alignment horizontal="right" vertical="top" wrapText="1"/>
    </xf>
    <xf numFmtId="179" fontId="28" fillId="0" borderId="18" xfId="21" applyNumberFormat="1" applyFont="1" applyFill="1" applyBorder="1" applyAlignment="1">
      <alignment horizontal="right" vertical="top" wrapText="1"/>
    </xf>
    <xf numFmtId="180" fontId="57" fillId="0" borderId="18" xfId="21" applyNumberFormat="1" applyFont="1" applyFill="1" applyBorder="1" applyAlignment="1">
      <alignment horizontal="right" vertical="top" wrapText="1"/>
    </xf>
    <xf numFmtId="41" fontId="57" fillId="0" borderId="12" xfId="0" applyNumberFormat="1" applyFont="1" applyFill="1" applyBorder="1" applyAlignment="1">
      <alignment horizontal="right" vertical="top" wrapText="1"/>
    </xf>
    <xf numFmtId="178" fontId="33" fillId="0" borderId="0" xfId="0" applyNumberFormat="1" applyFont="1" applyFill="1" applyBorder="1" applyAlignment="1">
      <alignment horizontal="right" vertical="top" wrapText="1"/>
    </xf>
    <xf numFmtId="41" fontId="57" fillId="0" borderId="17" xfId="21" applyNumberFormat="1" applyFont="1" applyFill="1" applyBorder="1" applyAlignment="1">
      <alignment horizontal="right" vertical="top" wrapText="1"/>
    </xf>
    <xf numFmtId="41" fontId="57" fillId="0" borderId="18" xfId="21" applyNumberFormat="1" applyFont="1" applyFill="1" applyBorder="1" applyAlignment="1">
      <alignment horizontal="right" vertical="top" wrapText="1"/>
    </xf>
    <xf numFmtId="181" fontId="57" fillId="0" borderId="12" xfId="0" applyNumberFormat="1" applyFont="1" applyFill="1" applyBorder="1" applyAlignment="1">
      <alignment horizontal="right" vertical="top" wrapText="1"/>
    </xf>
    <xf numFmtId="0" fontId="73" fillId="0" borderId="12" xfId="0" applyFont="1" applyFill="1" applyBorder="1" applyAlignment="1">
      <alignment horizontal="justify" vertical="top" wrapText="1"/>
    </xf>
    <xf numFmtId="180" fontId="57" fillId="0" borderId="12" xfId="21" applyNumberFormat="1" applyFont="1" applyFill="1" applyBorder="1" applyAlignment="1">
      <alignment horizontal="right" vertical="top" wrapText="1"/>
    </xf>
    <xf numFmtId="176" fontId="57" fillId="0" borderId="12" xfId="0" applyNumberFormat="1" applyFont="1" applyFill="1" applyBorder="1" applyAlignment="1">
      <alignment horizontal="right" vertical="top" wrapText="1"/>
    </xf>
    <xf numFmtId="181" fontId="57" fillId="0" borderId="13" xfId="0" applyNumberFormat="1" applyFont="1" applyFill="1" applyBorder="1" applyAlignment="1">
      <alignment horizontal="right" vertical="top" wrapText="1"/>
    </xf>
    <xf numFmtId="188" fontId="9" fillId="0" borderId="0" xfId="0" applyNumberFormat="1" applyFont="1" applyFill="1" applyAlignment="1">
      <alignment vertical="top"/>
    </xf>
    <xf numFmtId="0" fontId="74" fillId="0" borderId="0" xfId="0" applyFont="1" applyFill="1" applyAlignment="1">
      <alignment horizontal="justify" vertical="top"/>
    </xf>
    <xf numFmtId="0" fontId="74" fillId="0" borderId="0" xfId="0" applyFont="1" applyFill="1" applyAlignment="1">
      <alignment vertical="top"/>
    </xf>
    <xf numFmtId="0" fontId="75" fillId="0" borderId="0" xfId="0" applyFont="1" applyFill="1" applyAlignment="1">
      <alignment vertical="top"/>
    </xf>
    <xf numFmtId="180" fontId="74" fillId="0" borderId="0" xfId="0" applyNumberFormat="1" applyFont="1" applyFill="1" applyAlignment="1">
      <alignment vertical="top"/>
    </xf>
    <xf numFmtId="0" fontId="56" fillId="0" borderId="0" xfId="0" applyFont="1" applyFill="1" applyAlignment="1">
      <alignment vertical="top"/>
    </xf>
    <xf numFmtId="180" fontId="9" fillId="0" borderId="0" xfId="0" applyNumberFormat="1" applyFont="1" applyFill="1" applyAlignment="1">
      <alignment vertical="top"/>
    </xf>
    <xf numFmtId="0" fontId="13" fillId="0" borderId="0" xfId="0" applyFont="1" applyFill="1">
      <alignment vertical="center"/>
    </xf>
    <xf numFmtId="0" fontId="13" fillId="0" borderId="29" xfId="0" applyFont="1" applyFill="1" applyBorder="1" applyAlignment="1">
      <alignment horizontal="center" vertical="center"/>
    </xf>
    <xf numFmtId="189" fontId="15" fillId="0" borderId="0" xfId="0" applyNumberFormat="1" applyFont="1" applyFill="1" applyAlignment="1">
      <alignment vertical="top"/>
    </xf>
    <xf numFmtId="0" fontId="57" fillId="0" borderId="18" xfId="0" applyNumberFormat="1" applyFont="1" applyFill="1" applyBorder="1" applyAlignment="1">
      <alignment horizontal="right" vertical="top" wrapText="1"/>
    </xf>
    <xf numFmtId="189" fontId="9" fillId="0" borderId="0" xfId="0" applyNumberFormat="1" applyFont="1" applyFill="1" applyAlignment="1">
      <alignment vertical="top"/>
    </xf>
    <xf numFmtId="0" fontId="28" fillId="0" borderId="18" xfId="0" applyNumberFormat="1" applyFont="1" applyFill="1" applyBorder="1" applyAlignment="1">
      <alignment horizontal="right" vertical="top" wrapText="1"/>
    </xf>
    <xf numFmtId="176" fontId="57" fillId="0" borderId="18" xfId="0" applyNumberFormat="1" applyFont="1" applyFill="1" applyBorder="1" applyAlignment="1">
      <alignment horizontal="right" vertical="top" wrapText="1"/>
    </xf>
    <xf numFmtId="179" fontId="57" fillId="0" borderId="18" xfId="21" applyNumberFormat="1" applyFont="1" applyFill="1" applyBorder="1" applyAlignment="1">
      <alignment horizontal="right" vertical="top" wrapText="1"/>
    </xf>
    <xf numFmtId="179" fontId="57" fillId="0" borderId="27" xfId="21" applyNumberFormat="1" applyFont="1" applyFill="1" applyBorder="1" applyAlignment="1">
      <alignment horizontal="right" vertical="top" wrapText="1"/>
    </xf>
    <xf numFmtId="181" fontId="57" fillId="0" borderId="11" xfId="21" applyNumberFormat="1" applyFont="1" applyFill="1" applyBorder="1" applyAlignment="1">
      <alignment horizontal="right" vertical="top" wrapText="1"/>
    </xf>
    <xf numFmtId="179" fontId="28" fillId="0" borderId="27" xfId="0" applyNumberFormat="1" applyFont="1" applyFill="1" applyBorder="1" applyAlignment="1">
      <alignment horizontal="right" vertical="top" wrapText="1"/>
    </xf>
    <xf numFmtId="179" fontId="57" fillId="0" borderId="27" xfId="0" applyNumberFormat="1" applyFont="1" applyFill="1" applyBorder="1" applyAlignment="1">
      <alignment horizontal="right" vertical="top" wrapText="1"/>
    </xf>
    <xf numFmtId="41" fontId="28" fillId="0" borderId="12" xfId="0" applyNumberFormat="1" applyFont="1" applyFill="1" applyBorder="1" applyAlignment="1">
      <alignment horizontal="right" vertical="top" wrapText="1"/>
    </xf>
    <xf numFmtId="0" fontId="74" fillId="0" borderId="0" xfId="0" applyFont="1" applyFill="1" applyAlignment="1">
      <alignment horizontal="justify" vertical="center"/>
    </xf>
    <xf numFmtId="0" fontId="74" fillId="0" borderId="0" xfId="0" applyFont="1" applyFill="1">
      <alignment vertical="center"/>
    </xf>
    <xf numFmtId="0" fontId="75" fillId="0" borderId="0" xfId="0" applyFont="1" applyFill="1">
      <alignment vertical="center"/>
    </xf>
    <xf numFmtId="176" fontId="74" fillId="0" borderId="0" xfId="0" applyNumberFormat="1" applyFont="1" applyFill="1">
      <alignment vertical="center"/>
    </xf>
    <xf numFmtId="0" fontId="56" fillId="0" borderId="0" xfId="0" applyFont="1" applyFill="1">
      <alignment vertical="center"/>
    </xf>
    <xf numFmtId="188" fontId="15" fillId="0" borderId="0" xfId="0" applyNumberFormat="1" applyFont="1" applyFill="1" applyAlignment="1">
      <alignment vertical="top"/>
    </xf>
    <xf numFmtId="179" fontId="76" fillId="0" borderId="18" xfId="0" applyNumberFormat="1" applyFont="1" applyFill="1" applyBorder="1" applyAlignment="1">
      <alignment horizontal="right" vertical="top" wrapText="1"/>
    </xf>
    <xf numFmtId="0" fontId="28" fillId="0" borderId="12" xfId="0" applyFont="1" applyFill="1" applyBorder="1" applyAlignment="1">
      <alignment horizontal="right" vertical="top" wrapText="1"/>
    </xf>
    <xf numFmtId="0" fontId="9" fillId="0" borderId="0" xfId="0" applyFont="1" applyFill="1" applyBorder="1">
      <alignment vertical="center"/>
    </xf>
    <xf numFmtId="180" fontId="74" fillId="0" borderId="0" xfId="0" applyNumberFormat="1" applyFont="1" applyFill="1">
      <alignment vertical="center"/>
    </xf>
    <xf numFmtId="181" fontId="33" fillId="0" borderId="27" xfId="0" applyNumberFormat="1" applyFont="1" applyFill="1" applyBorder="1" applyAlignment="1">
      <alignment horizontal="right" vertical="top" wrapText="1"/>
    </xf>
    <xf numFmtId="178" fontId="28" fillId="0" borderId="10" xfId="0" applyNumberFormat="1" applyFont="1" applyFill="1" applyBorder="1" applyAlignment="1">
      <alignment horizontal="right" vertical="top" wrapText="1"/>
    </xf>
    <xf numFmtId="185" fontId="28" fillId="0" borderId="18" xfId="0" applyNumberFormat="1" applyFont="1" applyFill="1" applyBorder="1" applyAlignment="1">
      <alignment horizontal="right" vertical="top" wrapText="1"/>
    </xf>
    <xf numFmtId="181" fontId="77" fillId="0" borderId="27" xfId="0" applyNumberFormat="1" applyFont="1" applyFill="1" applyBorder="1" applyAlignment="1">
      <alignment horizontal="right" vertical="top" wrapText="1"/>
    </xf>
    <xf numFmtId="179" fontId="28" fillId="0" borderId="10" xfId="0" applyNumberFormat="1" applyFont="1" applyFill="1" applyBorder="1" applyAlignment="1">
      <alignment horizontal="right" vertical="top" wrapText="1"/>
    </xf>
    <xf numFmtId="41" fontId="28" fillId="0" borderId="21" xfId="0" applyNumberFormat="1" applyFont="1" applyFill="1" applyBorder="1" applyAlignment="1">
      <alignment horizontal="right" vertical="top" wrapText="1"/>
    </xf>
    <xf numFmtId="181" fontId="9" fillId="0" borderId="0" xfId="0" applyNumberFormat="1" applyFont="1" applyFill="1" applyAlignment="1">
      <alignment vertical="top"/>
    </xf>
    <xf numFmtId="43" fontId="9" fillId="0" borderId="0" xfId="0" applyNumberFormat="1" applyFont="1" applyFill="1" applyAlignment="1">
      <alignment vertical="top"/>
    </xf>
    <xf numFmtId="0" fontId="9" fillId="0" borderId="0" xfId="0" applyFont="1" applyAlignment="1">
      <alignment vertical="center"/>
    </xf>
    <xf numFmtId="0" fontId="9" fillId="0" borderId="11" xfId="0" applyFont="1" applyFill="1" applyBorder="1" applyAlignment="1">
      <alignment horizontal="left" vertical="top" wrapText="1"/>
    </xf>
    <xf numFmtId="41" fontId="15" fillId="0" borderId="10" xfId="0" applyNumberFormat="1" applyFont="1" applyBorder="1" applyAlignment="1">
      <alignment horizontal="right" vertical="top" wrapText="1"/>
    </xf>
    <xf numFmtId="0" fontId="14" fillId="0" borderId="18" xfId="0" applyFont="1" applyBorder="1" applyAlignment="1">
      <alignment vertical="top" wrapText="1"/>
    </xf>
    <xf numFmtId="178" fontId="15" fillId="0" borderId="18" xfId="21" applyNumberFormat="1" applyFont="1" applyBorder="1" applyAlignment="1">
      <alignment horizontal="right" vertical="top" wrapText="1"/>
    </xf>
    <xf numFmtId="41" fontId="9" fillId="0" borderId="12" xfId="0" applyNumberFormat="1" applyFont="1" applyBorder="1" applyAlignment="1">
      <alignment horizontal="right" vertical="top" wrapText="1"/>
    </xf>
    <xf numFmtId="0" fontId="9" fillId="0" borderId="10" xfId="0" applyFont="1" applyBorder="1">
      <alignment vertical="center"/>
    </xf>
    <xf numFmtId="0" fontId="9" fillId="0" borderId="22" xfId="0" applyFont="1" applyBorder="1">
      <alignment vertical="center"/>
    </xf>
    <xf numFmtId="0" fontId="9" fillId="0" borderId="42" xfId="0" applyFont="1" applyBorder="1">
      <alignment vertical="center"/>
    </xf>
    <xf numFmtId="0" fontId="9" fillId="0" borderId="23" xfId="0" applyFont="1" applyBorder="1">
      <alignment vertical="center"/>
    </xf>
    <xf numFmtId="0" fontId="9" fillId="0" borderId="12" xfId="0" applyFont="1" applyBorder="1">
      <alignment vertical="center"/>
    </xf>
    <xf numFmtId="0" fontId="21" fillId="0" borderId="25" xfId="0" applyFont="1" applyFill="1" applyBorder="1" applyAlignment="1">
      <alignment horizontal="distributed" vertical="center" wrapText="1"/>
    </xf>
    <xf numFmtId="41" fontId="23" fillId="0" borderId="18" xfId="0" applyNumberFormat="1" applyFont="1" applyFill="1" applyBorder="1" applyAlignment="1">
      <alignment vertical="top" wrapText="1"/>
    </xf>
    <xf numFmtId="0" fontId="21" fillId="0" borderId="18" xfId="0" applyFont="1" applyFill="1" applyBorder="1" applyAlignment="1">
      <alignment horizontal="left" vertical="top" wrapText="1"/>
    </xf>
    <xf numFmtId="0" fontId="21" fillId="0" borderId="15" xfId="0" applyFont="1" applyFill="1" applyBorder="1" applyAlignment="1">
      <alignment horizontal="distributed" vertical="center" wrapText="1"/>
    </xf>
    <xf numFmtId="179" fontId="9" fillId="0" borderId="0" xfId="0" applyNumberFormat="1" applyFont="1" applyFill="1" applyAlignment="1">
      <alignment vertical="center"/>
    </xf>
    <xf numFmtId="41" fontId="9" fillId="0" borderId="0" xfId="0" applyNumberFormat="1" applyFont="1" applyFill="1" applyBorder="1" applyAlignment="1">
      <alignment vertical="top" wrapText="1"/>
    </xf>
    <xf numFmtId="3" fontId="35" fillId="0" borderId="18" xfId="0" applyNumberFormat="1" applyFont="1" applyFill="1" applyBorder="1" applyAlignment="1">
      <alignment horizontal="right" vertical="top" wrapText="1"/>
    </xf>
    <xf numFmtId="3" fontId="23" fillId="0" borderId="18" xfId="0" applyNumberFormat="1" applyFont="1" applyFill="1" applyBorder="1" applyAlignment="1">
      <alignment horizontal="right" vertical="top" wrapText="1"/>
    </xf>
    <xf numFmtId="41" fontId="23" fillId="0" borderId="30" xfId="0" applyNumberFormat="1" applyFont="1" applyFill="1" applyBorder="1" applyAlignment="1">
      <alignment horizontal="right" vertical="top" wrapText="1"/>
    </xf>
    <xf numFmtId="41" fontId="9" fillId="0" borderId="10" xfId="0" applyNumberFormat="1" applyFont="1" applyBorder="1" applyAlignment="1">
      <alignment horizontal="right" vertical="top" wrapText="1"/>
    </xf>
    <xf numFmtId="0" fontId="23" fillId="0" borderId="16" xfId="0" applyFont="1" applyFill="1" applyBorder="1" applyAlignment="1">
      <alignment horizontal="distributed" vertical="center" wrapText="1"/>
    </xf>
    <xf numFmtId="0" fontId="9" fillId="0" borderId="14" xfId="0" applyFont="1" applyFill="1" applyBorder="1" applyAlignment="1">
      <alignment horizontal="distributed" vertical="center" wrapText="1" indent="1"/>
    </xf>
    <xf numFmtId="3" fontId="35" fillId="0" borderId="17" xfId="0" applyNumberFormat="1" applyFont="1" applyFill="1" applyBorder="1" applyAlignment="1">
      <alignment horizontal="right" vertical="top" wrapText="1"/>
    </xf>
    <xf numFmtId="41" fontId="35" fillId="0" borderId="11" xfId="0" applyNumberFormat="1" applyFont="1" applyFill="1" applyBorder="1" applyAlignment="1">
      <alignment horizontal="right" vertical="top" wrapText="1"/>
    </xf>
    <xf numFmtId="3" fontId="23" fillId="0" borderId="17" xfId="0" applyNumberFormat="1" applyFont="1" applyFill="1" applyBorder="1" applyAlignment="1">
      <alignment horizontal="right" vertical="top" wrapText="1"/>
    </xf>
    <xf numFmtId="41" fontId="23" fillId="0" borderId="11" xfId="0" applyNumberFormat="1" applyFont="1" applyFill="1" applyBorder="1" applyAlignment="1">
      <alignment horizontal="right" vertical="top" wrapText="1"/>
    </xf>
    <xf numFmtId="41" fontId="23" fillId="0" borderId="17" xfId="0" applyNumberFormat="1" applyFont="1" applyFill="1" applyBorder="1" applyAlignment="1">
      <alignment horizontal="right" vertical="top" wrapText="1"/>
    </xf>
    <xf numFmtId="41" fontId="35" fillId="0" borderId="17" xfId="0" applyNumberFormat="1" applyFont="1" applyFill="1" applyBorder="1" applyAlignment="1">
      <alignment horizontal="right" vertical="top" wrapText="1"/>
    </xf>
    <xf numFmtId="41" fontId="23" fillId="0" borderId="11" xfId="21" applyNumberFormat="1" applyFont="1" applyFill="1" applyBorder="1" applyAlignment="1">
      <alignment horizontal="right" vertical="top" wrapText="1"/>
    </xf>
    <xf numFmtId="41" fontId="35" fillId="0" borderId="12" xfId="0" applyNumberFormat="1" applyFont="1" applyFill="1" applyBorder="1" applyAlignment="1">
      <alignment horizontal="right" vertical="top" wrapText="1"/>
    </xf>
    <xf numFmtId="0" fontId="21" fillId="0" borderId="17" xfId="0" applyFont="1" applyFill="1" applyBorder="1" applyAlignment="1">
      <alignment horizontal="left" vertical="top" wrapText="1"/>
    </xf>
    <xf numFmtId="41" fontId="9" fillId="0" borderId="0" xfId="0" applyNumberFormat="1" applyFont="1" applyAlignment="1">
      <alignment vertical="top"/>
    </xf>
    <xf numFmtId="178" fontId="9" fillId="0" borderId="0" xfId="0" applyNumberFormat="1" applyFont="1" applyAlignment="1">
      <alignment vertical="top"/>
    </xf>
    <xf numFmtId="3" fontId="9" fillId="0" borderId="0" xfId="0" applyNumberFormat="1" applyFont="1" applyFill="1" applyAlignment="1">
      <alignment vertical="top"/>
    </xf>
    <xf numFmtId="0" fontId="81" fillId="0" borderId="0" xfId="0" applyFont="1" applyFill="1" applyAlignment="1">
      <alignment vertical="top" wrapText="1"/>
    </xf>
    <xf numFmtId="0" fontId="9" fillId="0" borderId="11" xfId="0" applyFont="1" applyFill="1" applyBorder="1" applyAlignment="1">
      <alignment vertical="top"/>
    </xf>
    <xf numFmtId="41" fontId="9" fillId="0" borderId="0" xfId="0" applyNumberFormat="1" applyFont="1" applyFill="1" applyAlignment="1">
      <alignment vertical="top"/>
    </xf>
    <xf numFmtId="179" fontId="9" fillId="0" borderId="0" xfId="0" applyNumberFormat="1" applyFont="1" applyFill="1" applyAlignment="1">
      <alignment vertical="top"/>
    </xf>
    <xf numFmtId="41" fontId="15" fillId="0" borderId="11" xfId="0" applyNumberFormat="1" applyFont="1" applyFill="1" applyBorder="1" applyAlignment="1">
      <alignment horizontal="right" vertical="top" wrapText="1"/>
    </xf>
    <xf numFmtId="0" fontId="24" fillId="0" borderId="18" xfId="0" applyFont="1" applyFill="1" applyBorder="1" applyAlignment="1">
      <alignment horizontal="left" vertical="top" wrapText="1"/>
    </xf>
    <xf numFmtId="0" fontId="24" fillId="0" borderId="17" xfId="0" applyFont="1" applyFill="1" applyBorder="1" applyAlignment="1">
      <alignment horizontal="left" vertical="top" wrapText="1"/>
    </xf>
    <xf numFmtId="0" fontId="15" fillId="0" borderId="17" xfId="20" applyFont="1" applyBorder="1" applyAlignment="1">
      <alignment horizontal="left" vertical="top" wrapText="1"/>
    </xf>
    <xf numFmtId="178" fontId="15" fillId="0" borderId="0" xfId="0" applyNumberFormat="1" applyFont="1" applyFill="1" applyBorder="1" applyAlignment="1">
      <alignment horizontal="right" vertical="top" wrapText="1"/>
    </xf>
    <xf numFmtId="3" fontId="9" fillId="0" borderId="36" xfId="0" applyNumberFormat="1" applyFont="1" applyFill="1" applyBorder="1" applyAlignment="1">
      <alignment horizontal="right" vertical="top" wrapText="1"/>
    </xf>
    <xf numFmtId="0" fontId="13" fillId="0" borderId="67" xfId="0" applyFont="1" applyFill="1" applyBorder="1" applyAlignment="1">
      <alignment horizontal="center" vertical="center" wrapText="1"/>
    </xf>
    <xf numFmtId="0" fontId="13" fillId="0" borderId="66" xfId="0" applyFont="1" applyFill="1" applyBorder="1" applyAlignment="1">
      <alignment horizontal="center" vertical="center" wrapText="1"/>
    </xf>
    <xf numFmtId="179" fontId="15" fillId="0" borderId="10" xfId="0" applyNumberFormat="1" applyFont="1" applyFill="1" applyBorder="1" applyAlignment="1">
      <alignment horizontal="right" vertical="top" wrapText="1"/>
    </xf>
    <xf numFmtId="179" fontId="9" fillId="0" borderId="10" xfId="0" applyNumberFormat="1" applyFont="1" applyFill="1" applyBorder="1" applyAlignment="1">
      <alignment horizontal="right" vertical="top" wrapText="1"/>
    </xf>
    <xf numFmtId="0" fontId="9" fillId="0" borderId="10" xfId="0" applyFont="1" applyFill="1" applyBorder="1" applyAlignment="1">
      <alignment horizontal="justify" vertical="top" wrapText="1"/>
    </xf>
    <xf numFmtId="41" fontId="35" fillId="0" borderId="13" xfId="0" applyNumberFormat="1" applyFont="1" applyFill="1" applyBorder="1" applyAlignment="1">
      <alignment horizontal="right" vertical="top" wrapText="1"/>
    </xf>
    <xf numFmtId="43" fontId="57" fillId="0" borderId="13" xfId="0" applyNumberFormat="1" applyFont="1" applyFill="1" applyBorder="1" applyAlignment="1">
      <alignment horizontal="right" vertical="top" wrapText="1"/>
    </xf>
    <xf numFmtId="177" fontId="9" fillId="0" borderId="26" xfId="0" applyNumberFormat="1" applyFont="1" applyFill="1" applyBorder="1" applyAlignment="1">
      <alignment horizontal="center" vertical="center" wrapText="1"/>
    </xf>
    <xf numFmtId="179" fontId="15" fillId="0" borderId="22" xfId="0" applyNumberFormat="1" applyFont="1" applyFill="1" applyBorder="1" applyAlignment="1">
      <alignment vertical="top"/>
    </xf>
    <xf numFmtId="179" fontId="9" fillId="0" borderId="22" xfId="0" applyNumberFormat="1" applyFont="1" applyFill="1" applyBorder="1" applyAlignment="1">
      <alignment vertical="top"/>
    </xf>
    <xf numFmtId="41" fontId="9" fillId="0" borderId="22" xfId="0" applyNumberFormat="1" applyFont="1" applyFill="1" applyBorder="1" applyAlignment="1">
      <alignment vertical="top"/>
    </xf>
    <xf numFmtId="179" fontId="15" fillId="0" borderId="23" xfId="0" applyNumberFormat="1" applyFont="1" applyFill="1" applyBorder="1" applyAlignment="1">
      <alignment vertical="top"/>
    </xf>
    <xf numFmtId="41" fontId="9" fillId="0" borderId="42" xfId="0" applyNumberFormat="1" applyFont="1" applyFill="1" applyBorder="1" applyAlignment="1">
      <alignment horizontal="right" vertical="top" wrapText="1"/>
    </xf>
    <xf numFmtId="0" fontId="9" fillId="0" borderId="22" xfId="0" applyFont="1" applyFill="1" applyBorder="1" applyAlignment="1">
      <alignment horizontal="center" vertical="top" wrapText="1"/>
    </xf>
    <xf numFmtId="0" fontId="9" fillId="0" borderId="23" xfId="0" applyFont="1" applyFill="1" applyBorder="1" applyAlignment="1">
      <alignment horizontal="justify" vertical="top" wrapText="1"/>
    </xf>
    <xf numFmtId="0" fontId="9" fillId="0" borderId="18" xfId="0" applyFont="1" applyFill="1" applyBorder="1" applyAlignment="1">
      <alignment horizontal="center" vertical="center" wrapText="1"/>
    </xf>
    <xf numFmtId="0" fontId="9" fillId="0" borderId="17" xfId="0" applyFont="1" applyFill="1" applyBorder="1" applyAlignment="1">
      <alignment horizontal="center" vertical="center"/>
    </xf>
    <xf numFmtId="0" fontId="9" fillId="0" borderId="30" xfId="0" applyFont="1" applyFill="1" applyBorder="1" applyAlignment="1">
      <alignment horizontal="center" vertical="center"/>
    </xf>
    <xf numFmtId="177" fontId="9" fillId="0" borderId="18" xfId="0" applyNumberFormat="1" applyFont="1" applyFill="1" applyBorder="1" applyAlignment="1">
      <alignment horizontal="center" vertical="center" wrapText="1"/>
    </xf>
    <xf numFmtId="177" fontId="9" fillId="0" borderId="11" xfId="0" applyNumberFormat="1" applyFont="1" applyFill="1" applyBorder="1" applyAlignment="1">
      <alignment horizontal="center" vertical="center" wrapText="1"/>
    </xf>
    <xf numFmtId="0" fontId="9" fillId="0" borderId="17" xfId="0" applyFont="1" applyFill="1" applyBorder="1" applyAlignment="1">
      <alignment horizontal="distributed" vertical="center" wrapText="1" indent="2"/>
    </xf>
    <xf numFmtId="0" fontId="9" fillId="0" borderId="15" xfId="0" applyFont="1" applyFill="1" applyBorder="1" applyAlignment="1">
      <alignment horizontal="distributed" vertical="center" wrapText="1" indent="1"/>
    </xf>
    <xf numFmtId="0" fontId="9" fillId="0" borderId="22" xfId="0" applyFont="1" applyBorder="1" applyAlignment="1">
      <alignment horizontal="left" vertical="top" wrapText="1"/>
    </xf>
    <xf numFmtId="0" fontId="9" fillId="0" borderId="27" xfId="0" applyFont="1" applyBorder="1" applyAlignment="1">
      <alignment horizontal="left" vertical="top" wrapText="1"/>
    </xf>
    <xf numFmtId="0" fontId="9" fillId="0" borderId="18" xfId="0" applyFont="1" applyBorder="1">
      <alignment vertical="center"/>
    </xf>
    <xf numFmtId="0" fontId="14" fillId="0" borderId="10" xfId="0" applyFont="1" applyFill="1" applyBorder="1" applyAlignment="1">
      <alignment horizontal="left" vertical="top" wrapText="1"/>
    </xf>
    <xf numFmtId="0" fontId="13" fillId="0" borderId="18" xfId="0" applyFont="1" applyBorder="1">
      <alignment vertical="center"/>
    </xf>
    <xf numFmtId="0" fontId="13" fillId="0" borderId="12" xfId="0" applyFont="1" applyBorder="1">
      <alignment vertical="center"/>
    </xf>
    <xf numFmtId="0" fontId="13" fillId="0" borderId="17" xfId="0" applyFont="1" applyBorder="1" applyAlignment="1">
      <alignment horizontal="justify" vertical="top" wrapText="1"/>
    </xf>
    <xf numFmtId="0" fontId="14" fillId="0" borderId="18" xfId="0" applyFont="1" applyFill="1" applyBorder="1" applyAlignment="1">
      <alignment horizontal="distributed" vertical="top" indent="6"/>
    </xf>
    <xf numFmtId="179" fontId="15" fillId="0" borderId="0" xfId="0" applyNumberFormat="1" applyFont="1" applyFill="1" applyBorder="1" applyAlignment="1">
      <alignment vertical="top"/>
    </xf>
    <xf numFmtId="0" fontId="24" fillId="0" borderId="21" xfId="0" applyFont="1" applyFill="1" applyBorder="1" applyAlignment="1">
      <alignment horizontal="center" vertical="top" wrapText="1"/>
    </xf>
    <xf numFmtId="0" fontId="16" fillId="0" borderId="0" xfId="20" applyFont="1" applyBorder="1" applyAlignment="1">
      <alignment vertical="top"/>
    </xf>
    <xf numFmtId="179" fontId="9" fillId="0" borderId="22" xfId="20" applyNumberFormat="1" applyFont="1" applyBorder="1" applyAlignment="1">
      <alignment vertical="top"/>
    </xf>
    <xf numFmtId="0" fontId="9" fillId="0" borderId="22" xfId="20" applyNumberFormat="1" applyFont="1" applyBorder="1" applyAlignment="1">
      <alignment horizontal="justify" vertical="top" wrapText="1"/>
    </xf>
    <xf numFmtId="0" fontId="9" fillId="0" borderId="23" xfId="20" applyNumberFormat="1" applyFont="1" applyBorder="1" applyAlignment="1">
      <alignment vertical="top" wrapText="1"/>
    </xf>
    <xf numFmtId="0" fontId="9" fillId="0" borderId="22" xfId="20" applyFont="1" applyBorder="1" applyAlignment="1">
      <alignment vertical="top" wrapText="1"/>
    </xf>
    <xf numFmtId="0" fontId="9" fillId="0" borderId="22" xfId="20" applyNumberFormat="1" applyFont="1" applyFill="1" applyBorder="1" applyAlignment="1">
      <alignment horizontal="justify" vertical="top" wrapText="1"/>
    </xf>
    <xf numFmtId="0" fontId="9" fillId="0" borderId="22" xfId="20" applyNumberFormat="1" applyFont="1" applyBorder="1" applyAlignment="1">
      <alignment vertical="top" wrapText="1"/>
    </xf>
    <xf numFmtId="0" fontId="9" fillId="0" borderId="22" xfId="20" applyNumberFormat="1" applyFont="1" applyBorder="1" applyAlignment="1">
      <alignment horizontal="left" vertical="top" wrapText="1"/>
    </xf>
    <xf numFmtId="0" fontId="23" fillId="0" borderId="18" xfId="20" applyFont="1" applyBorder="1" applyAlignment="1">
      <alignment vertical="top"/>
    </xf>
    <xf numFmtId="3" fontId="13" fillId="0" borderId="17" xfId="20" applyNumberFormat="1" applyFont="1" applyBorder="1" applyAlignment="1">
      <alignment vertical="top"/>
    </xf>
    <xf numFmtId="179" fontId="23" fillId="0" borderId="22" xfId="20" applyNumberFormat="1" applyFont="1" applyBorder="1" applyAlignment="1">
      <alignment vertical="top"/>
    </xf>
    <xf numFmtId="0" fontId="28" fillId="0" borderId="28" xfId="0" applyFont="1" applyFill="1" applyBorder="1" applyAlignment="1">
      <alignment horizontal="center" vertical="center" wrapText="1"/>
    </xf>
    <xf numFmtId="0" fontId="28" fillId="0" borderId="15" xfId="0" applyFont="1" applyFill="1" applyBorder="1" applyAlignment="1">
      <alignment horizontal="center" vertical="center" wrapText="1"/>
    </xf>
    <xf numFmtId="0" fontId="28" fillId="0" borderId="0" xfId="0" applyFont="1" applyFill="1" applyAlignment="1">
      <alignment vertical="top"/>
    </xf>
    <xf numFmtId="176" fontId="28" fillId="0" borderId="28" xfId="0" applyNumberFormat="1" applyFont="1" applyFill="1" applyBorder="1" applyAlignment="1">
      <alignment horizontal="center" vertical="center" wrapText="1"/>
    </xf>
    <xf numFmtId="176" fontId="28" fillId="0" borderId="15" xfId="0" applyNumberFormat="1" applyFont="1" applyFill="1" applyBorder="1" applyAlignment="1">
      <alignment horizontal="center" vertical="center" wrapText="1"/>
    </xf>
    <xf numFmtId="176" fontId="28" fillId="0" borderId="0" xfId="0" applyNumberFormat="1" applyFont="1" applyFill="1" applyAlignment="1">
      <alignment vertical="top"/>
    </xf>
    <xf numFmtId="176" fontId="28" fillId="0" borderId="0" xfId="0" applyNumberFormat="1" applyFont="1" applyFill="1">
      <alignment vertical="center"/>
    </xf>
    <xf numFmtId="0" fontId="28" fillId="0" borderId="44" xfId="0" applyFont="1" applyFill="1" applyBorder="1" applyAlignment="1">
      <alignment horizontal="center" vertical="center" wrapText="1"/>
    </xf>
    <xf numFmtId="0" fontId="28" fillId="0" borderId="16" xfId="0" applyFont="1" applyFill="1" applyBorder="1" applyAlignment="1">
      <alignment horizontal="center" vertical="center" wrapText="1"/>
    </xf>
    <xf numFmtId="0" fontId="57" fillId="0" borderId="26" xfId="111" applyFont="1" applyBorder="1" applyAlignment="1">
      <alignment horizontal="right" vertical="center"/>
    </xf>
    <xf numFmtId="3" fontId="28" fillId="0" borderId="22" xfId="111" applyNumberFormat="1" applyFont="1" applyBorder="1" applyAlignment="1">
      <alignment horizontal="right" vertical="center"/>
    </xf>
    <xf numFmtId="3" fontId="57" fillId="0" borderId="53" xfId="111" applyNumberFormat="1" applyFont="1" applyBorder="1" applyAlignment="1">
      <alignment horizontal="right" vertical="center" wrapText="1"/>
    </xf>
    <xf numFmtId="0" fontId="57" fillId="0" borderId="22" xfId="111" applyFont="1" applyBorder="1" applyAlignment="1">
      <alignment horizontal="right" vertical="center"/>
    </xf>
    <xf numFmtId="0" fontId="9" fillId="0" borderId="15" xfId="0" applyFont="1" applyFill="1" applyBorder="1" applyAlignment="1">
      <alignment horizontal="distributed" vertical="center" wrapText="1" indent="1"/>
    </xf>
    <xf numFmtId="0" fontId="9" fillId="0" borderId="15" xfId="0" applyFont="1" applyFill="1" applyBorder="1" applyAlignment="1">
      <alignment horizontal="center" vertical="center" wrapText="1"/>
    </xf>
    <xf numFmtId="0" fontId="9" fillId="0" borderId="11" xfId="0" applyFont="1" applyFill="1" applyBorder="1" applyAlignment="1">
      <alignment horizontal="left" vertical="top" wrapText="1"/>
    </xf>
    <xf numFmtId="0" fontId="9" fillId="0" borderId="13" xfId="0" applyFont="1" applyFill="1" applyBorder="1" applyAlignment="1">
      <alignment horizontal="left" vertical="top" wrapText="1"/>
    </xf>
    <xf numFmtId="0" fontId="13" fillId="0" borderId="15" xfId="0" applyFont="1" applyFill="1" applyBorder="1" applyAlignment="1">
      <alignment horizontal="center" vertical="center" wrapText="1"/>
    </xf>
    <xf numFmtId="177" fontId="9" fillId="0" borderId="15" xfId="0" applyNumberFormat="1" applyFont="1" applyFill="1" applyBorder="1" applyAlignment="1">
      <alignment horizontal="center" vertical="center" wrapText="1"/>
    </xf>
    <xf numFmtId="0" fontId="9" fillId="0" borderId="22" xfId="0" applyFont="1" applyFill="1" applyBorder="1" applyAlignment="1">
      <alignment vertical="top" wrapText="1"/>
    </xf>
    <xf numFmtId="0" fontId="15" fillId="0" borderId="17" xfId="0" applyFont="1" applyFill="1" applyBorder="1" applyAlignment="1">
      <alignment horizontal="justify" vertical="top" wrapText="1"/>
    </xf>
    <xf numFmtId="0" fontId="18" fillId="25" borderId="0" xfId="0" applyFont="1" applyFill="1" applyAlignment="1">
      <alignment vertical="top"/>
    </xf>
    <xf numFmtId="43" fontId="40" fillId="0" borderId="18" xfId="22" applyNumberFormat="1" applyFill="1" applyBorder="1" applyAlignment="1">
      <alignment horizontal="right" vertical="top" wrapText="1"/>
    </xf>
    <xf numFmtId="0" fontId="40" fillId="0" borderId="0" xfId="22" applyFill="1" applyAlignment="1">
      <alignment vertical="top"/>
    </xf>
    <xf numFmtId="183" fontId="40" fillId="0" borderId="0" xfId="22" applyNumberFormat="1" applyFill="1" applyAlignment="1">
      <alignment vertical="top"/>
    </xf>
    <xf numFmtId="0" fontId="75" fillId="0" borderId="27" xfId="0" applyFont="1" applyFill="1" applyBorder="1" applyAlignment="1">
      <alignment horizontal="justify" vertical="top" wrapText="1"/>
    </xf>
    <xf numFmtId="0" fontId="9" fillId="0" borderId="0" xfId="0" applyFont="1" applyFill="1" applyAlignment="1">
      <alignment vertical="top"/>
    </xf>
    <xf numFmtId="179" fontId="9" fillId="0" borderId="0" xfId="0" applyNumberFormat="1" applyFont="1" applyFill="1" applyBorder="1" applyAlignment="1">
      <alignment vertical="top"/>
    </xf>
    <xf numFmtId="43" fontId="28" fillId="0" borderId="27" xfId="0" applyNumberFormat="1" applyFont="1" applyFill="1" applyBorder="1" applyAlignment="1">
      <alignment horizontal="right" vertical="top" wrapText="1"/>
    </xf>
    <xf numFmtId="0" fontId="73" fillId="0" borderId="27" xfId="0" applyFont="1" applyFill="1" applyBorder="1" applyAlignment="1">
      <alignment horizontal="justify" vertical="top" wrapText="1"/>
    </xf>
    <xf numFmtId="0" fontId="56" fillId="0" borderId="27" xfId="0" applyFont="1" applyFill="1" applyBorder="1" applyAlignment="1">
      <alignment horizontal="justify" vertical="top" wrapText="1"/>
    </xf>
    <xf numFmtId="0" fontId="9" fillId="0" borderId="0" xfId="0" applyFont="1" applyFill="1" applyAlignment="1">
      <alignment vertical="top"/>
    </xf>
    <xf numFmtId="41" fontId="15" fillId="0" borderId="0" xfId="0" applyNumberFormat="1" applyFont="1" applyFill="1" applyAlignment="1">
      <alignment vertical="top"/>
    </xf>
    <xf numFmtId="0" fontId="9" fillId="0" borderId="0" xfId="0" applyFont="1" applyAlignment="1">
      <alignment vertical="top"/>
    </xf>
    <xf numFmtId="0" fontId="9" fillId="0" borderId="22" xfId="0" applyFont="1" applyBorder="1" applyAlignment="1">
      <alignment horizontal="left" vertical="top" wrapText="1"/>
    </xf>
    <xf numFmtId="0" fontId="9" fillId="0" borderId="11" xfId="0" applyFont="1" applyFill="1" applyBorder="1" applyAlignment="1">
      <alignment horizontal="left" vertical="top" wrapText="1"/>
    </xf>
    <xf numFmtId="0" fontId="9" fillId="0" borderId="27" xfId="0" applyFont="1" applyBorder="1" applyAlignment="1">
      <alignment horizontal="left" vertical="top" wrapText="1"/>
    </xf>
    <xf numFmtId="0" fontId="9" fillId="0" borderId="19" xfId="20" applyFont="1" applyFill="1" applyBorder="1" applyAlignment="1">
      <alignment horizontal="distributed" vertical="center" indent="2"/>
    </xf>
    <xf numFmtId="3" fontId="9" fillId="0" borderId="14" xfId="20" applyNumberFormat="1" applyFont="1" applyFill="1" applyBorder="1" applyAlignment="1">
      <alignment vertical="top"/>
    </xf>
    <xf numFmtId="0" fontId="15" fillId="0" borderId="17" xfId="20" applyFont="1" applyFill="1" applyBorder="1" applyAlignment="1">
      <alignment vertical="top" wrapText="1"/>
    </xf>
    <xf numFmtId="0" fontId="15" fillId="0" borderId="17" xfId="0" applyFont="1" applyFill="1" applyBorder="1" applyAlignment="1">
      <alignment vertical="top" wrapText="1"/>
    </xf>
    <xf numFmtId="0" fontId="9" fillId="0" borderId="17" xfId="0" applyFont="1" applyFill="1" applyBorder="1" applyAlignment="1">
      <alignment vertical="top" wrapText="1"/>
    </xf>
    <xf numFmtId="0" fontId="9" fillId="0" borderId="21" xfId="0" applyFont="1" applyFill="1" applyBorder="1" applyAlignment="1">
      <alignment vertical="top" wrapText="1"/>
    </xf>
    <xf numFmtId="0" fontId="84" fillId="0" borderId="17" xfId="0" applyFont="1" applyFill="1" applyBorder="1" applyAlignment="1">
      <alignment horizontal="left" vertical="top" wrapText="1"/>
    </xf>
    <xf numFmtId="0" fontId="68" fillId="0" borderId="17" xfId="0" applyFont="1" applyFill="1" applyBorder="1" applyAlignment="1">
      <alignment horizontal="left" vertical="top" wrapText="1"/>
    </xf>
    <xf numFmtId="0" fontId="68" fillId="0" borderId="21" xfId="0" applyFont="1" applyFill="1" applyBorder="1" applyAlignment="1">
      <alignment horizontal="left" vertical="top" wrapText="1"/>
    </xf>
    <xf numFmtId="0" fontId="68" fillId="0" borderId="17" xfId="0" applyNumberFormat="1" applyFont="1" applyFill="1" applyBorder="1" applyAlignment="1">
      <alignment vertical="top" wrapText="1"/>
    </xf>
    <xf numFmtId="178" fontId="28" fillId="0" borderId="18" xfId="21" applyNumberFormat="1" applyFont="1" applyFill="1" applyBorder="1" applyAlignment="1">
      <alignment horizontal="right" vertical="top" wrapText="1"/>
    </xf>
    <xf numFmtId="0" fontId="9" fillId="0" borderId="0" xfId="0" applyFont="1" applyFill="1" applyAlignment="1">
      <alignment vertical="top"/>
    </xf>
    <xf numFmtId="0" fontId="13" fillId="0" borderId="24" xfId="0" applyFont="1" applyFill="1" applyBorder="1" applyAlignment="1">
      <alignment horizontal="distributed" vertical="center" wrapText="1" indent="1"/>
    </xf>
    <xf numFmtId="0" fontId="9" fillId="0" borderId="22" xfId="0" applyFont="1" applyFill="1" applyBorder="1" applyAlignment="1">
      <alignment vertical="center"/>
    </xf>
    <xf numFmtId="0" fontId="9" fillId="0" borderId="23" xfId="0" applyFont="1" applyFill="1" applyBorder="1" applyAlignment="1">
      <alignment vertical="center"/>
    </xf>
    <xf numFmtId="179" fontId="15" fillId="0" borderId="0" xfId="0" applyNumberFormat="1" applyFont="1" applyFill="1" applyAlignment="1">
      <alignment vertical="top"/>
    </xf>
    <xf numFmtId="0" fontId="85" fillId="0" borderId="0" xfId="111" applyFont="1"/>
    <xf numFmtId="43" fontId="36" fillId="0" borderId="0" xfId="111" applyNumberFormat="1" applyFont="1"/>
    <xf numFmtId="0" fontId="9" fillId="0" borderId="0" xfId="0" applyFont="1" applyAlignment="1">
      <alignment vertical="top"/>
    </xf>
    <xf numFmtId="176" fontId="36" fillId="25" borderId="0" xfId="111" applyNumberFormat="1" applyFont="1" applyFill="1"/>
    <xf numFmtId="0" fontId="85" fillId="25" borderId="0" xfId="111" applyFont="1" applyFill="1" applyAlignment="1">
      <alignment vertical="center"/>
    </xf>
    <xf numFmtId="0" fontId="13" fillId="0" borderId="11" xfId="0" applyFont="1" applyFill="1" applyBorder="1" applyAlignment="1">
      <alignment horizontal="left" vertical="top" wrapText="1"/>
    </xf>
    <xf numFmtId="0" fontId="71" fillId="0" borderId="0" xfId="111" applyFont="1" applyAlignment="1">
      <alignment vertical="center"/>
    </xf>
    <xf numFmtId="0" fontId="9" fillId="0" borderId="0" xfId="0" applyFont="1" applyAlignment="1">
      <alignment vertical="top"/>
    </xf>
    <xf numFmtId="0" fontId="9" fillId="0" borderId="0" xfId="112" applyFont="1" applyAlignment="1">
      <alignment vertical="top"/>
    </xf>
    <xf numFmtId="0" fontId="13" fillId="0" borderId="33" xfId="112" applyFont="1" applyBorder="1" applyAlignment="1">
      <alignment horizontal="distributed" vertical="center" wrapText="1"/>
    </xf>
    <xf numFmtId="0" fontId="13" fillId="0" borderId="34" xfId="112" applyFont="1" applyBorder="1" applyAlignment="1">
      <alignment horizontal="distributed" vertical="center" wrapText="1"/>
    </xf>
    <xf numFmtId="0" fontId="9" fillId="0" borderId="0" xfId="112" applyFont="1" applyAlignment="1">
      <alignment vertical="center"/>
    </xf>
    <xf numFmtId="0" fontId="86" fillId="0" borderId="0" xfId="112" applyFont="1" applyAlignment="1">
      <alignment vertical="top"/>
    </xf>
    <xf numFmtId="0" fontId="87" fillId="0" borderId="0" xfId="112" applyFont="1" applyAlignment="1">
      <alignment vertical="top"/>
    </xf>
    <xf numFmtId="0" fontId="15" fillId="0" borderId="0" xfId="112" applyFont="1" applyAlignment="1">
      <alignment vertical="top"/>
    </xf>
    <xf numFmtId="0" fontId="13" fillId="0" borderId="17" xfId="112" applyFont="1" applyBorder="1" applyAlignment="1">
      <alignment vertical="top"/>
    </xf>
    <xf numFmtId="3" fontId="89" fillId="0" borderId="18" xfId="113" applyNumberFormat="1" applyFont="1" applyBorder="1" applyAlignment="1">
      <alignment vertical="top"/>
    </xf>
    <xf numFmtId="179" fontId="9" fillId="0" borderId="18" xfId="112" applyNumberFormat="1" applyFont="1" applyBorder="1" applyAlignment="1">
      <alignment vertical="top"/>
    </xf>
    <xf numFmtId="3" fontId="88" fillId="0" borderId="18" xfId="113" applyNumberFormat="1" applyFont="1" applyBorder="1" applyAlignment="1">
      <alignment vertical="top"/>
    </xf>
    <xf numFmtId="179" fontId="9" fillId="0" borderId="27" xfId="112" applyNumberFormat="1" applyFont="1" applyBorder="1" applyAlignment="1">
      <alignment vertical="top"/>
    </xf>
    <xf numFmtId="179" fontId="15" fillId="0" borderId="18" xfId="112" applyNumberFormat="1" applyFont="1" applyBorder="1" applyAlignment="1">
      <alignment vertical="top"/>
    </xf>
    <xf numFmtId="179" fontId="15" fillId="0" borderId="12" xfId="112" applyNumberFormat="1" applyFont="1" applyBorder="1" applyAlignment="1">
      <alignment vertical="top"/>
    </xf>
    <xf numFmtId="0" fontId="36" fillId="0" borderId="0" xfId="112" applyFont="1" applyAlignment="1">
      <alignment vertical="top"/>
    </xf>
    <xf numFmtId="0" fontId="13" fillId="0" borderId="24" xfId="112" applyFont="1" applyBorder="1" applyAlignment="1">
      <alignment horizontal="distributed" vertical="center" wrapText="1"/>
    </xf>
    <xf numFmtId="179" fontId="9" fillId="0" borderId="15" xfId="112" applyNumberFormat="1" applyFont="1" applyFill="1" applyBorder="1" applyAlignment="1">
      <alignment horizontal="center" vertical="center"/>
    </xf>
    <xf numFmtId="179" fontId="9" fillId="0" borderId="15" xfId="112" applyNumberFormat="1" applyFont="1" applyFill="1" applyBorder="1" applyAlignment="1">
      <alignment horizontal="right" vertical="center"/>
    </xf>
    <xf numFmtId="41" fontId="9" fillId="0" borderId="30" xfId="112" applyNumberFormat="1" applyFont="1" applyFill="1" applyBorder="1" applyAlignment="1">
      <alignment horizontal="right" vertical="center"/>
    </xf>
    <xf numFmtId="179" fontId="9" fillId="0" borderId="25" xfId="112" applyNumberFormat="1" applyFont="1" applyFill="1" applyBorder="1" applyAlignment="1">
      <alignment horizontal="right" vertical="center"/>
    </xf>
    <xf numFmtId="179" fontId="9" fillId="0" borderId="0" xfId="112" applyNumberFormat="1" applyFont="1" applyFill="1" applyBorder="1" applyAlignment="1">
      <alignment horizontal="center" vertical="center"/>
    </xf>
    <xf numFmtId="179" fontId="9" fillId="0" borderId="27" xfId="112" applyNumberFormat="1" applyFont="1" applyFill="1" applyBorder="1" applyAlignment="1">
      <alignment horizontal="right" vertical="center"/>
    </xf>
    <xf numFmtId="41" fontId="9" fillId="0" borderId="18" xfId="112" applyNumberFormat="1" applyFont="1" applyFill="1" applyBorder="1" applyAlignment="1">
      <alignment horizontal="right" vertical="center"/>
    </xf>
    <xf numFmtId="41" fontId="9" fillId="0" borderId="0" xfId="112" applyNumberFormat="1" applyFont="1" applyFill="1" applyBorder="1" applyAlignment="1">
      <alignment horizontal="right" vertical="center"/>
    </xf>
    <xf numFmtId="179" fontId="9" fillId="0" borderId="18" xfId="112" applyNumberFormat="1" applyFont="1" applyFill="1" applyBorder="1" applyAlignment="1">
      <alignment horizontal="right" vertical="center"/>
    </xf>
    <xf numFmtId="0" fontId="13" fillId="0" borderId="21" xfId="112" applyFont="1" applyBorder="1" applyAlignment="1">
      <alignment horizontal="center" vertical="top"/>
    </xf>
    <xf numFmtId="179" fontId="9" fillId="0" borderId="12" xfId="112" applyNumberFormat="1" applyFont="1" applyBorder="1" applyAlignment="1">
      <alignment vertical="top"/>
    </xf>
    <xf numFmtId="179" fontId="9" fillId="0" borderId="18" xfId="112" applyNumberFormat="1" applyFont="1" applyFill="1" applyBorder="1" applyAlignment="1">
      <alignment horizontal="center" vertical="center"/>
    </xf>
    <xf numFmtId="0" fontId="9" fillId="0" borderId="11" xfId="0" applyFont="1" applyFill="1" applyBorder="1" applyAlignment="1">
      <alignment horizontal="left" vertical="top" wrapText="1"/>
    </xf>
    <xf numFmtId="179" fontId="9" fillId="0" borderId="32" xfId="112" applyNumberFormat="1" applyFont="1" applyBorder="1" applyAlignment="1">
      <alignment vertical="top"/>
    </xf>
    <xf numFmtId="179" fontId="9" fillId="0" borderId="22" xfId="112" applyNumberFormat="1" applyFont="1" applyBorder="1" applyAlignment="1">
      <alignment vertical="top"/>
    </xf>
    <xf numFmtId="179" fontId="15" fillId="0" borderId="23" xfId="112" applyNumberFormat="1" applyFont="1" applyBorder="1" applyAlignment="1">
      <alignment vertical="top"/>
    </xf>
    <xf numFmtId="49" fontId="9" fillId="0" borderId="27" xfId="112" applyNumberFormat="1" applyFont="1" applyFill="1" applyBorder="1" applyAlignment="1">
      <alignment vertical="top" wrapText="1"/>
    </xf>
    <xf numFmtId="179" fontId="9" fillId="0" borderId="0" xfId="112" applyNumberFormat="1" applyFont="1" applyFill="1" applyBorder="1" applyAlignment="1">
      <alignment horizontal="right" vertical="center" wrapText="1"/>
    </xf>
    <xf numFmtId="179" fontId="9" fillId="0" borderId="30" xfId="112" applyNumberFormat="1" applyFont="1" applyFill="1" applyBorder="1" applyAlignment="1">
      <alignment horizontal="right" vertical="center"/>
    </xf>
    <xf numFmtId="3" fontId="89" fillId="0" borderId="18" xfId="113" applyNumberFormat="1" applyFont="1" applyFill="1" applyBorder="1" applyAlignment="1">
      <alignment horizontal="center" vertical="top"/>
    </xf>
    <xf numFmtId="41" fontId="9" fillId="0" borderId="30" xfId="112" applyNumberFormat="1" applyFont="1" applyFill="1" applyBorder="1" applyAlignment="1">
      <alignment horizontal="right" vertical="top"/>
    </xf>
    <xf numFmtId="179" fontId="9" fillId="0" borderId="18" xfId="112" applyNumberFormat="1" applyFont="1" applyFill="1" applyBorder="1" applyAlignment="1">
      <alignment horizontal="right" vertical="top"/>
    </xf>
    <xf numFmtId="185" fontId="57" fillId="0" borderId="18" xfId="0" applyNumberFormat="1" applyFont="1" applyFill="1" applyBorder="1" applyAlignment="1">
      <alignment horizontal="right" vertical="top" wrapText="1"/>
    </xf>
    <xf numFmtId="0" fontId="85" fillId="25" borderId="0" xfId="111" applyFont="1" applyFill="1"/>
    <xf numFmtId="0" fontId="9" fillId="0" borderId="0" xfId="0" applyFont="1" applyFill="1" applyAlignment="1">
      <alignment vertical="top"/>
    </xf>
    <xf numFmtId="0" fontId="15" fillId="0" borderId="0" xfId="0" applyFont="1" applyFill="1" applyBorder="1" applyAlignment="1">
      <alignment horizontal="justify" vertical="top"/>
    </xf>
    <xf numFmtId="0" fontId="9" fillId="0" borderId="0" xfId="0" applyFont="1" applyFill="1" applyBorder="1" applyAlignment="1">
      <alignment horizontal="justify" vertical="top"/>
    </xf>
    <xf numFmtId="0" fontId="14" fillId="0" borderId="10" xfId="0" applyFont="1" applyFill="1" applyBorder="1" applyAlignment="1">
      <alignment horizontal="justify" vertical="top"/>
    </xf>
    <xf numFmtId="0" fontId="15" fillId="0" borderId="18" xfId="0" applyFont="1" applyFill="1" applyBorder="1" applyAlignment="1">
      <alignment vertical="top" wrapText="1"/>
    </xf>
    <xf numFmtId="0" fontId="9" fillId="0" borderId="18" xfId="0" applyFont="1" applyFill="1" applyBorder="1" applyAlignment="1">
      <alignment vertical="top"/>
    </xf>
    <xf numFmtId="0" fontId="15" fillId="0" borderId="18" xfId="0" applyFont="1" applyFill="1" applyBorder="1" applyAlignment="1">
      <alignment vertical="top"/>
    </xf>
    <xf numFmtId="178" fontId="28" fillId="0" borderId="0" xfId="0" applyNumberFormat="1" applyFont="1" applyFill="1" applyBorder="1" applyAlignment="1">
      <alignment horizontal="right" vertical="top" wrapText="1"/>
    </xf>
    <xf numFmtId="43" fontId="57" fillId="0" borderId="12" xfId="0" applyNumberFormat="1" applyFont="1" applyFill="1" applyBorder="1" applyAlignment="1">
      <alignment horizontal="right" vertical="top" wrapText="1"/>
    </xf>
    <xf numFmtId="0" fontId="15" fillId="0" borderId="31" xfId="0" applyFont="1" applyFill="1" applyBorder="1" applyAlignment="1">
      <alignment horizontal="justify" vertical="top"/>
    </xf>
    <xf numFmtId="0" fontId="15" fillId="0" borderId="31" xfId="0" applyFont="1" applyFill="1" applyBorder="1" applyAlignment="1">
      <alignment vertical="top"/>
    </xf>
    <xf numFmtId="49" fontId="37" fillId="0" borderId="32" xfId="0" applyNumberFormat="1" applyFont="1" applyBorder="1" applyAlignment="1">
      <alignment vertical="top" wrapText="1"/>
    </xf>
    <xf numFmtId="0" fontId="9" fillId="0" borderId="0" xfId="0" applyFont="1" applyFill="1" applyAlignment="1">
      <alignment vertical="top"/>
    </xf>
    <xf numFmtId="0" fontId="9" fillId="0" borderId="22" xfId="0" applyFont="1" applyFill="1" applyBorder="1" applyAlignment="1">
      <alignment vertical="top" wrapText="1"/>
    </xf>
    <xf numFmtId="0" fontId="87" fillId="0" borderId="0" xfId="0" applyFont="1" applyFill="1" applyAlignment="1">
      <alignment vertical="top"/>
    </xf>
    <xf numFmtId="10" fontId="15" fillId="0" borderId="0" xfId="0" applyNumberFormat="1" applyFont="1" applyFill="1" applyAlignment="1">
      <alignment vertical="top"/>
    </xf>
    <xf numFmtId="3" fontId="15" fillId="0" borderId="0" xfId="0" applyNumberFormat="1" applyFont="1" applyFill="1" applyAlignment="1">
      <alignment vertical="top"/>
    </xf>
    <xf numFmtId="0" fontId="9" fillId="0" borderId="0" xfId="0" applyFont="1" applyFill="1" applyAlignment="1">
      <alignment vertical="top"/>
    </xf>
    <xf numFmtId="0" fontId="9" fillId="0" borderId="0" xfId="0" applyFont="1" applyFill="1" applyAlignment="1">
      <alignment vertical="top"/>
    </xf>
    <xf numFmtId="0" fontId="13" fillId="0" borderId="11" xfId="0" applyFont="1" applyFill="1" applyBorder="1" applyAlignment="1">
      <alignment vertical="top" wrapText="1"/>
    </xf>
    <xf numFmtId="0" fontId="9" fillId="0" borderId="0" xfId="0" applyFont="1" applyFill="1" applyAlignment="1">
      <alignment vertical="top"/>
    </xf>
    <xf numFmtId="0" fontId="14" fillId="0" borderId="17" xfId="0" applyFont="1" applyBorder="1" applyAlignment="1">
      <alignment vertical="top" wrapText="1"/>
    </xf>
    <xf numFmtId="41" fontId="9" fillId="0" borderId="11" xfId="21" applyNumberFormat="1" applyFont="1" applyBorder="1" applyAlignment="1">
      <alignment horizontal="right" vertical="top" wrapText="1"/>
    </xf>
    <xf numFmtId="41" fontId="103" fillId="0" borderId="18" xfId="0" applyNumberFormat="1" applyFont="1" applyFill="1" applyBorder="1" applyAlignment="1">
      <alignment horizontal="right" vertical="top" wrapText="1"/>
    </xf>
    <xf numFmtId="0" fontId="9" fillId="0" borderId="22" xfId="20" applyNumberFormat="1" applyFont="1" applyBorder="1" applyAlignment="1">
      <alignment horizontal="justify" vertical="top" wrapText="1"/>
    </xf>
    <xf numFmtId="0" fontId="9" fillId="0" borderId="22" xfId="20" applyNumberFormat="1" applyFont="1" applyFill="1" applyBorder="1" applyAlignment="1">
      <alignment horizontal="left" vertical="top" wrapText="1"/>
    </xf>
    <xf numFmtId="0" fontId="9" fillId="0" borderId="23" xfId="20" applyNumberFormat="1" applyFont="1" applyFill="1" applyBorder="1" applyAlignment="1">
      <alignment horizontal="left" vertical="top" wrapText="1"/>
    </xf>
    <xf numFmtId="0" fontId="9" fillId="0" borderId="22" xfId="20" applyNumberFormat="1" applyFont="1" applyFill="1" applyBorder="1" applyAlignment="1">
      <alignment horizontal="left" vertical="top" wrapText="1"/>
    </xf>
    <xf numFmtId="0" fontId="13" fillId="0" borderId="22" xfId="20" applyNumberFormat="1" applyFont="1" applyFill="1" applyBorder="1" applyAlignment="1">
      <alignment horizontal="left" vertical="top" wrapText="1"/>
    </xf>
    <xf numFmtId="0" fontId="2" fillId="0" borderId="0" xfId="213">
      <alignment vertical="center"/>
    </xf>
    <xf numFmtId="200" fontId="15" fillId="0" borderId="18" xfId="213" applyNumberFormat="1" applyFont="1" applyFill="1" applyBorder="1" applyAlignment="1">
      <alignment horizontal="center" vertical="center" wrapText="1"/>
    </xf>
    <xf numFmtId="0" fontId="2" fillId="0" borderId="0" xfId="213" applyFill="1">
      <alignment vertical="center"/>
    </xf>
    <xf numFmtId="200" fontId="9" fillId="0" borderId="18" xfId="213" applyNumberFormat="1" applyFont="1" applyFill="1" applyBorder="1" applyAlignment="1">
      <alignment horizontal="center" vertical="center" wrapText="1"/>
    </xf>
    <xf numFmtId="200" fontId="15" fillId="0" borderId="12" xfId="213" applyNumberFormat="1" applyFont="1" applyFill="1" applyBorder="1" applyAlignment="1">
      <alignment horizontal="center" vertical="center" wrapText="1"/>
    </xf>
    <xf numFmtId="0" fontId="37" fillId="28" borderId="17" xfId="213" applyFont="1" applyFill="1" applyBorder="1" applyAlignment="1">
      <alignment horizontal="left" vertical="center"/>
    </xf>
    <xf numFmtId="43" fontId="15" fillId="28" borderId="21" xfId="213" applyNumberFormat="1" applyFont="1" applyFill="1" applyBorder="1" applyAlignment="1">
      <alignment horizontal="left" vertical="center"/>
    </xf>
    <xf numFmtId="41" fontId="9" fillId="0" borderId="18" xfId="67" applyNumberFormat="1" applyFont="1" applyFill="1" applyBorder="1" applyAlignment="1">
      <alignment horizontal="right" vertical="center" wrapText="1"/>
    </xf>
    <xf numFmtId="41" fontId="20" fillId="28" borderId="30" xfId="214" applyNumberFormat="1" applyFont="1" applyFill="1" applyBorder="1" applyAlignment="1">
      <alignment vertical="center"/>
    </xf>
    <xf numFmtId="41" fontId="20" fillId="28" borderId="30" xfId="214" applyNumberFormat="1" applyFont="1" applyFill="1" applyBorder="1" applyAlignment="1">
      <alignment horizontal="right" vertical="center"/>
    </xf>
    <xf numFmtId="41" fontId="37" fillId="28" borderId="30" xfId="214" applyNumberFormat="1" applyFont="1" applyFill="1" applyBorder="1" applyAlignment="1">
      <alignment horizontal="right" vertical="center"/>
    </xf>
    <xf numFmtId="41" fontId="37" fillId="28" borderId="30" xfId="213" applyNumberFormat="1" applyFont="1" applyFill="1" applyBorder="1" applyAlignment="1">
      <alignment horizontal="right" vertical="center"/>
    </xf>
    <xf numFmtId="41" fontId="15" fillId="28" borderId="31" xfId="213" applyNumberFormat="1" applyFont="1" applyFill="1" applyBorder="1" applyAlignment="1">
      <alignment horizontal="right" vertical="center"/>
    </xf>
    <xf numFmtId="41" fontId="2" fillId="0" borderId="0" xfId="213" applyNumberFormat="1">
      <alignment vertical="center"/>
    </xf>
    <xf numFmtId="41" fontId="9" fillId="0" borderId="16" xfId="67" applyNumberFormat="1" applyFont="1" applyFill="1" applyBorder="1" applyAlignment="1">
      <alignment horizontal="right" vertical="center" wrapText="1"/>
    </xf>
    <xf numFmtId="41" fontId="20" fillId="0" borderId="11" xfId="214" applyNumberFormat="1" applyFont="1" applyFill="1" applyBorder="1" applyAlignment="1">
      <alignment vertical="center"/>
    </xf>
    <xf numFmtId="41" fontId="37" fillId="0" borderId="11" xfId="214" applyNumberFormat="1" applyFont="1" applyFill="1" applyBorder="1" applyAlignment="1">
      <alignment vertical="center"/>
    </xf>
    <xf numFmtId="0" fontId="9" fillId="0" borderId="11" xfId="0" applyFont="1" applyFill="1" applyBorder="1" applyAlignment="1">
      <alignment horizontal="left" vertical="top" wrapText="1"/>
    </xf>
    <xf numFmtId="0" fontId="9" fillId="0" borderId="22" xfId="0" applyFont="1" applyFill="1" applyBorder="1" applyAlignment="1">
      <alignment vertical="top" wrapText="1"/>
    </xf>
    <xf numFmtId="0" fontId="9" fillId="0" borderId="23" xfId="0" applyFont="1" applyFill="1" applyBorder="1" applyAlignment="1">
      <alignment vertical="top" wrapText="1"/>
    </xf>
    <xf numFmtId="0" fontId="36" fillId="25" borderId="0" xfId="111" applyFont="1" applyFill="1"/>
    <xf numFmtId="0" fontId="13" fillId="0" borderId="0" xfId="0" applyFont="1" applyFill="1" applyBorder="1" applyAlignment="1">
      <alignment horizontal="justify" vertical="top" wrapText="1"/>
    </xf>
    <xf numFmtId="41" fontId="57" fillId="0" borderId="21" xfId="21" applyNumberFormat="1" applyFont="1" applyFill="1" applyBorder="1" applyAlignment="1">
      <alignment horizontal="right" vertical="top" wrapText="1"/>
    </xf>
    <xf numFmtId="41" fontId="57" fillId="0" borderId="12" xfId="21" applyNumberFormat="1" applyFont="1" applyFill="1" applyBorder="1" applyAlignment="1">
      <alignment horizontal="right" vertical="top" wrapText="1"/>
    </xf>
    <xf numFmtId="41" fontId="57" fillId="0" borderId="13" xfId="0" applyNumberFormat="1" applyFont="1" applyFill="1" applyBorder="1" applyAlignment="1">
      <alignment horizontal="right" vertical="top" wrapText="1"/>
    </xf>
    <xf numFmtId="43" fontId="28" fillId="0" borderId="17" xfId="0" applyNumberFormat="1" applyFont="1" applyFill="1" applyBorder="1" applyAlignment="1">
      <alignment horizontal="right" vertical="top" wrapText="1"/>
    </xf>
    <xf numFmtId="0" fontId="13" fillId="0" borderId="15" xfId="111" applyFont="1" applyBorder="1" applyAlignment="1">
      <alignment horizontal="center" vertical="center"/>
    </xf>
    <xf numFmtId="181" fontId="33" fillId="0" borderId="0" xfId="0" applyNumberFormat="1" applyFont="1" applyFill="1" applyBorder="1" applyAlignment="1">
      <alignment horizontal="right" vertical="top" wrapText="1"/>
    </xf>
    <xf numFmtId="181" fontId="77" fillId="0" borderId="0" xfId="0" applyNumberFormat="1" applyFont="1" applyFill="1" applyBorder="1" applyAlignment="1">
      <alignment horizontal="right" vertical="top" wrapText="1"/>
    </xf>
    <xf numFmtId="41" fontId="33" fillId="0" borderId="0" xfId="0" applyNumberFormat="1" applyFont="1" applyFill="1" applyBorder="1" applyAlignment="1">
      <alignment horizontal="right" vertical="top" wrapText="1"/>
    </xf>
    <xf numFmtId="41" fontId="57" fillId="0" borderId="11" xfId="21" applyNumberFormat="1" applyFont="1" applyFill="1" applyBorder="1" applyAlignment="1">
      <alignment horizontal="right" vertical="top" wrapText="1"/>
    </xf>
    <xf numFmtId="41" fontId="57" fillId="0" borderId="21" xfId="0" applyNumberFormat="1" applyFont="1" applyFill="1" applyBorder="1" applyAlignment="1">
      <alignment horizontal="right" vertical="top" wrapText="1"/>
    </xf>
    <xf numFmtId="41" fontId="28" fillId="0" borderId="12" xfId="21" applyNumberFormat="1" applyFont="1" applyFill="1" applyBorder="1" applyAlignment="1">
      <alignment horizontal="right" vertical="top" wrapText="1"/>
    </xf>
    <xf numFmtId="41" fontId="28" fillId="0" borderId="13" xfId="21" applyNumberFormat="1" applyFont="1" applyFill="1" applyBorder="1" applyAlignment="1">
      <alignment horizontal="right" vertical="top" wrapText="1"/>
    </xf>
    <xf numFmtId="0" fontId="9" fillId="0" borderId="22" xfId="0" applyFont="1" applyBorder="1" applyAlignment="1">
      <alignment horizontal="left" vertical="top" wrapText="1"/>
    </xf>
    <xf numFmtId="0" fontId="9" fillId="0" borderId="22" xfId="0" applyFont="1" applyBorder="1" applyAlignment="1">
      <alignment vertical="top" wrapText="1"/>
    </xf>
    <xf numFmtId="0" fontId="9" fillId="0" borderId="22" xfId="0" applyFont="1" applyFill="1" applyBorder="1" applyAlignment="1">
      <alignment horizontal="left" vertical="top" wrapText="1"/>
    </xf>
    <xf numFmtId="0" fontId="9" fillId="0" borderId="0" xfId="0" applyFont="1" applyFill="1" applyBorder="1" applyAlignment="1">
      <alignment vertical="top" wrapText="1"/>
    </xf>
    <xf numFmtId="0" fontId="9" fillId="0" borderId="22" xfId="0" applyFont="1" applyFill="1" applyBorder="1" applyAlignment="1">
      <alignment vertical="top" wrapText="1"/>
    </xf>
    <xf numFmtId="0" fontId="9" fillId="0" borderId="0" xfId="0" applyFont="1" applyBorder="1" applyAlignment="1">
      <alignment horizontal="left" vertical="top" wrapText="1"/>
    </xf>
    <xf numFmtId="0" fontId="9" fillId="0" borderId="0" xfId="0" applyFont="1" applyFill="1" applyBorder="1" applyAlignment="1">
      <alignment horizontal="left" vertical="top" wrapText="1"/>
    </xf>
    <xf numFmtId="179" fontId="9" fillId="0" borderId="21" xfId="0" applyNumberFormat="1" applyFont="1" applyFill="1" applyBorder="1" applyAlignment="1">
      <alignment horizontal="right" vertical="top" wrapText="1"/>
    </xf>
    <xf numFmtId="41" fontId="15" fillId="0" borderId="12" xfId="0" applyNumberFormat="1" applyFont="1" applyFill="1" applyBorder="1" applyAlignment="1">
      <alignment horizontal="right" vertical="top" wrapText="1"/>
    </xf>
    <xf numFmtId="41" fontId="15" fillId="0" borderId="13" xfId="0" applyNumberFormat="1" applyFont="1" applyFill="1" applyBorder="1" applyAlignment="1">
      <alignment horizontal="right" vertical="top" wrapText="1"/>
    </xf>
    <xf numFmtId="0" fontId="19" fillId="0" borderId="17" xfId="213" applyFont="1" applyFill="1" applyBorder="1" applyAlignment="1">
      <alignment horizontal="left" vertical="center" wrapText="1"/>
    </xf>
    <xf numFmtId="0" fontId="19" fillId="0" borderId="14" xfId="213" applyFont="1" applyFill="1" applyBorder="1" applyAlignment="1">
      <alignment horizontal="left" vertical="center" wrapText="1"/>
    </xf>
    <xf numFmtId="0" fontId="19" fillId="28" borderId="17" xfId="213" applyFont="1" applyFill="1" applyBorder="1" applyAlignment="1">
      <alignment horizontal="left" vertical="center" wrapText="1"/>
    </xf>
    <xf numFmtId="43" fontId="13" fillId="28" borderId="17" xfId="213" applyNumberFormat="1" applyFont="1" applyFill="1" applyBorder="1" applyAlignment="1">
      <alignment vertical="center" wrapText="1"/>
    </xf>
    <xf numFmtId="0" fontId="56" fillId="0" borderId="65" xfId="213" applyFont="1" applyFill="1" applyBorder="1" applyAlignment="1">
      <alignment horizontal="distributed" vertical="center" wrapText="1"/>
    </xf>
    <xf numFmtId="0" fontId="56" fillId="0" borderId="46" xfId="213" applyFont="1" applyFill="1" applyBorder="1" applyAlignment="1">
      <alignment horizontal="distributed" vertical="center" wrapText="1"/>
    </xf>
    <xf numFmtId="49" fontId="56" fillId="0" borderId="65" xfId="213" applyNumberFormat="1" applyFont="1" applyFill="1" applyBorder="1" applyAlignment="1">
      <alignment horizontal="distributed" vertical="center" wrapText="1"/>
    </xf>
    <xf numFmtId="41" fontId="37" fillId="0" borderId="13" xfId="214" applyNumberFormat="1" applyFont="1" applyFill="1" applyBorder="1" applyAlignment="1">
      <alignment vertical="center"/>
    </xf>
    <xf numFmtId="3" fontId="13" fillId="0" borderId="14" xfId="112" applyNumberFormat="1" applyFont="1" applyFill="1" applyBorder="1" applyAlignment="1">
      <alignment vertical="center"/>
    </xf>
    <xf numFmtId="3" fontId="13" fillId="0" borderId="17" xfId="112" applyNumberFormat="1" applyFont="1" applyFill="1" applyBorder="1" applyAlignment="1">
      <alignment vertical="center" wrapText="1"/>
    </xf>
    <xf numFmtId="3" fontId="13" fillId="0" borderId="17" xfId="112" applyNumberFormat="1" applyFont="1" applyFill="1" applyBorder="1" applyAlignment="1">
      <alignment vertical="center"/>
    </xf>
    <xf numFmtId="3" fontId="13" fillId="0" borderId="17" xfId="112" applyNumberFormat="1" applyFont="1" applyFill="1" applyBorder="1" applyAlignment="1">
      <alignment vertical="top" wrapText="1"/>
    </xf>
    <xf numFmtId="182" fontId="67" fillId="0" borderId="0" xfId="0" applyNumberFormat="1" applyFont="1" applyFill="1" applyAlignment="1">
      <alignment vertical="top"/>
    </xf>
    <xf numFmtId="41" fontId="15" fillId="0" borderId="18" xfId="67" applyNumberFormat="1" applyFont="1" applyFill="1" applyBorder="1" applyAlignment="1">
      <alignment horizontal="right" vertical="center" wrapText="1"/>
    </xf>
    <xf numFmtId="43" fontId="13" fillId="28" borderId="17" xfId="213" applyNumberFormat="1" applyFont="1" applyFill="1" applyBorder="1" applyAlignment="1">
      <alignment horizontal="left" vertical="center" wrapText="1"/>
    </xf>
    <xf numFmtId="176" fontId="28" fillId="0" borderId="11" xfId="0" applyNumberFormat="1" applyFont="1" applyFill="1" applyBorder="1" applyAlignment="1">
      <alignment horizontal="right" vertical="top" wrapText="1"/>
    </xf>
    <xf numFmtId="0" fontId="13" fillId="0" borderId="24" xfId="0" applyFont="1" applyFill="1" applyBorder="1" applyAlignment="1">
      <alignment horizontal="center" vertical="center" wrapText="1"/>
    </xf>
    <xf numFmtId="0" fontId="13" fillId="0" borderId="15" xfId="0" applyFont="1" applyFill="1" applyBorder="1" applyAlignment="1">
      <alignment horizontal="center" vertical="center" wrapText="1"/>
    </xf>
    <xf numFmtId="0" fontId="9" fillId="0" borderId="22" xfId="20" applyNumberFormat="1" applyFont="1" applyBorder="1" applyAlignment="1">
      <alignment horizontal="justify" vertical="top" wrapText="1"/>
    </xf>
    <xf numFmtId="179" fontId="9" fillId="0" borderId="12" xfId="20" applyNumberFormat="1" applyFont="1" applyBorder="1" applyAlignment="1">
      <alignment vertical="top"/>
    </xf>
    <xf numFmtId="0" fontId="9" fillId="0" borderId="23" xfId="20" applyNumberFormat="1" applyFont="1" applyBorder="1" applyAlignment="1">
      <alignment horizontal="justify" vertical="top" wrapText="1"/>
    </xf>
    <xf numFmtId="176" fontId="28" fillId="0" borderId="18" xfId="0" applyNumberFormat="1" applyFont="1" applyFill="1" applyBorder="1" applyAlignment="1">
      <alignment horizontal="right" vertical="top" wrapText="1"/>
    </xf>
    <xf numFmtId="41" fontId="9" fillId="0" borderId="18" xfId="21" applyNumberFormat="1" applyFont="1" applyBorder="1" applyAlignment="1">
      <alignment horizontal="right" vertical="top" wrapText="1"/>
    </xf>
    <xf numFmtId="0" fontId="21" fillId="0" borderId="18" xfId="0" applyFont="1" applyFill="1" applyBorder="1" applyAlignment="1">
      <alignment horizontal="center" vertical="center" wrapText="1"/>
    </xf>
    <xf numFmtId="0" fontId="21" fillId="0" borderId="11" xfId="0" applyFont="1" applyFill="1" applyBorder="1" applyAlignment="1">
      <alignment horizontal="center" vertical="center" wrapText="1"/>
    </xf>
    <xf numFmtId="0" fontId="13" fillId="0" borderId="20" xfId="0" applyFont="1" applyFill="1" applyBorder="1" applyAlignment="1">
      <alignment horizontal="distributed" vertical="center" wrapText="1"/>
    </xf>
    <xf numFmtId="176" fontId="57" fillId="0" borderId="11" xfId="0" applyNumberFormat="1" applyFont="1" applyFill="1" applyBorder="1" applyAlignment="1">
      <alignment horizontal="right" vertical="top" wrapText="1"/>
    </xf>
    <xf numFmtId="41" fontId="105" fillId="0" borderId="11" xfId="0" applyNumberFormat="1" applyFont="1" applyFill="1" applyBorder="1" applyAlignment="1">
      <alignment vertical="top"/>
    </xf>
    <xf numFmtId="0" fontId="9" fillId="0" borderId="0" xfId="0" applyFont="1" applyFill="1" applyAlignment="1">
      <alignment vertical="top"/>
    </xf>
    <xf numFmtId="43" fontId="0" fillId="0" borderId="0" xfId="22" applyNumberFormat="1" applyFont="1" applyFill="1" applyBorder="1" applyAlignment="1">
      <alignment horizontal="right" vertical="top" wrapText="1"/>
    </xf>
    <xf numFmtId="43" fontId="0" fillId="0" borderId="30" xfId="22" applyNumberFormat="1" applyFont="1" applyFill="1" applyBorder="1" applyAlignment="1">
      <alignment horizontal="right" vertical="top" wrapText="1"/>
    </xf>
    <xf numFmtId="3" fontId="9" fillId="0" borderId="0" xfId="0" applyNumberFormat="1" applyFont="1" applyFill="1" applyBorder="1" applyAlignment="1">
      <alignment vertical="top" wrapText="1"/>
    </xf>
    <xf numFmtId="0" fontId="9" fillId="0" borderId="27" xfId="0" applyFont="1" applyFill="1" applyBorder="1" applyAlignment="1">
      <alignment horizontal="left" vertical="top" wrapText="1"/>
    </xf>
    <xf numFmtId="0" fontId="9" fillId="0" borderId="22" xfId="0" applyFont="1" applyFill="1" applyBorder="1" applyAlignment="1">
      <alignment horizontal="left" vertical="top" wrapText="1"/>
    </xf>
    <xf numFmtId="0" fontId="9" fillId="0" borderId="22" xfId="0" applyFont="1" applyFill="1" applyBorder="1" applyAlignment="1">
      <alignment vertical="top" wrapText="1"/>
    </xf>
    <xf numFmtId="0" fontId="9" fillId="0" borderId="0" xfId="0" applyFont="1" applyFill="1" applyAlignment="1">
      <alignment vertical="top"/>
    </xf>
    <xf numFmtId="0" fontId="21" fillId="0" borderId="28" xfId="0" applyFont="1" applyFill="1" applyBorder="1" applyAlignment="1">
      <alignment horizontal="center" vertical="center" wrapText="1"/>
    </xf>
    <xf numFmtId="43" fontId="9" fillId="0" borderId="11" xfId="0" applyNumberFormat="1" applyFont="1" applyFill="1" applyBorder="1" applyAlignment="1">
      <alignment horizontal="right" vertical="top" wrapText="1"/>
    </xf>
    <xf numFmtId="43" fontId="15" fillId="0" borderId="11" xfId="0" applyNumberFormat="1" applyFont="1" applyFill="1" applyBorder="1" applyAlignment="1">
      <alignment horizontal="right" vertical="top" wrapText="1"/>
    </xf>
    <xf numFmtId="43" fontId="9" fillId="0" borderId="18" xfId="0" applyNumberFormat="1" applyFont="1" applyFill="1" applyBorder="1" applyAlignment="1">
      <alignment horizontal="right" vertical="top" wrapText="1"/>
    </xf>
    <xf numFmtId="182" fontId="9" fillId="0" borderId="0" xfId="0" applyNumberFormat="1" applyFont="1" applyFill="1" applyAlignment="1">
      <alignment vertical="top"/>
    </xf>
    <xf numFmtId="0" fontId="13" fillId="0" borderId="17" xfId="0" applyFont="1" applyFill="1" applyBorder="1" applyAlignment="1">
      <alignment horizontal="left" vertical="top" wrapText="1" indent="7"/>
    </xf>
    <xf numFmtId="0" fontId="13" fillId="0" borderId="17" xfId="0" applyFont="1" applyFill="1" applyBorder="1" applyAlignment="1">
      <alignment horizontal="left" vertical="top" wrapText="1" indent="7"/>
    </xf>
    <xf numFmtId="0" fontId="13" fillId="0" borderId="17" xfId="0" applyFont="1" applyFill="1" applyBorder="1" applyAlignment="1">
      <alignment vertical="top" wrapText="1"/>
    </xf>
    <xf numFmtId="179" fontId="9" fillId="0" borderId="18" xfId="0" applyNumberFormat="1" applyFont="1" applyFill="1" applyBorder="1" applyAlignment="1">
      <alignment vertical="top"/>
    </xf>
    <xf numFmtId="179" fontId="9" fillId="0" borderId="12" xfId="0" applyNumberFormat="1" applyFont="1" applyFill="1" applyBorder="1" applyAlignment="1">
      <alignment vertical="top"/>
    </xf>
    <xf numFmtId="179" fontId="9" fillId="0" borderId="27" xfId="0" applyNumberFormat="1" applyFont="1" applyFill="1" applyBorder="1" applyAlignment="1">
      <alignment vertical="top"/>
    </xf>
    <xf numFmtId="179" fontId="9" fillId="0" borderId="32" xfId="0" applyNumberFormat="1" applyFont="1" applyFill="1" applyBorder="1" applyAlignment="1">
      <alignment vertical="top"/>
    </xf>
    <xf numFmtId="0" fontId="9" fillId="0" borderId="11" xfId="0" applyFont="1" applyFill="1" applyBorder="1" applyAlignment="1">
      <alignment horizontal="left" vertical="top" wrapText="1"/>
    </xf>
    <xf numFmtId="0" fontId="106" fillId="0" borderId="0" xfId="0" applyFont="1" applyAlignment="1">
      <alignment vertical="top" wrapText="1"/>
    </xf>
    <xf numFmtId="178" fontId="9" fillId="0" borderId="10" xfId="21" applyNumberFormat="1" applyFont="1" applyBorder="1" applyAlignment="1">
      <alignment horizontal="right" vertical="top" wrapText="1"/>
    </xf>
    <xf numFmtId="41" fontId="40" fillId="16" borderId="0" xfId="22" applyNumberFormat="1" applyAlignment="1">
      <alignment vertical="top"/>
    </xf>
    <xf numFmtId="0" fontId="9" fillId="0" borderId="0" xfId="0" applyFont="1" applyFill="1" applyAlignment="1">
      <alignment vertical="top"/>
    </xf>
    <xf numFmtId="2" fontId="9" fillId="0" borderId="0" xfId="0" applyNumberFormat="1" applyFont="1" applyFill="1" applyAlignment="1">
      <alignment vertical="top"/>
    </xf>
    <xf numFmtId="2" fontId="67" fillId="0" borderId="0" xfId="0" applyNumberFormat="1" applyFont="1" applyFill="1" applyAlignment="1">
      <alignment vertical="top"/>
    </xf>
    <xf numFmtId="0" fontId="9" fillId="25" borderId="0" xfId="0" applyFont="1" applyFill="1" applyAlignment="1">
      <alignment vertical="top"/>
    </xf>
    <xf numFmtId="0" fontId="34" fillId="25" borderId="27" xfId="0" applyFont="1" applyFill="1" applyBorder="1" applyAlignment="1">
      <alignment horizontal="justify" vertical="top" wrapText="1"/>
    </xf>
    <xf numFmtId="0" fontId="9" fillId="0" borderId="0" xfId="0" applyFont="1" applyFill="1" applyAlignment="1">
      <alignment vertical="top"/>
    </xf>
    <xf numFmtId="178" fontId="28" fillId="25" borderId="17" xfId="0" applyNumberFormat="1" applyFont="1" applyFill="1" applyBorder="1" applyAlignment="1">
      <alignment horizontal="right" vertical="top" wrapText="1"/>
    </xf>
    <xf numFmtId="43" fontId="28" fillId="25" borderId="30" xfId="0" applyNumberFormat="1" applyFont="1" applyFill="1" applyBorder="1" applyAlignment="1">
      <alignment horizontal="right" vertical="top" wrapText="1"/>
    </xf>
    <xf numFmtId="178" fontId="28" fillId="25" borderId="18" xfId="0" applyNumberFormat="1" applyFont="1" applyFill="1" applyBorder="1" applyAlignment="1">
      <alignment horizontal="right" vertical="top" wrapText="1"/>
    </xf>
    <xf numFmtId="43" fontId="28" fillId="25" borderId="0" xfId="0" applyNumberFormat="1" applyFont="1" applyFill="1" applyBorder="1" applyAlignment="1">
      <alignment horizontal="right" vertical="top" wrapText="1"/>
    </xf>
    <xf numFmtId="43" fontId="28" fillId="25" borderId="11" xfId="0" applyNumberFormat="1" applyFont="1" applyFill="1" applyBorder="1" applyAlignment="1">
      <alignment horizontal="right" vertical="top" wrapText="1"/>
    </xf>
    <xf numFmtId="0" fontId="36" fillId="0" borderId="17" xfId="20" applyFont="1" applyFill="1" applyBorder="1" applyAlignment="1">
      <alignment vertical="top"/>
    </xf>
    <xf numFmtId="0" fontId="36" fillId="0" borderId="18" xfId="20" applyFont="1" applyFill="1" applyBorder="1" applyAlignment="1">
      <alignment vertical="top"/>
    </xf>
    <xf numFmtId="0" fontId="36" fillId="0" borderId="21" xfId="20" applyFont="1" applyFill="1" applyBorder="1" applyAlignment="1">
      <alignment vertical="top"/>
    </xf>
    <xf numFmtId="0" fontId="36" fillId="0" borderId="12" xfId="20" applyFont="1" applyFill="1" applyBorder="1" applyAlignment="1">
      <alignment vertical="top"/>
    </xf>
    <xf numFmtId="0" fontId="9" fillId="0" borderId="0" xfId="0" applyFont="1" applyFill="1" applyAlignment="1">
      <alignment vertical="top"/>
    </xf>
    <xf numFmtId="179" fontId="9" fillId="0" borderId="30" xfId="0" applyNumberFormat="1" applyFont="1" applyBorder="1" applyAlignment="1">
      <alignment vertical="top"/>
    </xf>
    <xf numFmtId="41" fontId="9" fillId="0" borderId="18" xfId="0" applyNumberFormat="1" applyFont="1" applyBorder="1" applyAlignment="1">
      <alignment vertical="top"/>
    </xf>
    <xf numFmtId="0" fontId="13" fillId="0" borderId="11" xfId="0" applyFont="1" applyBorder="1" applyAlignment="1">
      <alignment horizontal="left" vertical="top" wrapText="1"/>
    </xf>
    <xf numFmtId="0" fontId="9" fillId="0" borderId="11" xfId="0" applyFont="1" applyFill="1" applyBorder="1" applyAlignment="1">
      <alignment horizontal="left" vertical="top" wrapText="1"/>
    </xf>
    <xf numFmtId="0" fontId="9" fillId="0" borderId="11" xfId="0" applyFont="1" applyFill="1" applyBorder="1" applyAlignment="1">
      <alignment vertical="top" wrapText="1"/>
    </xf>
    <xf numFmtId="0" fontId="13" fillId="25" borderId="17" xfId="0" applyFont="1" applyFill="1" applyBorder="1" applyAlignment="1">
      <alignment horizontal="justify" vertical="top" wrapText="1"/>
    </xf>
    <xf numFmtId="182" fontId="9" fillId="25" borderId="18" xfId="0" applyNumberFormat="1" applyFont="1" applyFill="1" applyBorder="1" applyAlignment="1">
      <alignment vertical="top" wrapText="1"/>
    </xf>
    <xf numFmtId="0" fontId="9" fillId="25" borderId="22" xfId="0" applyFont="1" applyFill="1" applyBorder="1" applyAlignment="1">
      <alignment vertical="center"/>
    </xf>
    <xf numFmtId="3" fontId="9" fillId="0" borderId="13" xfId="0" applyNumberFormat="1" applyFont="1" applyFill="1" applyBorder="1" applyAlignment="1">
      <alignment horizontal="right" vertical="top" wrapText="1"/>
    </xf>
    <xf numFmtId="178" fontId="81" fillId="0" borderId="0" xfId="21" applyNumberFormat="1" applyFont="1" applyFill="1" applyAlignment="1">
      <alignment vertical="top" wrapText="1"/>
    </xf>
    <xf numFmtId="0" fontId="9" fillId="0" borderId="15" xfId="0" applyFont="1" applyFill="1" applyBorder="1" applyAlignment="1">
      <alignment horizontal="distributed" vertical="center" wrapText="1" indent="1"/>
    </xf>
    <xf numFmtId="0" fontId="9" fillId="0" borderId="15" xfId="0" applyFont="1" applyFill="1" applyBorder="1" applyAlignment="1">
      <alignment horizontal="center" vertical="center" wrapText="1"/>
    </xf>
    <xf numFmtId="0" fontId="9" fillId="0" borderId="0" xfId="0" applyFont="1" applyFill="1" applyBorder="1" applyAlignment="1">
      <alignment horizontal="left" vertical="center"/>
    </xf>
    <xf numFmtId="0" fontId="9" fillId="0" borderId="0" xfId="0" applyFont="1" applyFill="1" applyAlignment="1">
      <alignment vertical="top"/>
    </xf>
    <xf numFmtId="0" fontId="24" fillId="0" borderId="18" xfId="0" applyFont="1" applyFill="1" applyBorder="1" applyAlignment="1">
      <alignment horizontal="center" vertical="top" wrapText="1"/>
    </xf>
    <xf numFmtId="41" fontId="9" fillId="0" borderId="21" xfId="0" applyNumberFormat="1" applyFont="1" applyFill="1" applyBorder="1">
      <alignment vertical="center"/>
    </xf>
    <xf numFmtId="0" fontId="9" fillId="0" borderId="12" xfId="0" applyFont="1" applyFill="1" applyBorder="1">
      <alignment vertical="center"/>
    </xf>
    <xf numFmtId="0" fontId="9" fillId="0" borderId="13" xfId="0" applyFont="1" applyFill="1" applyBorder="1">
      <alignment vertical="center"/>
    </xf>
    <xf numFmtId="182" fontId="9" fillId="0" borderId="40" xfId="0" applyNumberFormat="1" applyFont="1" applyFill="1" applyBorder="1" applyAlignment="1">
      <alignment horizontal="left" vertical="top" wrapText="1"/>
    </xf>
    <xf numFmtId="49" fontId="20" fillId="0" borderId="40" xfId="0" applyNumberFormat="1" applyFont="1" applyBorder="1" applyAlignment="1">
      <alignment horizontal="center" vertical="top" wrapText="1"/>
    </xf>
    <xf numFmtId="49" fontId="37" fillId="0" borderId="40" xfId="0" applyNumberFormat="1" applyFont="1" applyBorder="1" applyAlignment="1">
      <alignment vertical="top" wrapText="1"/>
    </xf>
    <xf numFmtId="182" fontId="15" fillId="0" borderId="40" xfId="0" applyNumberFormat="1" applyFont="1" applyFill="1" applyBorder="1" applyAlignment="1">
      <alignment vertical="top" wrapText="1"/>
    </xf>
    <xf numFmtId="0" fontId="15" fillId="0" borderId="40" xfId="0" applyFont="1" applyFill="1" applyBorder="1" applyAlignment="1">
      <alignment vertical="top"/>
    </xf>
    <xf numFmtId="0" fontId="15" fillId="0" borderId="40" xfId="0" applyFont="1" applyFill="1" applyBorder="1" applyAlignment="1">
      <alignment horizontal="justify" vertical="top"/>
    </xf>
    <xf numFmtId="0" fontId="14" fillId="0" borderId="40" xfId="0" applyFont="1" applyFill="1" applyBorder="1" applyAlignment="1">
      <alignment horizontal="justify" vertical="top"/>
    </xf>
    <xf numFmtId="0" fontId="9" fillId="0" borderId="0" xfId="0" applyFont="1" applyFill="1" applyAlignment="1">
      <alignment vertical="top"/>
    </xf>
    <xf numFmtId="43" fontId="28" fillId="0" borderId="13" xfId="0" applyNumberFormat="1" applyFont="1" applyFill="1" applyBorder="1" applyAlignment="1">
      <alignment horizontal="right" vertical="top" wrapText="1"/>
    </xf>
    <xf numFmtId="0" fontId="9" fillId="0" borderId="0" xfId="0" applyFont="1" applyFill="1" applyAlignment="1">
      <alignment vertical="top"/>
    </xf>
    <xf numFmtId="0" fontId="14" fillId="0" borderId="17" xfId="20" applyFont="1" applyBorder="1" applyAlignment="1">
      <alignment vertical="top" wrapText="1"/>
    </xf>
    <xf numFmtId="0" fontId="14" fillId="0" borderId="17" xfId="20" applyFont="1" applyBorder="1" applyAlignment="1">
      <alignment horizontal="left" vertical="top" wrapText="1" indent="1"/>
    </xf>
    <xf numFmtId="0" fontId="13" fillId="0" borderId="17" xfId="0" applyFont="1" applyBorder="1" applyAlignment="1">
      <alignment horizontal="left" vertical="top" wrapText="1" indent="3"/>
    </xf>
    <xf numFmtId="0" fontId="13" fillId="0" borderId="11" xfId="0" applyNumberFormat="1" applyFont="1" applyBorder="1" applyAlignment="1">
      <alignment horizontal="justify" vertical="top" wrapText="1"/>
    </xf>
    <xf numFmtId="179" fontId="9" fillId="0" borderId="0" xfId="20" applyNumberFormat="1" applyFont="1" applyAlignment="1">
      <alignment vertical="top"/>
    </xf>
    <xf numFmtId="0" fontId="25" fillId="0" borderId="0" xfId="20" applyFont="1" applyAlignment="1">
      <alignment vertical="top"/>
    </xf>
    <xf numFmtId="0" fontId="13" fillId="0" borderId="13" xfId="0" applyNumberFormat="1" applyFont="1" applyBorder="1" applyAlignment="1">
      <alignment horizontal="justify" vertical="top" wrapText="1"/>
    </xf>
    <xf numFmtId="0" fontId="13" fillId="0" borderId="17" xfId="0" applyFont="1" applyBorder="1" applyAlignment="1">
      <alignment horizontal="left" vertical="top" wrapText="1" indent="2"/>
    </xf>
    <xf numFmtId="179" fontId="9" fillId="0" borderId="27" xfId="0" applyNumberFormat="1" applyFont="1" applyBorder="1" applyAlignment="1">
      <alignment horizontal="right" vertical="top"/>
    </xf>
    <xf numFmtId="178" fontId="15" fillId="0" borderId="0" xfId="21" applyNumberFormat="1" applyFont="1" applyFill="1" applyAlignment="1">
      <alignment vertical="top"/>
    </xf>
    <xf numFmtId="0" fontId="0" fillId="0" borderId="27" xfId="0" applyBorder="1" applyAlignment="1">
      <alignment vertical="top" wrapText="1"/>
    </xf>
    <xf numFmtId="0" fontId="0" fillId="0" borderId="0" xfId="0" applyBorder="1" applyAlignment="1">
      <alignment vertical="top" wrapText="1"/>
    </xf>
    <xf numFmtId="0" fontId="0" fillId="0" borderId="22" xfId="0" applyBorder="1" applyAlignment="1">
      <alignment vertical="top" wrapText="1"/>
    </xf>
    <xf numFmtId="49" fontId="20" fillId="0" borderId="0" xfId="0" applyNumberFormat="1" applyFont="1" applyBorder="1" applyAlignment="1">
      <alignment vertical="top" wrapText="1"/>
    </xf>
    <xf numFmtId="201" fontId="9" fillId="0" borderId="0" xfId="0" applyNumberFormat="1" applyFont="1" applyFill="1" applyAlignment="1">
      <alignment vertical="top"/>
    </xf>
    <xf numFmtId="182" fontId="13" fillId="0" borderId="0" xfId="0" applyNumberFormat="1" applyFont="1" applyFill="1" applyBorder="1" applyAlignment="1">
      <alignment vertical="top" wrapText="1"/>
    </xf>
    <xf numFmtId="182" fontId="13" fillId="0" borderId="22" xfId="0" applyNumberFormat="1" applyFont="1" applyFill="1" applyBorder="1" applyAlignment="1">
      <alignment vertical="top" wrapText="1"/>
    </xf>
    <xf numFmtId="0" fontId="86" fillId="0" borderId="0" xfId="0" applyFont="1" applyFill="1" applyAlignment="1">
      <alignment vertical="top" wrapText="1"/>
    </xf>
    <xf numFmtId="49" fontId="20" fillId="0" borderId="27" xfId="0" applyNumberFormat="1" applyFont="1" applyBorder="1" applyAlignment="1">
      <alignment wrapText="1"/>
    </xf>
    <xf numFmtId="49" fontId="37" fillId="0" borderId="27" xfId="0" applyNumberFormat="1" applyFont="1" applyBorder="1" applyAlignment="1">
      <alignment vertical="top" wrapText="1"/>
    </xf>
    <xf numFmtId="182" fontId="13" fillId="0" borderId="22" xfId="0" applyNumberFormat="1" applyFont="1" applyFill="1" applyBorder="1" applyAlignment="1">
      <alignment horizontal="left" vertical="top" wrapText="1"/>
    </xf>
    <xf numFmtId="0" fontId="86" fillId="0" borderId="0" xfId="0" applyFont="1" applyFill="1" applyAlignment="1">
      <alignment vertical="top"/>
    </xf>
    <xf numFmtId="0" fontId="14" fillId="0" borderId="10" xfId="0" applyFont="1" applyFill="1" applyBorder="1" applyAlignment="1">
      <alignment horizontal="justify" vertical="top" wrapText="1"/>
    </xf>
    <xf numFmtId="181" fontId="15" fillId="0" borderId="18" xfId="0" applyNumberFormat="1" applyFont="1" applyFill="1" applyBorder="1" applyAlignment="1">
      <alignment vertical="top"/>
    </xf>
    <xf numFmtId="181" fontId="9" fillId="0" borderId="31" xfId="0" applyNumberFormat="1" applyFont="1" applyFill="1" applyBorder="1" applyAlignment="1">
      <alignment vertical="top"/>
    </xf>
    <xf numFmtId="49" fontId="20" fillId="0" borderId="32" xfId="0" applyNumberFormat="1" applyFont="1" applyBorder="1" applyAlignment="1">
      <alignment vertical="top" wrapText="1"/>
    </xf>
    <xf numFmtId="182" fontId="13" fillId="0" borderId="36" xfId="0" applyNumberFormat="1" applyFont="1" applyFill="1" applyBorder="1" applyAlignment="1">
      <alignment vertical="top" wrapText="1"/>
    </xf>
    <xf numFmtId="182" fontId="13" fillId="0" borderId="23" xfId="0" applyNumberFormat="1" applyFont="1" applyFill="1" applyBorder="1" applyAlignment="1">
      <alignment vertical="top" wrapText="1"/>
    </xf>
    <xf numFmtId="0" fontId="9" fillId="0" borderId="0" xfId="0" applyFont="1" applyFill="1" applyAlignment="1">
      <alignment vertical="top"/>
    </xf>
    <xf numFmtId="0" fontId="9" fillId="0" borderId="15" xfId="0" applyFont="1" applyFill="1" applyBorder="1" applyAlignment="1">
      <alignment horizontal="distributed" vertical="center" wrapText="1" indent="1"/>
    </xf>
    <xf numFmtId="0" fontId="9" fillId="0" borderId="22" xfId="0" applyFont="1" applyFill="1" applyBorder="1" applyAlignment="1">
      <alignment vertical="top" wrapText="1"/>
    </xf>
    <xf numFmtId="49" fontId="20" fillId="0" borderId="0" xfId="0" applyNumberFormat="1" applyFont="1" applyBorder="1" applyAlignment="1">
      <alignment horizontal="center" vertical="top" wrapText="1"/>
    </xf>
    <xf numFmtId="49" fontId="9" fillId="0" borderId="27" xfId="0" applyNumberFormat="1" applyFont="1" applyFill="1" applyBorder="1" applyAlignment="1">
      <alignment vertical="top" wrapText="1"/>
    </xf>
    <xf numFmtId="49" fontId="9" fillId="0" borderId="0" xfId="0" applyNumberFormat="1" applyFont="1" applyFill="1" applyBorder="1" applyAlignment="1">
      <alignment vertical="top"/>
    </xf>
    <xf numFmtId="0" fontId="9" fillId="0" borderId="0" xfId="0" applyFont="1" applyFill="1" applyAlignment="1">
      <alignment vertical="top"/>
    </xf>
    <xf numFmtId="0" fontId="9" fillId="0" borderId="0" xfId="0" applyFont="1" applyAlignment="1">
      <alignment vertical="top"/>
    </xf>
    <xf numFmtId="0" fontId="9" fillId="0" borderId="15" xfId="0" applyFont="1" applyFill="1" applyBorder="1" applyAlignment="1">
      <alignment horizontal="center" vertical="center" wrapText="1"/>
    </xf>
    <xf numFmtId="0" fontId="13" fillId="0" borderId="24" xfId="0" applyFont="1" applyFill="1" applyBorder="1" applyAlignment="1">
      <alignment horizontal="center" vertical="center" wrapText="1"/>
    </xf>
    <xf numFmtId="0" fontId="13" fillId="0" borderId="15" xfId="0" applyFont="1" applyFill="1" applyBorder="1" applyAlignment="1">
      <alignment horizontal="center" vertical="center" wrapText="1"/>
    </xf>
    <xf numFmtId="0" fontId="13" fillId="0" borderId="0" xfId="0" applyFont="1" applyFill="1" applyBorder="1" applyAlignment="1">
      <alignment vertical="justify" wrapText="1"/>
    </xf>
    <xf numFmtId="0" fontId="9" fillId="0" borderId="0" xfId="0" applyFont="1" applyFill="1" applyAlignment="1">
      <alignment vertical="top"/>
    </xf>
    <xf numFmtId="0" fontId="9" fillId="0" borderId="0" xfId="0" applyFont="1" applyFill="1" applyAlignment="1">
      <alignment vertical="top"/>
    </xf>
    <xf numFmtId="0" fontId="9" fillId="0" borderId="0" xfId="0" applyFont="1" applyFill="1" applyAlignment="1">
      <alignment vertical="top"/>
    </xf>
    <xf numFmtId="0" fontId="14" fillId="0" borderId="17" xfId="20" applyFont="1" applyFill="1" applyBorder="1" applyAlignment="1">
      <alignment vertical="top" wrapText="1"/>
    </xf>
    <xf numFmtId="179" fontId="89" fillId="0" borderId="18" xfId="0" applyNumberFormat="1" applyFont="1" applyBorder="1" applyAlignment="1">
      <alignment horizontal="right" vertical="top"/>
    </xf>
    <xf numFmtId="0" fontId="108" fillId="0" borderId="17" xfId="0" applyFont="1" applyBorder="1" applyAlignment="1">
      <alignment horizontal="left" vertical="top" wrapText="1" indent="3"/>
    </xf>
    <xf numFmtId="0" fontId="9" fillId="0" borderId="0" xfId="0" applyFont="1" applyFill="1" applyAlignment="1">
      <alignment vertical="top"/>
    </xf>
    <xf numFmtId="0" fontId="75" fillId="0" borderId="32" xfId="0" applyFont="1" applyFill="1" applyBorder="1" applyAlignment="1">
      <alignment horizontal="justify" vertical="top" wrapText="1"/>
    </xf>
    <xf numFmtId="41" fontId="35" fillId="0" borderId="21" xfId="0" applyNumberFormat="1" applyFont="1" applyFill="1" applyBorder="1" applyAlignment="1">
      <alignment horizontal="right" vertical="top" wrapText="1"/>
    </xf>
    <xf numFmtId="0" fontId="24" fillId="0" borderId="12" xfId="0" applyFont="1" applyFill="1" applyBorder="1" applyAlignment="1">
      <alignment horizontal="left" vertical="top" wrapText="1"/>
    </xf>
    <xf numFmtId="0" fontId="15" fillId="0" borderId="21" xfId="0" applyFont="1" applyFill="1" applyBorder="1" applyAlignment="1">
      <alignment vertical="top" wrapText="1"/>
    </xf>
    <xf numFmtId="179" fontId="15" fillId="0" borderId="32" xfId="0" applyNumberFormat="1" applyFont="1" applyFill="1" applyBorder="1" applyAlignment="1">
      <alignment vertical="top"/>
    </xf>
    <xf numFmtId="0" fontId="13" fillId="0" borderId="21" xfId="0" applyFont="1" applyBorder="1" applyAlignment="1">
      <alignment horizontal="left" vertical="top" wrapText="1" indent="2"/>
    </xf>
    <xf numFmtId="0" fontId="9" fillId="0" borderId="0" xfId="0" applyFont="1" applyFill="1" applyAlignment="1">
      <alignment vertical="top"/>
    </xf>
    <xf numFmtId="0" fontId="8" fillId="0" borderId="0" xfId="0" applyFont="1" applyAlignment="1">
      <alignment vertical="center"/>
    </xf>
    <xf numFmtId="0" fontId="13" fillId="0" borderId="19" xfId="0" applyFont="1" applyFill="1" applyBorder="1" applyAlignment="1">
      <alignment horizontal="distributed" vertical="center"/>
    </xf>
    <xf numFmtId="0" fontId="13" fillId="0" borderId="24" xfId="0" applyFont="1" applyBorder="1" applyAlignment="1">
      <alignment horizontal="distributed" vertical="center" wrapText="1" indent="1"/>
    </xf>
    <xf numFmtId="41" fontId="88" fillId="0" borderId="17" xfId="0" applyNumberFormat="1" applyFont="1" applyFill="1" applyBorder="1" applyAlignment="1">
      <alignment horizontal="right" vertical="center" wrapText="1"/>
    </xf>
    <xf numFmtId="178" fontId="37" fillId="0" borderId="18" xfId="21" applyNumberFormat="1" applyFont="1" applyBorder="1" applyAlignment="1">
      <alignment horizontal="right" vertical="center" wrapText="1"/>
    </xf>
    <xf numFmtId="178" fontId="37" fillId="0" borderId="22" xfId="21" applyNumberFormat="1" applyFont="1" applyBorder="1" applyAlignment="1">
      <alignment horizontal="right" vertical="center" wrapText="1"/>
    </xf>
    <xf numFmtId="41" fontId="88" fillId="0" borderId="17" xfId="0" applyNumberFormat="1" applyFont="1" applyFill="1" applyBorder="1" applyAlignment="1">
      <alignment horizontal="right" vertical="top" wrapText="1"/>
    </xf>
    <xf numFmtId="178" fontId="37" fillId="0" borderId="18" xfId="21" applyNumberFormat="1" applyFont="1" applyBorder="1" applyAlignment="1">
      <alignment horizontal="right" vertical="top" wrapText="1"/>
    </xf>
    <xf numFmtId="41" fontId="89" fillId="0" borderId="17" xfId="0" applyNumberFormat="1" applyFont="1" applyFill="1" applyBorder="1" applyAlignment="1">
      <alignment horizontal="right" vertical="top" wrapText="1"/>
    </xf>
    <xf numFmtId="41" fontId="20" fillId="0" borderId="18" xfId="0" applyNumberFormat="1" applyFont="1" applyFill="1" applyBorder="1" applyAlignment="1">
      <alignment horizontal="right" vertical="top" wrapText="1"/>
    </xf>
    <xf numFmtId="0" fontId="86" fillId="0" borderId="0" xfId="0" applyFont="1" applyAlignment="1">
      <alignment vertical="center"/>
    </xf>
    <xf numFmtId="178" fontId="20" fillId="0" borderId="18" xfId="21" applyNumberFormat="1" applyFont="1" applyFill="1" applyBorder="1" applyAlignment="1">
      <alignment horizontal="right" vertical="top" wrapText="1"/>
    </xf>
    <xf numFmtId="41" fontId="89" fillId="0" borderId="17" xfId="0" applyNumberFormat="1" applyFont="1" applyBorder="1" applyAlignment="1">
      <alignment horizontal="right" vertical="top" wrapText="1"/>
    </xf>
    <xf numFmtId="41" fontId="88" fillId="0" borderId="17" xfId="0" applyNumberFormat="1" applyFont="1" applyBorder="1" applyAlignment="1">
      <alignment horizontal="right" vertical="top" wrapText="1"/>
    </xf>
    <xf numFmtId="178" fontId="37" fillId="0" borderId="22" xfId="21" applyNumberFormat="1" applyFont="1" applyBorder="1" applyAlignment="1">
      <alignment horizontal="right" vertical="top" wrapText="1"/>
    </xf>
    <xf numFmtId="178" fontId="20" fillId="0" borderId="18" xfId="21" applyNumberFormat="1" applyFont="1" applyBorder="1" applyAlignment="1">
      <alignment horizontal="right" vertical="top" wrapText="1"/>
    </xf>
    <xf numFmtId="41" fontId="89" fillId="0" borderId="17" xfId="0" applyNumberFormat="1" applyFont="1" applyBorder="1" applyAlignment="1">
      <alignment horizontal="right" vertical="center" wrapText="1"/>
    </xf>
    <xf numFmtId="178" fontId="20" fillId="0" borderId="18" xfId="21" applyNumberFormat="1" applyFont="1" applyBorder="1" applyAlignment="1">
      <alignment horizontal="right" vertical="center" wrapText="1"/>
    </xf>
    <xf numFmtId="41" fontId="88" fillId="0" borderId="17" xfId="0" applyNumberFormat="1" applyFont="1" applyBorder="1" applyAlignment="1">
      <alignment horizontal="right" vertical="center" wrapText="1"/>
    </xf>
    <xf numFmtId="0" fontId="9" fillId="0" borderId="18" xfId="0" applyFont="1" applyBorder="1" applyAlignment="1">
      <alignment vertical="center" wrapText="1"/>
    </xf>
    <xf numFmtId="178" fontId="37" fillId="0" borderId="21" xfId="21" applyNumberFormat="1" applyFont="1" applyBorder="1" applyAlignment="1">
      <alignment horizontal="right" vertical="center" wrapText="1"/>
    </xf>
    <xf numFmtId="178" fontId="37" fillId="0" borderId="12" xfId="21" applyNumberFormat="1" applyFont="1" applyBorder="1" applyAlignment="1">
      <alignment horizontal="right" vertical="center" wrapText="1"/>
    </xf>
    <xf numFmtId="0" fontId="15" fillId="0" borderId="23" xfId="0" applyFont="1" applyBorder="1" applyAlignment="1">
      <alignment vertical="center" wrapText="1"/>
    </xf>
    <xf numFmtId="0" fontId="9" fillId="0" borderId="0" xfId="0" applyFont="1" applyFill="1" applyAlignment="1">
      <alignment vertical="top"/>
    </xf>
    <xf numFmtId="0" fontId="9" fillId="0" borderId="11" xfId="0" applyFont="1" applyFill="1" applyBorder="1" applyAlignment="1">
      <alignment horizontal="left" vertical="top" wrapText="1"/>
    </xf>
    <xf numFmtId="0" fontId="9" fillId="0" borderId="11" xfId="0" applyFont="1" applyFill="1" applyBorder="1" applyAlignment="1">
      <alignment vertical="top" wrapText="1"/>
    </xf>
    <xf numFmtId="178" fontId="37" fillId="0" borderId="0" xfId="21" applyNumberFormat="1" applyFont="1" applyBorder="1" applyAlignment="1">
      <alignment horizontal="right" vertical="top" wrapText="1"/>
    </xf>
    <xf numFmtId="178" fontId="20" fillId="0" borderId="27" xfId="21" applyNumberFormat="1" applyFont="1" applyBorder="1" applyAlignment="1">
      <alignment horizontal="right" vertical="top" wrapText="1"/>
    </xf>
    <xf numFmtId="178" fontId="20" fillId="0" borderId="27" xfId="21" applyNumberFormat="1" applyFont="1" applyBorder="1" applyAlignment="1">
      <alignment horizontal="right" vertical="center" wrapText="1"/>
    </xf>
    <xf numFmtId="178" fontId="37" fillId="0" borderId="27" xfId="21" applyNumberFormat="1" applyFont="1" applyBorder="1" applyAlignment="1">
      <alignment horizontal="right" vertical="center" wrapText="1"/>
    </xf>
    <xf numFmtId="178" fontId="37" fillId="0" borderId="36" xfId="21" applyNumberFormat="1" applyFont="1" applyBorder="1" applyAlignment="1">
      <alignment horizontal="right" vertical="center" wrapText="1"/>
    </xf>
    <xf numFmtId="0" fontId="109" fillId="0" borderId="22" xfId="0" applyFont="1" applyFill="1" applyBorder="1" applyAlignment="1">
      <alignment horizontal="left" vertical="top" wrapText="1"/>
    </xf>
    <xf numFmtId="49" fontId="20" fillId="0" borderId="27" xfId="0" applyNumberFormat="1" applyFont="1" applyFill="1" applyBorder="1" applyAlignment="1">
      <alignment horizontal="right" vertical="top" wrapText="1"/>
    </xf>
    <xf numFmtId="0" fontId="13" fillId="0" borderId="22" xfId="0" applyFont="1" applyFill="1" applyBorder="1" applyAlignment="1">
      <alignment horizontal="left" vertical="top" wrapText="1"/>
    </xf>
    <xf numFmtId="0" fontId="13" fillId="0" borderId="21" xfId="0" applyFont="1" applyFill="1" applyBorder="1" applyAlignment="1">
      <alignment horizontal="left" vertical="top" wrapText="1" indent="7"/>
    </xf>
    <xf numFmtId="0" fontId="36" fillId="0" borderId="27" xfId="20" applyFont="1" applyFill="1" applyBorder="1" applyAlignment="1">
      <alignment vertical="top"/>
    </xf>
    <xf numFmtId="0" fontId="36" fillId="0" borderId="32" xfId="20" applyFont="1" applyFill="1" applyBorder="1" applyAlignment="1">
      <alignment vertical="top"/>
    </xf>
    <xf numFmtId="179" fontId="23" fillId="0" borderId="26" xfId="20" applyNumberFormat="1" applyFont="1" applyFill="1" applyBorder="1" applyAlignment="1">
      <alignment vertical="top"/>
    </xf>
    <xf numFmtId="179" fontId="35" fillId="0" borderId="22" xfId="20" applyNumberFormat="1" applyFont="1" applyFill="1" applyBorder="1" applyAlignment="1">
      <alignment vertical="top"/>
    </xf>
    <xf numFmtId="0" fontId="23" fillId="0" borderId="22" xfId="0" applyNumberFormat="1" applyFont="1" applyFill="1" applyBorder="1" applyAlignment="1">
      <alignment horizontal="justify" vertical="top" wrapText="1"/>
    </xf>
    <xf numFmtId="0" fontId="23" fillId="0" borderId="22" xfId="0" applyNumberFormat="1" applyFont="1" applyFill="1" applyBorder="1" applyAlignment="1">
      <alignment vertical="top" wrapText="1"/>
    </xf>
    <xf numFmtId="0" fontId="23" fillId="0" borderId="23" xfId="0" applyNumberFormat="1" applyFont="1" applyFill="1" applyBorder="1" applyAlignment="1">
      <alignment horizontal="justify" vertical="top" wrapText="1"/>
    </xf>
    <xf numFmtId="0" fontId="21" fillId="0" borderId="22" xfId="0" applyNumberFormat="1" applyFont="1" applyFill="1" applyBorder="1" applyAlignment="1">
      <alignment horizontal="justify" vertical="top" wrapText="1"/>
    </xf>
    <xf numFmtId="0" fontId="107" fillId="0" borderId="22" xfId="0" applyNumberFormat="1" applyFont="1" applyFill="1" applyBorder="1" applyAlignment="1">
      <alignment horizontal="justify" vertical="top" wrapText="1"/>
    </xf>
    <xf numFmtId="0" fontId="23" fillId="0" borderId="22" xfId="0" applyNumberFormat="1" applyFont="1" applyFill="1" applyBorder="1" applyAlignment="1">
      <alignment vertical="center" wrapText="1"/>
    </xf>
    <xf numFmtId="0" fontId="21" fillId="0" borderId="23" xfId="0" applyNumberFormat="1" applyFont="1" applyFill="1" applyBorder="1" applyAlignment="1">
      <alignment horizontal="justify" vertical="top" wrapText="1"/>
    </xf>
    <xf numFmtId="0" fontId="36" fillId="0" borderId="22" xfId="20" applyFont="1" applyFill="1" applyBorder="1" applyAlignment="1">
      <alignment vertical="top"/>
    </xf>
    <xf numFmtId="0" fontId="36" fillId="0" borderId="23" xfId="20" applyFont="1" applyFill="1" applyBorder="1" applyAlignment="1">
      <alignment vertical="top"/>
    </xf>
    <xf numFmtId="0" fontId="9" fillId="0" borderId="0" xfId="0" applyFont="1" applyAlignment="1">
      <alignment vertical="center"/>
    </xf>
    <xf numFmtId="0" fontId="9" fillId="0" borderId="0" xfId="0" applyFont="1" applyBorder="1" applyAlignment="1">
      <alignment vertical="center" wrapText="1"/>
    </xf>
    <xf numFmtId="0" fontId="9" fillId="0" borderId="22" xfId="0" applyFont="1" applyBorder="1" applyAlignment="1">
      <alignment vertical="center" wrapText="1"/>
    </xf>
    <xf numFmtId="0" fontId="9" fillId="0" borderId="0" xfId="0" applyFont="1" applyBorder="1" applyAlignment="1">
      <alignment horizontal="center" vertical="center"/>
    </xf>
    <xf numFmtId="0" fontId="9" fillId="0" borderId="0" xfId="0" applyFont="1" applyFill="1" applyAlignment="1">
      <alignment vertical="top"/>
    </xf>
    <xf numFmtId="0" fontId="9" fillId="0" borderId="0" xfId="0" applyFont="1" applyAlignment="1">
      <alignment vertical="top"/>
    </xf>
    <xf numFmtId="0" fontId="13" fillId="0" borderId="43" xfId="0" applyFont="1" applyBorder="1" applyAlignment="1">
      <alignment horizontal="distributed" vertical="center" wrapText="1"/>
    </xf>
    <xf numFmtId="41" fontId="15" fillId="0" borderId="27" xfId="0" applyNumberFormat="1" applyFont="1" applyBorder="1" applyAlignment="1">
      <alignment horizontal="right" vertical="center" wrapText="1"/>
    </xf>
    <xf numFmtId="41" fontId="15" fillId="0" borderId="27" xfId="0" applyNumberFormat="1" applyFont="1" applyBorder="1" applyAlignment="1">
      <alignment horizontal="right" vertical="top" wrapText="1"/>
    </xf>
    <xf numFmtId="41" fontId="20" fillId="0" borderId="27" xfId="0" applyNumberFormat="1" applyFont="1" applyFill="1" applyBorder="1" applyAlignment="1">
      <alignment horizontal="right" vertical="top" wrapText="1"/>
    </xf>
    <xf numFmtId="178" fontId="20" fillId="0" borderId="27" xfId="21" applyNumberFormat="1" applyFont="1" applyFill="1" applyBorder="1" applyAlignment="1">
      <alignment horizontal="right" vertical="top" wrapText="1"/>
    </xf>
    <xf numFmtId="41" fontId="9" fillId="0" borderId="27" xfId="0" applyNumberFormat="1" applyFont="1" applyBorder="1" applyAlignment="1">
      <alignment horizontal="right" vertical="top" wrapText="1"/>
    </xf>
    <xf numFmtId="41" fontId="9" fillId="0" borderId="27" xfId="0" applyNumberFormat="1" applyFont="1" applyBorder="1" applyAlignment="1">
      <alignment horizontal="right" vertical="center" wrapText="1"/>
    </xf>
    <xf numFmtId="0" fontId="9" fillId="0" borderId="27" xfId="0" applyFont="1" applyBorder="1" applyAlignment="1">
      <alignment horizontal="justify" vertical="center" wrapText="1"/>
    </xf>
    <xf numFmtId="178" fontId="37" fillId="0" borderId="32" xfId="21" applyNumberFormat="1" applyFont="1" applyBorder="1" applyAlignment="1">
      <alignment horizontal="right" vertical="center" wrapText="1"/>
    </xf>
    <xf numFmtId="0" fontId="13" fillId="0" borderId="19" xfId="0" applyFont="1" applyBorder="1" applyAlignment="1">
      <alignment horizontal="distributed" vertical="center" wrapText="1" indent="1"/>
    </xf>
    <xf numFmtId="0" fontId="14" fillId="0" borderId="17" xfId="0" applyFont="1" applyBorder="1">
      <alignment vertical="center"/>
    </xf>
    <xf numFmtId="0" fontId="13" fillId="0" borderId="17" xfId="0" applyFont="1" applyFill="1" applyBorder="1" applyAlignment="1">
      <alignment vertical="top"/>
    </xf>
    <xf numFmtId="0" fontId="13" fillId="0" borderId="17" xfId="0" applyFont="1" applyBorder="1" applyAlignment="1">
      <alignment horizontal="left" vertical="center" wrapText="1"/>
    </xf>
    <xf numFmtId="0" fontId="14" fillId="0" borderId="17" xfId="0" applyFont="1" applyFill="1" applyBorder="1">
      <alignment vertical="center"/>
    </xf>
    <xf numFmtId="0" fontId="9" fillId="0" borderId="17" xfId="0" applyFont="1" applyBorder="1" applyAlignment="1">
      <alignment vertical="center" wrapText="1"/>
    </xf>
    <xf numFmtId="0" fontId="14" fillId="0" borderId="21" xfId="0" applyFont="1" applyBorder="1" applyAlignment="1">
      <alignment horizontal="center" vertical="center" wrapText="1"/>
    </xf>
    <xf numFmtId="0" fontId="13" fillId="0" borderId="63" xfId="0" applyFont="1" applyFill="1" applyBorder="1" applyAlignment="1">
      <alignment horizontal="distributed" vertical="center" wrapText="1"/>
    </xf>
    <xf numFmtId="0" fontId="13" fillId="0" borderId="30" xfId="0" applyFont="1" applyFill="1" applyBorder="1" applyAlignment="1">
      <alignment horizontal="distributed" vertical="center"/>
    </xf>
    <xf numFmtId="0" fontId="13" fillId="0" borderId="30" xfId="0" applyFont="1" applyFill="1" applyBorder="1" applyAlignment="1">
      <alignment horizontal="distributed" vertical="center" wrapText="1"/>
    </xf>
    <xf numFmtId="0" fontId="14" fillId="0" borderId="14" xfId="0" applyFont="1" applyFill="1" applyBorder="1" applyAlignment="1">
      <alignment horizontal="justify" vertical="center" wrapText="1"/>
    </xf>
    <xf numFmtId="41" fontId="15" fillId="0" borderId="29" xfId="0" applyNumberFormat="1" applyFont="1" applyFill="1" applyBorder="1" applyAlignment="1">
      <alignment horizontal="right" vertical="center" wrapText="1"/>
    </xf>
    <xf numFmtId="0" fontId="9" fillId="0" borderId="17" xfId="0" applyFont="1" applyFill="1" applyBorder="1" applyAlignment="1">
      <alignment horizontal="justify" vertical="center" wrapText="1"/>
    </xf>
    <xf numFmtId="179" fontId="9" fillId="0" borderId="30" xfId="0" applyNumberFormat="1" applyFont="1" applyFill="1" applyBorder="1" applyAlignment="1">
      <alignment horizontal="right" vertical="center" wrapText="1"/>
    </xf>
    <xf numFmtId="41" fontId="9" fillId="0" borderId="18" xfId="0" applyNumberFormat="1" applyFont="1" applyFill="1" applyBorder="1" applyAlignment="1">
      <alignment horizontal="right" vertical="center" wrapText="1"/>
    </xf>
    <xf numFmtId="3" fontId="9" fillId="0" borderId="18" xfId="0" applyNumberFormat="1" applyFont="1" applyFill="1" applyBorder="1" applyAlignment="1">
      <alignment horizontal="right" vertical="center" wrapText="1"/>
    </xf>
    <xf numFmtId="0" fontId="13" fillId="0" borderId="17" xfId="0" applyFont="1" applyFill="1" applyBorder="1" applyAlignment="1">
      <alignment horizontal="justify" vertical="center" wrapText="1"/>
    </xf>
    <xf numFmtId="41" fontId="9" fillId="0" borderId="30" xfId="0" applyNumberFormat="1" applyFont="1" applyFill="1" applyBorder="1" applyAlignment="1">
      <alignment horizontal="right" vertical="center" wrapText="1"/>
    </xf>
    <xf numFmtId="0" fontId="15" fillId="0" borderId="18" xfId="0" applyFont="1" applyFill="1" applyBorder="1" applyAlignment="1">
      <alignment horizontal="justify" vertical="center" wrapText="1"/>
    </xf>
    <xf numFmtId="3" fontId="15" fillId="0" borderId="18" xfId="0" applyNumberFormat="1" applyFont="1" applyFill="1" applyBorder="1" applyAlignment="1">
      <alignment horizontal="right" vertical="center" wrapText="1"/>
    </xf>
    <xf numFmtId="179" fontId="9" fillId="0" borderId="30" xfId="0" applyNumberFormat="1" applyFont="1" applyFill="1" applyBorder="1" applyAlignment="1">
      <alignment horizontal="right" vertical="top" wrapText="1"/>
    </xf>
    <xf numFmtId="0" fontId="9" fillId="0" borderId="30" xfId="0" applyFont="1" applyFill="1" applyBorder="1" applyAlignment="1">
      <alignment horizontal="justify" vertical="top" wrapText="1"/>
    </xf>
    <xf numFmtId="0" fontId="14" fillId="0" borderId="21" xfId="0" applyFont="1" applyFill="1" applyBorder="1" applyAlignment="1">
      <alignment horizontal="center" vertical="center" wrapText="1"/>
    </xf>
    <xf numFmtId="43" fontId="15" fillId="0" borderId="31" xfId="0" applyNumberFormat="1" applyFont="1" applyFill="1" applyBorder="1" applyAlignment="1">
      <alignment horizontal="right" vertical="center" wrapText="1"/>
    </xf>
    <xf numFmtId="0" fontId="9" fillId="0" borderId="13" xfId="0" applyFont="1" applyFill="1" applyBorder="1" applyAlignment="1">
      <alignment horizontal="justify" vertical="center" wrapText="1"/>
    </xf>
    <xf numFmtId="3" fontId="15" fillId="0" borderId="18" xfId="112" applyNumberFormat="1" applyFont="1" applyBorder="1" applyAlignment="1">
      <alignment vertical="top"/>
    </xf>
    <xf numFmtId="3" fontId="15" fillId="0" borderId="11" xfId="112" applyNumberFormat="1" applyFont="1" applyBorder="1" applyAlignment="1">
      <alignment vertical="top"/>
    </xf>
    <xf numFmtId="0" fontId="15" fillId="0" borderId="17" xfId="112" applyFont="1" applyBorder="1" applyAlignment="1">
      <alignment vertical="top"/>
    </xf>
    <xf numFmtId="0" fontId="9" fillId="0" borderId="17" xfId="112" applyFont="1" applyBorder="1" applyAlignment="1">
      <alignment vertical="top"/>
    </xf>
    <xf numFmtId="3" fontId="9" fillId="0" borderId="18" xfId="112" applyNumberFormat="1" applyFont="1" applyBorder="1" applyAlignment="1">
      <alignment vertical="top"/>
    </xf>
    <xf numFmtId="3" fontId="9" fillId="0" borderId="11" xfId="112" applyNumberFormat="1" applyFont="1" applyBorder="1" applyAlignment="1">
      <alignment vertical="top"/>
    </xf>
    <xf numFmtId="3" fontId="89" fillId="0" borderId="18" xfId="112" applyNumberFormat="1" applyFont="1" applyBorder="1" applyAlignment="1">
      <alignment vertical="top"/>
    </xf>
    <xf numFmtId="0" fontId="14" fillId="0" borderId="21" xfId="112" applyFont="1" applyBorder="1" applyAlignment="1">
      <alignment horizontal="center" vertical="center"/>
    </xf>
    <xf numFmtId="0" fontId="89" fillId="0" borderId="0" xfId="0" applyFont="1" applyFill="1" applyBorder="1">
      <alignment vertical="center"/>
    </xf>
    <xf numFmtId="0" fontId="89" fillId="0" borderId="0" xfId="0" applyFont="1" applyFill="1">
      <alignment vertical="center"/>
    </xf>
    <xf numFmtId="0" fontId="89" fillId="0" borderId="0" xfId="0" applyFont="1">
      <alignment vertical="center"/>
    </xf>
    <xf numFmtId="0" fontId="89" fillId="29" borderId="0" xfId="0" applyFont="1" applyFill="1">
      <alignment vertical="center"/>
    </xf>
    <xf numFmtId="0" fontId="89" fillId="0" borderId="0" xfId="0" applyFont="1" applyBorder="1">
      <alignment vertical="center"/>
    </xf>
    <xf numFmtId="41" fontId="15" fillId="0" borderId="16" xfId="0" applyNumberFormat="1" applyFont="1" applyFill="1" applyBorder="1" applyAlignment="1">
      <alignment horizontal="right" vertical="center" wrapText="1"/>
    </xf>
    <xf numFmtId="0" fontId="14" fillId="0" borderId="17" xfId="112" applyFont="1" applyBorder="1" applyAlignment="1">
      <alignment vertical="center"/>
    </xf>
    <xf numFmtId="41" fontId="15" fillId="0" borderId="12" xfId="112" applyNumberFormat="1" applyFont="1" applyBorder="1" applyAlignment="1">
      <alignment vertical="center"/>
    </xf>
    <xf numFmtId="41" fontId="15" fillId="0" borderId="13" xfId="112" applyNumberFormat="1" applyFont="1" applyBorder="1" applyAlignment="1">
      <alignment vertical="center"/>
    </xf>
    <xf numFmtId="0" fontId="13" fillId="0" borderId="18" xfId="0" applyFont="1" applyFill="1" applyBorder="1" applyAlignment="1">
      <alignment horizontal="left" vertical="top" wrapText="1"/>
    </xf>
    <xf numFmtId="0" fontId="14" fillId="0" borderId="18" xfId="0" applyFont="1" applyFill="1" applyBorder="1" applyAlignment="1">
      <alignment horizontal="left" vertical="top" wrapText="1"/>
    </xf>
    <xf numFmtId="0" fontId="115" fillId="0" borderId="18" xfId="0" applyFont="1" applyFill="1" applyBorder="1" applyAlignment="1">
      <alignment horizontal="left" vertical="top" wrapText="1"/>
    </xf>
    <xf numFmtId="41" fontId="15" fillId="0" borderId="17" xfId="0" applyNumberFormat="1" applyFont="1" applyFill="1" applyBorder="1" applyAlignment="1">
      <alignment horizontal="right" vertical="top" wrapText="1"/>
    </xf>
    <xf numFmtId="0" fontId="115" fillId="0" borderId="12" xfId="0" applyFont="1" applyFill="1" applyBorder="1" applyAlignment="1">
      <alignment horizontal="left" vertical="top" wrapText="1"/>
    </xf>
    <xf numFmtId="0" fontId="13" fillId="0" borderId="22" xfId="0" applyFont="1" applyFill="1" applyBorder="1" applyAlignment="1">
      <alignment horizontal="justify" vertical="top" wrapText="1"/>
    </xf>
    <xf numFmtId="0" fontId="9" fillId="0" borderId="11" xfId="22" applyFont="1" applyFill="1" applyBorder="1" applyAlignment="1">
      <alignment horizontal="justify" vertical="top" wrapText="1"/>
    </xf>
    <xf numFmtId="0" fontId="13" fillId="29" borderId="22" xfId="0" applyFont="1" applyFill="1" applyBorder="1" applyAlignment="1">
      <alignment horizontal="justify" vertical="top" wrapText="1"/>
    </xf>
    <xf numFmtId="0" fontId="13" fillId="0" borderId="22" xfId="0" applyFont="1" applyBorder="1" applyAlignment="1">
      <alignment horizontal="justify" vertical="top" wrapText="1"/>
    </xf>
    <xf numFmtId="0" fontId="9" fillId="0" borderId="0" xfId="0" applyFont="1" applyFill="1" applyAlignment="1">
      <alignment vertical="top"/>
    </xf>
    <xf numFmtId="0" fontId="9" fillId="0" borderId="0" xfId="0" applyFont="1" applyAlignment="1">
      <alignment vertical="top"/>
    </xf>
    <xf numFmtId="0" fontId="9" fillId="0" borderId="11" xfId="0" applyFont="1" applyFill="1" applyBorder="1" applyAlignment="1">
      <alignment horizontal="left" vertical="top" wrapText="1"/>
    </xf>
    <xf numFmtId="200" fontId="28" fillId="0" borderId="18" xfId="0" applyNumberFormat="1" applyFont="1" applyFill="1" applyBorder="1" applyAlignment="1">
      <alignment horizontal="right" vertical="top" wrapText="1"/>
    </xf>
    <xf numFmtId="2" fontId="36" fillId="25" borderId="0" xfId="111" applyNumberFormat="1" applyFont="1" applyFill="1"/>
    <xf numFmtId="0" fontId="116" fillId="25" borderId="0" xfId="111" applyFont="1" applyFill="1"/>
    <xf numFmtId="43" fontId="116" fillId="0" borderId="0" xfId="111" applyNumberFormat="1" applyFont="1"/>
    <xf numFmtId="3" fontId="15" fillId="0" borderId="46" xfId="111" applyNumberFormat="1" applyFont="1" applyBorder="1" applyAlignment="1">
      <alignment horizontal="right" vertical="center" wrapText="1"/>
    </xf>
    <xf numFmtId="3" fontId="15" fillId="0" borderId="18" xfId="111" applyNumberFormat="1" applyFont="1" applyBorder="1" applyAlignment="1">
      <alignment horizontal="right" vertical="center" wrapText="1"/>
    </xf>
    <xf numFmtId="3" fontId="9" fillId="0" borderId="18" xfId="111" applyNumberFormat="1" applyFont="1" applyBorder="1" applyAlignment="1">
      <alignment horizontal="right" vertical="center"/>
    </xf>
    <xf numFmtId="182" fontId="9" fillId="0" borderId="18" xfId="0" applyNumberFormat="1" applyFont="1" applyFill="1" applyBorder="1" applyAlignment="1">
      <alignment vertical="top" wrapText="1"/>
    </xf>
    <xf numFmtId="182" fontId="15" fillId="0" borderId="18" xfId="0" applyNumberFormat="1" applyFont="1" applyFill="1" applyBorder="1" applyAlignment="1">
      <alignment vertical="top" wrapText="1"/>
    </xf>
    <xf numFmtId="0" fontId="15" fillId="0" borderId="0" xfId="0" applyFont="1" applyFill="1" applyAlignment="1">
      <alignment vertical="top"/>
    </xf>
    <xf numFmtId="0" fontId="15" fillId="0" borderId="0" xfId="0" applyFont="1" applyFill="1" applyBorder="1" applyAlignment="1">
      <alignment horizontal="left" vertical="top" wrapText="1"/>
    </xf>
    <xf numFmtId="0" fontId="14" fillId="0" borderId="17" xfId="0" applyFont="1" applyFill="1" applyBorder="1" applyAlignment="1">
      <alignment horizontal="justify" vertical="top"/>
    </xf>
    <xf numFmtId="0" fontId="14" fillId="0" borderId="17" xfId="0" applyFont="1" applyFill="1" applyBorder="1" applyAlignment="1">
      <alignment horizontal="justify" vertical="top" wrapText="1"/>
    </xf>
    <xf numFmtId="0" fontId="13" fillId="0" borderId="17" xfId="0" applyFont="1" applyFill="1" applyBorder="1" applyAlignment="1">
      <alignment horizontal="justify" vertical="top" wrapText="1"/>
    </xf>
    <xf numFmtId="3" fontId="9" fillId="0" borderId="18" xfId="111" applyNumberFormat="1" applyFont="1" applyBorder="1" applyAlignment="1">
      <alignment horizontal="right" vertical="center"/>
    </xf>
    <xf numFmtId="0" fontId="9" fillId="0" borderId="22" xfId="0" applyFont="1" applyFill="1" applyBorder="1" applyAlignment="1">
      <alignment vertical="top" wrapText="1"/>
    </xf>
    <xf numFmtId="0" fontId="9" fillId="0" borderId="22" xfId="0" applyFont="1" applyFill="1" applyBorder="1" applyAlignment="1">
      <alignment vertical="center"/>
    </xf>
    <xf numFmtId="0" fontId="117" fillId="0" borderId="17" xfId="0" applyFont="1" applyFill="1" applyBorder="1" applyAlignment="1">
      <alignment horizontal="justify" vertical="top" wrapText="1"/>
    </xf>
    <xf numFmtId="182" fontId="88" fillId="0" borderId="18" xfId="0" applyNumberFormat="1" applyFont="1" applyFill="1" applyBorder="1" applyAlignment="1">
      <alignment vertical="top" wrapText="1"/>
    </xf>
    <xf numFmtId="0" fontId="14" fillId="0" borderId="21" xfId="0" applyFont="1" applyFill="1" applyBorder="1" applyAlignment="1">
      <alignment vertical="top" wrapText="1"/>
    </xf>
    <xf numFmtId="0" fontId="15" fillId="0" borderId="13" xfId="0" applyFont="1" applyFill="1" applyBorder="1" applyAlignment="1">
      <alignment vertical="top" wrapText="1"/>
    </xf>
    <xf numFmtId="178" fontId="18" fillId="0" borderId="0" xfId="21" applyNumberFormat="1" applyFont="1" applyBorder="1" applyAlignment="1">
      <alignment vertical="top"/>
    </xf>
    <xf numFmtId="0" fontId="89" fillId="0" borderId="22" xfId="0" applyFont="1" applyFill="1" applyBorder="1" applyAlignment="1">
      <alignment vertical="top" wrapText="1"/>
    </xf>
    <xf numFmtId="0" fontId="23" fillId="0" borderId="28" xfId="0" applyFont="1" applyFill="1" applyBorder="1" applyAlignment="1">
      <alignment horizontal="center" vertical="center" wrapText="1"/>
    </xf>
    <xf numFmtId="0" fontId="9" fillId="0" borderId="0" xfId="0" applyFont="1" applyFill="1" applyAlignment="1">
      <alignment vertical="top"/>
    </xf>
    <xf numFmtId="3" fontId="9" fillId="0" borderId="0" xfId="0" applyNumberFormat="1" applyFont="1" applyFill="1" applyBorder="1" applyAlignment="1">
      <alignment vertical="top" wrapText="1"/>
    </xf>
    <xf numFmtId="0" fontId="9" fillId="0" borderId="17" xfId="0" applyFont="1" applyFill="1" applyBorder="1" applyAlignment="1">
      <alignment horizontal="distributed" vertical="center" wrapText="1" indent="2"/>
    </xf>
    <xf numFmtId="0" fontId="9" fillId="0" borderId="15" xfId="0" applyFont="1" applyFill="1" applyBorder="1" applyAlignment="1">
      <alignment horizontal="distributed" vertical="center" wrapText="1" indent="1"/>
    </xf>
    <xf numFmtId="0" fontId="9" fillId="0" borderId="27" xfId="0" applyFont="1" applyFill="1" applyBorder="1" applyAlignment="1">
      <alignment horizontal="left" vertical="top" wrapText="1"/>
    </xf>
    <xf numFmtId="0" fontId="9" fillId="0" borderId="15" xfId="0" applyFont="1" applyFill="1" applyBorder="1" applyAlignment="1">
      <alignment horizontal="center" vertical="center" wrapText="1"/>
    </xf>
    <xf numFmtId="177" fontId="9" fillId="0" borderId="15" xfId="0" applyNumberFormat="1" applyFont="1" applyFill="1" applyBorder="1" applyAlignment="1">
      <alignment horizontal="center" vertical="center" wrapText="1"/>
    </xf>
    <xf numFmtId="0" fontId="9" fillId="0" borderId="22" xfId="0" applyFont="1" applyFill="1" applyBorder="1" applyAlignment="1">
      <alignment horizontal="left" vertical="top" wrapText="1"/>
    </xf>
    <xf numFmtId="0" fontId="9" fillId="0" borderId="22" xfId="20" applyNumberFormat="1" applyFont="1" applyBorder="1" applyAlignment="1">
      <alignment horizontal="justify" vertical="top" wrapText="1"/>
    </xf>
    <xf numFmtId="0" fontId="9" fillId="0" borderId="22" xfId="0" applyFont="1" applyFill="1" applyBorder="1" applyAlignment="1">
      <alignment horizontal="left" vertical="top" wrapText="1"/>
    </xf>
    <xf numFmtId="0" fontId="9" fillId="0" borderId="36" xfId="0" applyFont="1" applyFill="1" applyBorder="1" applyAlignment="1">
      <alignment vertical="top" wrapText="1"/>
    </xf>
    <xf numFmtId="0" fontId="9" fillId="0" borderId="23" xfId="0" applyFont="1" applyFill="1" applyBorder="1" applyAlignment="1">
      <alignment vertical="top" wrapText="1"/>
    </xf>
    <xf numFmtId="0" fontId="13" fillId="0" borderId="22" xfId="0" applyFont="1" applyFill="1" applyBorder="1" applyAlignment="1">
      <alignment horizontal="justify" vertical="top" wrapText="1"/>
    </xf>
    <xf numFmtId="178" fontId="15" fillId="0" borderId="0" xfId="21" applyNumberFormat="1" applyFont="1" applyAlignment="1">
      <alignment vertical="top"/>
    </xf>
    <xf numFmtId="178" fontId="15" fillId="0" borderId="0" xfId="20" applyNumberFormat="1" applyFont="1" applyAlignment="1">
      <alignment vertical="top"/>
    </xf>
    <xf numFmtId="0" fontId="13" fillId="0" borderId="11" xfId="20" applyNumberFormat="1" applyFont="1" applyBorder="1" applyAlignment="1">
      <alignment vertical="top" wrapText="1"/>
    </xf>
    <xf numFmtId="0" fontId="9" fillId="0" borderId="11" xfId="20" applyNumberFormat="1" applyFont="1" applyBorder="1" applyAlignment="1">
      <alignment vertical="top" wrapText="1"/>
    </xf>
    <xf numFmtId="0" fontId="9" fillId="0" borderId="11" xfId="20" applyFont="1" applyBorder="1" applyAlignment="1">
      <alignment vertical="top" wrapText="1"/>
    </xf>
    <xf numFmtId="0" fontId="13" fillId="0" borderId="22" xfId="20" applyNumberFormat="1" applyFont="1" applyBorder="1" applyAlignment="1">
      <alignment horizontal="justify" vertical="top" wrapText="1"/>
    </xf>
    <xf numFmtId="0" fontId="13" fillId="0" borderId="22" xfId="20" applyNumberFormat="1" applyFont="1" applyBorder="1" applyAlignment="1">
      <alignment vertical="top" wrapText="1"/>
    </xf>
    <xf numFmtId="0" fontId="9" fillId="0" borderId="13" xfId="20" applyNumberFormat="1" applyFont="1" applyBorder="1" applyAlignment="1">
      <alignment vertical="top" wrapText="1"/>
    </xf>
    <xf numFmtId="0" fontId="9" fillId="0" borderId="23" xfId="20" applyFont="1" applyBorder="1" applyAlignment="1">
      <alignment vertical="top" wrapText="1"/>
    </xf>
    <xf numFmtId="41" fontId="28" fillId="0" borderId="11" xfId="21" applyNumberFormat="1" applyFont="1" applyFill="1" applyBorder="1" applyAlignment="1">
      <alignment horizontal="right" vertical="top" wrapText="1"/>
    </xf>
    <xf numFmtId="41" fontId="15" fillId="0" borderId="12" xfId="0" applyNumberFormat="1" applyFont="1" applyFill="1" applyBorder="1" applyAlignment="1">
      <alignment vertical="top"/>
    </xf>
    <xf numFmtId="41" fontId="15" fillId="0" borderId="21" xfId="0" applyNumberFormat="1" applyFont="1" applyFill="1" applyBorder="1" applyAlignment="1">
      <alignment vertical="top"/>
    </xf>
    <xf numFmtId="0" fontId="13" fillId="0" borderId="23" xfId="0" applyFont="1" applyFill="1" applyBorder="1" applyAlignment="1">
      <alignment horizontal="justify" vertical="top" wrapText="1"/>
    </xf>
    <xf numFmtId="49" fontId="9" fillId="0" borderId="27" xfId="0" applyNumberFormat="1" applyFont="1" applyFill="1" applyBorder="1" applyAlignment="1">
      <alignment horizontal="left" vertical="top" wrapText="1"/>
    </xf>
    <xf numFmtId="0" fontId="13" fillId="0" borderId="22" xfId="0" applyFont="1" applyBorder="1" applyAlignment="1">
      <alignment horizontal="left" vertical="top" wrapText="1"/>
    </xf>
    <xf numFmtId="178" fontId="18" fillId="0" borderId="0" xfId="21" applyNumberFormat="1" applyFont="1" applyAlignment="1">
      <alignment vertical="top"/>
    </xf>
    <xf numFmtId="178" fontId="18" fillId="0" borderId="0" xfId="0" applyNumberFormat="1" applyFont="1" applyAlignment="1">
      <alignment vertical="top"/>
    </xf>
    <xf numFmtId="0" fontId="9" fillId="0" borderId="15" xfId="0" applyFont="1" applyFill="1" applyBorder="1" applyAlignment="1">
      <alignment horizontal="distributed" vertical="center" wrapText="1" indent="1"/>
    </xf>
    <xf numFmtId="0" fontId="9" fillId="0" borderId="22" xfId="0" applyFont="1" applyFill="1" applyBorder="1" applyAlignment="1">
      <alignment horizontal="left" vertical="top" wrapText="1"/>
    </xf>
    <xf numFmtId="0" fontId="9" fillId="0" borderId="0" xfId="0" applyFont="1" applyFill="1" applyAlignment="1">
      <alignment vertical="top"/>
    </xf>
    <xf numFmtId="3" fontId="9" fillId="0" borderId="0" xfId="0" applyNumberFormat="1" applyFont="1" applyFill="1" applyBorder="1" applyAlignment="1">
      <alignment vertical="top" wrapText="1"/>
    </xf>
    <xf numFmtId="0" fontId="9" fillId="0" borderId="17" xfId="0" applyFont="1" applyFill="1" applyBorder="1" applyAlignment="1">
      <alignment horizontal="distributed" vertical="center" wrapText="1" indent="2"/>
    </xf>
    <xf numFmtId="0" fontId="9" fillId="0" borderId="15" xfId="0" applyFont="1" applyFill="1" applyBorder="1" applyAlignment="1">
      <alignment horizontal="distributed" vertical="center" wrapText="1" indent="1"/>
    </xf>
    <xf numFmtId="0" fontId="9" fillId="0" borderId="27" xfId="0" applyFont="1" applyFill="1" applyBorder="1" applyAlignment="1">
      <alignment horizontal="left" vertical="top" wrapText="1"/>
    </xf>
    <xf numFmtId="0" fontId="9" fillId="0" borderId="15" xfId="0" applyFont="1" applyFill="1" applyBorder="1" applyAlignment="1">
      <alignment horizontal="center" vertical="center" wrapText="1"/>
    </xf>
    <xf numFmtId="177" fontId="9" fillId="0" borderId="15" xfId="0" applyNumberFormat="1" applyFont="1" applyFill="1" applyBorder="1" applyAlignment="1">
      <alignment horizontal="center" vertical="center" wrapText="1"/>
    </xf>
    <xf numFmtId="2" fontId="57" fillId="0" borderId="18" xfId="0" applyNumberFormat="1" applyFont="1" applyFill="1" applyBorder="1" applyAlignment="1">
      <alignment horizontal="right" vertical="top" wrapText="1"/>
    </xf>
    <xf numFmtId="2" fontId="28" fillId="0" borderId="18" xfId="0" applyNumberFormat="1" applyFont="1" applyFill="1" applyBorder="1" applyAlignment="1">
      <alignment horizontal="right" vertical="top" wrapText="1"/>
    </xf>
    <xf numFmtId="0" fontId="13" fillId="0" borderId="34" xfId="112" applyFont="1" applyBorder="1" applyAlignment="1">
      <alignment horizontal="distributed" vertical="center" wrapText="1"/>
    </xf>
    <xf numFmtId="0" fontId="13" fillId="0" borderId="19" xfId="112" applyFont="1" applyBorder="1" applyAlignment="1">
      <alignment horizontal="distributed" vertical="center" wrapText="1" indent="1"/>
    </xf>
    <xf numFmtId="0" fontId="13" fillId="0" borderId="38" xfId="112" applyFont="1" applyBorder="1" applyAlignment="1">
      <alignment horizontal="distributed" vertical="center" wrapText="1"/>
    </xf>
    <xf numFmtId="0" fontId="13" fillId="0" borderId="34" xfId="0" applyFont="1" applyFill="1" applyBorder="1" applyAlignment="1">
      <alignment horizontal="center" vertical="center" wrapText="1"/>
    </xf>
    <xf numFmtId="0" fontId="13" fillId="0" borderId="33" xfId="0" applyFont="1" applyFill="1" applyBorder="1" applyAlignment="1">
      <alignment horizontal="center" vertical="center" wrapText="1"/>
    </xf>
    <xf numFmtId="0" fontId="13" fillId="0" borderId="17" xfId="0" applyFont="1" applyFill="1" applyBorder="1" applyAlignment="1">
      <alignment horizontal="center" vertical="center" wrapText="1"/>
    </xf>
    <xf numFmtId="0" fontId="13" fillId="0" borderId="18" xfId="0" applyFont="1" applyFill="1" applyBorder="1" applyAlignment="1">
      <alignment horizontal="center" vertical="center" wrapText="1"/>
    </xf>
    <xf numFmtId="182" fontId="13" fillId="0" borderId="22" xfId="0" applyNumberFormat="1" applyFont="1" applyFill="1" applyBorder="1" applyAlignment="1">
      <alignment horizontal="justify" vertical="top" wrapText="1"/>
    </xf>
    <xf numFmtId="0" fontId="9" fillId="0" borderId="31" xfId="0" applyFont="1" applyFill="1" applyBorder="1" applyAlignment="1">
      <alignment horizontal="justify" vertical="top"/>
    </xf>
    <xf numFmtId="0" fontId="9" fillId="0" borderId="31" xfId="0" applyFont="1" applyFill="1" applyBorder="1" applyAlignment="1">
      <alignment vertical="top"/>
    </xf>
    <xf numFmtId="0" fontId="9" fillId="0" borderId="27" xfId="0" applyFont="1" applyFill="1" applyBorder="1" applyAlignment="1">
      <alignment vertical="top"/>
    </xf>
    <xf numFmtId="0" fontId="21" fillId="0" borderId="22" xfId="0" applyNumberFormat="1" applyFont="1" applyFill="1" applyBorder="1" applyAlignment="1">
      <alignment horizontal="justify" vertical="top" wrapText="1"/>
    </xf>
    <xf numFmtId="0" fontId="23" fillId="0" borderId="22" xfId="0" applyNumberFormat="1" applyFont="1" applyFill="1" applyBorder="1" applyAlignment="1">
      <alignment horizontal="justify" vertical="top" wrapText="1"/>
    </xf>
    <xf numFmtId="49" fontId="19" fillId="0" borderId="22" xfId="0" applyNumberFormat="1" applyFont="1" applyBorder="1" applyAlignment="1">
      <alignment horizontal="justify" vertical="top" wrapText="1"/>
    </xf>
    <xf numFmtId="0" fontId="24" fillId="0" borderId="21" xfId="0" applyFont="1" applyFill="1" applyBorder="1" applyAlignment="1">
      <alignment horizontal="left" vertical="top" wrapText="1"/>
    </xf>
    <xf numFmtId="41" fontId="35" fillId="0" borderId="32" xfId="0" applyNumberFormat="1" applyFont="1" applyFill="1" applyBorder="1" applyAlignment="1">
      <alignment horizontal="right" vertical="top" wrapText="1"/>
    </xf>
    <xf numFmtId="0" fontId="24" fillId="0" borderId="17" xfId="0" applyFont="1" applyFill="1" applyBorder="1" applyAlignment="1">
      <alignment horizontal="justify" vertical="top" wrapText="1"/>
    </xf>
    <xf numFmtId="0" fontId="9" fillId="0" borderId="22" xfId="0" applyNumberFormat="1" applyFont="1" applyFill="1" applyBorder="1" applyAlignment="1">
      <alignment horizontal="justify" vertical="top" wrapText="1"/>
    </xf>
    <xf numFmtId="0" fontId="9" fillId="0" borderId="22" xfId="0" applyNumberFormat="1" applyFont="1" applyFill="1" applyBorder="1" applyAlignment="1">
      <alignment vertical="top" wrapText="1"/>
    </xf>
    <xf numFmtId="0" fontId="9" fillId="0" borderId="22" xfId="0" applyFont="1" applyBorder="1" applyAlignment="1">
      <alignment horizontal="justify" vertical="top" wrapText="1"/>
    </xf>
    <xf numFmtId="49" fontId="19" fillId="0" borderId="27" xfId="0" applyNumberFormat="1" applyFont="1" applyBorder="1" applyAlignment="1">
      <alignment vertical="top" wrapText="1"/>
    </xf>
    <xf numFmtId="0" fontId="13" fillId="0" borderId="22" xfId="0" applyNumberFormat="1" applyFont="1" applyFill="1" applyBorder="1" applyAlignment="1">
      <alignment vertical="top" wrapText="1"/>
    </xf>
    <xf numFmtId="182" fontId="13" fillId="0" borderId="22" xfId="0" applyNumberFormat="1" applyFont="1" applyFill="1" applyBorder="1" applyAlignment="1">
      <alignment horizontal="justify" vertical="top" wrapText="1"/>
    </xf>
    <xf numFmtId="0" fontId="9" fillId="0" borderId="0" xfId="0" applyFont="1" applyFill="1" applyAlignment="1">
      <alignment horizontal="justify" vertical="top" wrapText="1"/>
    </xf>
    <xf numFmtId="49" fontId="19" fillId="0" borderId="22" xfId="0" applyNumberFormat="1" applyFont="1" applyFill="1" applyBorder="1" applyAlignment="1">
      <alignment vertical="top" wrapText="1"/>
    </xf>
    <xf numFmtId="0" fontId="13" fillId="0" borderId="22" xfId="0" applyFont="1" applyFill="1" applyBorder="1" applyAlignment="1">
      <alignment horizontal="justify" vertical="top" wrapText="1"/>
    </xf>
    <xf numFmtId="0" fontId="23" fillId="0" borderId="22" xfId="0" applyNumberFormat="1" applyFont="1" applyFill="1" applyBorder="1" applyAlignment="1">
      <alignment horizontal="justify" vertical="top" wrapText="1"/>
    </xf>
    <xf numFmtId="181" fontId="28" fillId="0" borderId="10" xfId="0" applyNumberFormat="1" applyFont="1" applyFill="1" applyBorder="1" applyAlignment="1">
      <alignment horizontal="right" vertical="top" wrapText="1"/>
    </xf>
    <xf numFmtId="189" fontId="9" fillId="0" borderId="0" xfId="0" applyNumberFormat="1" applyFont="1" applyFill="1" applyBorder="1" applyAlignment="1">
      <alignment vertical="top"/>
    </xf>
    <xf numFmtId="0" fontId="119" fillId="0" borderId="22" xfId="0" applyFont="1" applyFill="1" applyBorder="1" applyAlignment="1">
      <alignment vertical="top" wrapText="1"/>
    </xf>
    <xf numFmtId="0" fontId="119" fillId="0" borderId="11" xfId="0" applyFont="1" applyFill="1" applyBorder="1" applyAlignment="1">
      <alignment vertical="top" wrapText="1"/>
    </xf>
    <xf numFmtId="0" fontId="119" fillId="0" borderId="22" xfId="0" applyFont="1" applyFill="1" applyBorder="1" applyAlignment="1">
      <alignment horizontal="justify" vertical="top" wrapText="1"/>
    </xf>
    <xf numFmtId="0" fontId="127" fillId="0" borderId="0" xfId="222" applyFont="1" applyAlignment="1">
      <alignment horizontal="distributed" vertical="center"/>
    </xf>
    <xf numFmtId="0" fontId="127" fillId="0" borderId="0" xfId="222" applyFont="1" applyBorder="1" applyAlignment="1">
      <alignment horizontal="distributed" vertical="center" indent="2"/>
    </xf>
    <xf numFmtId="0" fontId="124" fillId="0" borderId="37" xfId="111" applyFont="1" applyFill="1" applyBorder="1" applyAlignment="1">
      <alignment horizontal="justify" vertical="center" wrapText="1"/>
    </xf>
    <xf numFmtId="0" fontId="60" fillId="0" borderId="37" xfId="111" applyFont="1" applyFill="1" applyBorder="1" applyAlignment="1">
      <alignment horizontal="justify" vertical="center"/>
    </xf>
    <xf numFmtId="0" fontId="56" fillId="0" borderId="15" xfId="0" applyFont="1" applyFill="1" applyBorder="1" applyAlignment="1">
      <alignment horizontal="center" vertical="center" textRotation="255"/>
    </xf>
    <xf numFmtId="0" fontId="56" fillId="0" borderId="18" xfId="0" applyFont="1" applyFill="1" applyBorder="1" applyAlignment="1">
      <alignment horizontal="center" vertical="center" textRotation="255"/>
    </xf>
    <xf numFmtId="0" fontId="56" fillId="0" borderId="46" xfId="0" applyFont="1" applyFill="1" applyBorder="1" applyAlignment="1">
      <alignment horizontal="center" vertical="center" textRotation="255"/>
    </xf>
    <xf numFmtId="0" fontId="56" fillId="0" borderId="28" xfId="0" applyFont="1" applyFill="1" applyBorder="1" applyAlignment="1">
      <alignment horizontal="center" vertical="center" textRotation="255"/>
    </xf>
    <xf numFmtId="0" fontId="58" fillId="0" borderId="40" xfId="0" applyFont="1" applyFill="1" applyBorder="1" applyAlignment="1">
      <alignment horizontal="left" vertical="top" wrapText="1"/>
    </xf>
    <xf numFmtId="0" fontId="59" fillId="0" borderId="40" xfId="0" applyFont="1" applyFill="1" applyBorder="1" applyAlignment="1">
      <alignment horizontal="left" vertical="top" wrapText="1"/>
    </xf>
    <xf numFmtId="0" fontId="56" fillId="0" borderId="47" xfId="0" applyFont="1" applyFill="1" applyBorder="1" applyAlignment="1">
      <alignment horizontal="center" vertical="center"/>
    </xf>
    <xf numFmtId="0" fontId="56" fillId="0" borderId="48" xfId="0" applyFont="1" applyFill="1" applyBorder="1" applyAlignment="1">
      <alignment horizontal="center" vertical="center"/>
    </xf>
    <xf numFmtId="180" fontId="56" fillId="0" borderId="28" xfId="0" applyNumberFormat="1" applyFont="1" applyFill="1" applyBorder="1" applyAlignment="1">
      <alignment horizontal="center" vertical="center"/>
    </xf>
    <xf numFmtId="0" fontId="56" fillId="0" borderId="28" xfId="0" applyFont="1" applyFill="1" applyBorder="1" applyAlignment="1">
      <alignment horizontal="center" vertical="center"/>
    </xf>
    <xf numFmtId="0" fontId="7" fillId="0" borderId="0" xfId="0" applyFont="1" applyFill="1" applyAlignment="1">
      <alignment horizontal="center" vertical="center"/>
    </xf>
    <xf numFmtId="0" fontId="6" fillId="0" borderId="0" xfId="0" applyFont="1" applyFill="1" applyAlignment="1">
      <alignment horizontal="center" vertical="center"/>
    </xf>
    <xf numFmtId="0" fontId="10" fillId="0" borderId="0" xfId="0" applyFont="1" applyFill="1" applyAlignment="1">
      <alignment horizontal="center" vertical="center"/>
    </xf>
    <xf numFmtId="0" fontId="11" fillId="0" borderId="0" xfId="0" applyFont="1" applyFill="1" applyAlignment="1">
      <alignment horizontal="center" vertical="center"/>
    </xf>
    <xf numFmtId="0" fontId="13" fillId="0" borderId="0" xfId="0" applyFont="1" applyFill="1" applyBorder="1" applyAlignment="1">
      <alignment horizontal="center" vertical="center"/>
    </xf>
    <xf numFmtId="0" fontId="9" fillId="0" borderId="0" xfId="0" applyFont="1" applyFill="1" applyBorder="1" applyAlignment="1">
      <alignment horizontal="center" vertical="center"/>
    </xf>
    <xf numFmtId="0" fontId="21" fillId="0" borderId="19" xfId="0" applyFont="1" applyFill="1" applyBorder="1" applyAlignment="1">
      <alignment horizontal="center" vertical="center" wrapText="1"/>
    </xf>
    <xf numFmtId="0" fontId="23" fillId="0" borderId="24" xfId="0" applyFont="1" applyFill="1" applyBorder="1" applyAlignment="1">
      <alignment horizontal="center" vertical="center" wrapText="1"/>
    </xf>
    <xf numFmtId="0" fontId="21" fillId="0" borderId="24" xfId="0" applyFont="1" applyFill="1" applyBorder="1" applyAlignment="1">
      <alignment horizontal="center" vertical="center" wrapText="1"/>
    </xf>
    <xf numFmtId="0" fontId="23" fillId="0" borderId="28" xfId="0" applyFont="1" applyFill="1" applyBorder="1" applyAlignment="1">
      <alignment horizontal="center" vertical="center" wrapText="1"/>
    </xf>
    <xf numFmtId="0" fontId="21" fillId="0" borderId="43" xfId="0" applyFont="1" applyFill="1" applyBorder="1" applyAlignment="1">
      <alignment horizontal="center" vertical="center" wrapText="1"/>
    </xf>
    <xf numFmtId="0" fontId="23" fillId="0" borderId="55" xfId="0" applyFont="1" applyFill="1" applyBorder="1" applyAlignment="1">
      <alignment horizontal="center" vertical="center" wrapText="1"/>
    </xf>
    <xf numFmtId="0" fontId="23" fillId="0" borderId="45" xfId="0" applyFont="1" applyFill="1" applyBorder="1" applyAlignment="1">
      <alignment horizontal="center" vertical="center" wrapText="1"/>
    </xf>
    <xf numFmtId="0" fontId="18" fillId="0" borderId="10" xfId="0" applyFont="1" applyFill="1" applyBorder="1" applyAlignment="1">
      <alignment horizontal="left" vertical="top" wrapText="1"/>
    </xf>
    <xf numFmtId="0" fontId="9" fillId="0" borderId="0" xfId="0" applyFont="1" applyAlignment="1">
      <alignment horizontal="left" vertical="top"/>
    </xf>
    <xf numFmtId="0" fontId="9" fillId="0" borderId="22" xfId="0" applyFont="1" applyBorder="1" applyAlignment="1">
      <alignment horizontal="left" vertical="top"/>
    </xf>
    <xf numFmtId="0" fontId="30" fillId="0" borderId="10" xfId="0" applyFont="1" applyFill="1" applyBorder="1" applyAlignment="1">
      <alignment horizontal="left" vertical="top" wrapText="1"/>
    </xf>
    <xf numFmtId="0" fontId="9" fillId="0" borderId="0" xfId="0" applyFont="1" applyFill="1" applyAlignment="1">
      <alignment horizontal="left" vertical="top"/>
    </xf>
    <xf numFmtId="0" fontId="9" fillId="0" borderId="22" xfId="0" applyFont="1" applyFill="1" applyBorder="1" applyAlignment="1">
      <alignment horizontal="left" vertical="top"/>
    </xf>
    <xf numFmtId="0" fontId="125" fillId="0" borderId="10" xfId="0" applyFont="1" applyFill="1" applyBorder="1" applyAlignment="1">
      <alignment horizontal="left" vertical="top" wrapText="1"/>
    </xf>
    <xf numFmtId="0" fontId="9" fillId="0" borderId="0" xfId="0" applyFont="1" applyFill="1" applyAlignment="1">
      <alignment horizontal="left" vertical="top" wrapText="1"/>
    </xf>
    <xf numFmtId="0" fontId="9" fillId="0" borderId="22" xfId="0" applyFont="1" applyFill="1" applyBorder="1" applyAlignment="1">
      <alignment horizontal="left" vertical="top" wrapText="1"/>
    </xf>
    <xf numFmtId="0" fontId="9" fillId="0" borderId="36" xfId="0" applyFont="1" applyFill="1" applyBorder="1" applyAlignment="1">
      <alignment horizontal="center" vertical="center"/>
    </xf>
    <xf numFmtId="0" fontId="18" fillId="0" borderId="0" xfId="0" applyFont="1" applyFill="1" applyBorder="1" applyAlignment="1">
      <alignment horizontal="left" vertical="top" wrapText="1"/>
    </xf>
    <xf numFmtId="0" fontId="18" fillId="0" borderId="22" xfId="0" applyFont="1" applyFill="1" applyBorder="1" applyAlignment="1">
      <alignment horizontal="left" vertical="top" wrapText="1"/>
    </xf>
    <xf numFmtId="0" fontId="9" fillId="0" borderId="0" xfId="0" applyFont="1" applyAlignment="1">
      <alignment vertical="center"/>
    </xf>
    <xf numFmtId="0" fontId="9" fillId="0" borderId="22" xfId="0" applyFont="1" applyBorder="1" applyAlignment="1">
      <alignment vertical="center"/>
    </xf>
    <xf numFmtId="0" fontId="9" fillId="0" borderId="0" xfId="0" applyFont="1" applyFill="1" applyAlignment="1">
      <alignment vertical="top"/>
    </xf>
    <xf numFmtId="0" fontId="9" fillId="0" borderId="22" xfId="0" applyFont="1" applyFill="1" applyBorder="1" applyAlignment="1">
      <alignment vertical="top"/>
    </xf>
    <xf numFmtId="0" fontId="9" fillId="0" borderId="0" xfId="0" applyFont="1" applyAlignment="1">
      <alignment vertical="top"/>
    </xf>
    <xf numFmtId="0" fontId="9" fillId="0" borderId="22" xfId="0" applyFont="1" applyBorder="1" applyAlignment="1">
      <alignment vertical="top"/>
    </xf>
    <xf numFmtId="0" fontId="6" fillId="0" borderId="0" xfId="0" applyFont="1" applyAlignment="1">
      <alignment horizontal="center" vertical="center"/>
    </xf>
    <xf numFmtId="0" fontId="10" fillId="0" borderId="0" xfId="0" applyFont="1" applyAlignment="1">
      <alignment horizontal="center" vertical="center"/>
    </xf>
    <xf numFmtId="0" fontId="11" fillId="0" borderId="0" xfId="0" applyFont="1" applyAlignment="1">
      <alignment horizontal="center" vertical="center"/>
    </xf>
    <xf numFmtId="0" fontId="119" fillId="0" borderId="36" xfId="0" applyFont="1" applyBorder="1" applyAlignment="1">
      <alignment horizontal="center" vertical="center"/>
    </xf>
    <xf numFmtId="0" fontId="9" fillId="0" borderId="36" xfId="0" applyFont="1" applyBorder="1" applyAlignment="1">
      <alignment horizontal="center" vertical="center"/>
    </xf>
    <xf numFmtId="0" fontId="9" fillId="0" borderId="19" xfId="0" applyFont="1" applyBorder="1" applyAlignment="1">
      <alignment horizontal="distributed" vertical="center" wrapText="1" indent="1"/>
    </xf>
    <xf numFmtId="0" fontId="9" fillId="0" borderId="24" xfId="0" applyFont="1" applyBorder="1" applyAlignment="1">
      <alignment horizontal="distributed" vertical="center" wrapText="1" indent="1"/>
    </xf>
    <xf numFmtId="0" fontId="9" fillId="0" borderId="28" xfId="0" applyFont="1" applyBorder="1" applyAlignment="1">
      <alignment horizontal="distributed" vertical="center" wrapText="1" indent="1"/>
    </xf>
    <xf numFmtId="0" fontId="9" fillId="0" borderId="20" xfId="0" applyFont="1" applyBorder="1" applyAlignment="1">
      <alignment horizontal="distributed" vertical="center" wrapText="1" indent="1"/>
    </xf>
    <xf numFmtId="0" fontId="9" fillId="0" borderId="44" xfId="0" applyFont="1" applyBorder="1" applyAlignment="1">
      <alignment horizontal="distributed" vertical="center" wrapText="1" indent="1"/>
    </xf>
    <xf numFmtId="3" fontId="119" fillId="0" borderId="27" xfId="0" applyNumberFormat="1" applyFont="1" applyFill="1" applyBorder="1" applyAlignment="1">
      <alignment vertical="top" wrapText="1"/>
    </xf>
    <xf numFmtId="3" fontId="9" fillId="0" borderId="0" xfId="0" applyNumberFormat="1" applyFont="1" applyFill="1" applyBorder="1" applyAlignment="1">
      <alignment vertical="top" wrapText="1"/>
    </xf>
    <xf numFmtId="3" fontId="9" fillId="0" borderId="22" xfId="0" applyNumberFormat="1" applyFont="1" applyFill="1" applyBorder="1" applyAlignment="1">
      <alignment vertical="top" wrapText="1"/>
    </xf>
    <xf numFmtId="3" fontId="9" fillId="0" borderId="27" xfId="0" applyNumberFormat="1" applyFont="1" applyFill="1" applyBorder="1" applyAlignment="1">
      <alignment vertical="top" wrapText="1"/>
    </xf>
    <xf numFmtId="0" fontId="9" fillId="0" borderId="33" xfId="0" applyFont="1" applyFill="1" applyBorder="1" applyAlignment="1">
      <alignment horizontal="distributed" vertical="center" wrapText="1" indent="2"/>
    </xf>
    <xf numFmtId="0" fontId="9" fillId="0" borderId="17" xfId="0" applyFont="1" applyFill="1" applyBorder="1" applyAlignment="1">
      <alignment horizontal="distributed" vertical="center" wrapText="1" indent="2"/>
    </xf>
    <xf numFmtId="0" fontId="9" fillId="0" borderId="49" xfId="0" applyFont="1" applyFill="1" applyBorder="1" applyAlignment="1">
      <alignment horizontal="distributed" vertical="center" wrapText="1" indent="2"/>
    </xf>
    <xf numFmtId="0" fontId="9" fillId="0" borderId="24" xfId="0" applyFont="1" applyFill="1" applyBorder="1" applyAlignment="1">
      <alignment horizontal="distributed" vertical="center" wrapText="1" indent="1"/>
    </xf>
    <xf numFmtId="0" fontId="9" fillId="0" borderId="28" xfId="0" applyFont="1" applyFill="1" applyBorder="1" applyAlignment="1">
      <alignment horizontal="distributed" vertical="center" wrapText="1" indent="1"/>
    </xf>
    <xf numFmtId="0" fontId="9" fillId="0" borderId="15" xfId="0" applyFont="1" applyFill="1" applyBorder="1" applyAlignment="1">
      <alignment horizontal="distributed" vertical="center" wrapText="1" indent="1"/>
    </xf>
    <xf numFmtId="0" fontId="119" fillId="0" borderId="36" xfId="0" applyFont="1" applyFill="1" applyBorder="1" applyAlignment="1">
      <alignment horizontal="center" vertical="center"/>
    </xf>
    <xf numFmtId="0" fontId="9" fillId="0" borderId="50" xfId="0" applyFont="1" applyFill="1" applyBorder="1" applyAlignment="1">
      <alignment horizontal="distributed" vertical="center" wrapText="1" indent="2"/>
    </xf>
    <xf numFmtId="0" fontId="9" fillId="0" borderId="40" xfId="0" applyFont="1" applyFill="1" applyBorder="1" applyAlignment="1">
      <alignment horizontal="distributed" vertical="center" wrapText="1" indent="2"/>
    </xf>
    <xf numFmtId="0" fontId="9" fillId="0" borderId="41" xfId="0" applyFont="1" applyFill="1" applyBorder="1" applyAlignment="1">
      <alignment horizontal="distributed" vertical="center" wrapText="1" indent="2"/>
    </xf>
    <xf numFmtId="0" fontId="9" fillId="0" borderId="27" xfId="0" applyFont="1" applyFill="1" applyBorder="1" applyAlignment="1">
      <alignment horizontal="distributed" vertical="center" wrapText="1" indent="2"/>
    </xf>
    <xf numFmtId="0" fontId="9" fillId="0" borderId="0" xfId="0" applyFont="1" applyFill="1" applyBorder="1" applyAlignment="1">
      <alignment horizontal="distributed" vertical="center" wrapText="1" indent="2"/>
    </xf>
    <xf numFmtId="0" fontId="9" fillId="0" borderId="22" xfId="0" applyFont="1" applyFill="1" applyBorder="1" applyAlignment="1">
      <alignment horizontal="distributed" vertical="center" wrapText="1" indent="2"/>
    </xf>
    <xf numFmtId="0" fontId="9" fillId="0" borderId="51" xfId="0" applyFont="1" applyFill="1" applyBorder="1" applyAlignment="1">
      <alignment horizontal="distributed" vertical="center" wrapText="1" indent="2"/>
    </xf>
    <xf numFmtId="0" fontId="9" fillId="0" borderId="52" xfId="0" applyFont="1" applyFill="1" applyBorder="1" applyAlignment="1">
      <alignment horizontal="distributed" vertical="center" wrapText="1" indent="2"/>
    </xf>
    <xf numFmtId="0" fontId="9" fillId="0" borderId="53" xfId="0" applyFont="1" applyFill="1" applyBorder="1" applyAlignment="1">
      <alignment horizontal="distributed" vertical="center" wrapText="1" indent="2"/>
    </xf>
    <xf numFmtId="3" fontId="13" fillId="0" borderId="27" xfId="0" applyNumberFormat="1" applyFont="1" applyFill="1" applyBorder="1" applyAlignment="1">
      <alignment horizontal="left" vertical="top" wrapText="1"/>
    </xf>
    <xf numFmtId="3" fontId="9" fillId="0" borderId="0" xfId="0" applyNumberFormat="1" applyFont="1" applyFill="1" applyBorder="1" applyAlignment="1">
      <alignment horizontal="left" vertical="top" wrapText="1"/>
    </xf>
    <xf numFmtId="3" fontId="9" fillId="0" borderId="22" xfId="0" applyNumberFormat="1" applyFont="1" applyFill="1" applyBorder="1" applyAlignment="1">
      <alignment horizontal="left" vertical="top" wrapText="1"/>
    </xf>
    <xf numFmtId="3" fontId="119" fillId="0" borderId="32" xfId="0" applyNumberFormat="1" applyFont="1" applyFill="1" applyBorder="1" applyAlignment="1">
      <alignment vertical="top" wrapText="1"/>
    </xf>
    <xf numFmtId="3" fontId="9" fillId="0" borderId="36" xfId="0" applyNumberFormat="1" applyFont="1" applyFill="1" applyBorder="1" applyAlignment="1">
      <alignment vertical="top" wrapText="1"/>
    </xf>
    <xf numFmtId="3" fontId="9" fillId="0" borderId="23" xfId="0" applyNumberFormat="1" applyFont="1" applyFill="1" applyBorder="1" applyAlignment="1">
      <alignment vertical="top" wrapText="1"/>
    </xf>
    <xf numFmtId="0" fontId="56" fillId="0" borderId="40" xfId="0" applyFont="1" applyFill="1" applyBorder="1" applyAlignment="1">
      <alignment vertical="top" wrapText="1"/>
    </xf>
    <xf numFmtId="0" fontId="102" fillId="0" borderId="40" xfId="0" applyFont="1" applyBorder="1" applyAlignment="1">
      <alignment vertical="top"/>
    </xf>
    <xf numFmtId="3" fontId="9" fillId="0" borderId="27" xfId="0" applyNumberFormat="1" applyFont="1" applyFill="1" applyBorder="1" applyAlignment="1">
      <alignment horizontal="left" vertical="top" wrapText="1"/>
    </xf>
    <xf numFmtId="3" fontId="119" fillId="0" borderId="27" xfId="0" applyNumberFormat="1" applyFont="1" applyFill="1" applyBorder="1" applyAlignment="1">
      <alignment horizontal="left" vertical="top" wrapText="1"/>
    </xf>
    <xf numFmtId="0" fontId="119" fillId="0" borderId="0" xfId="0" applyFont="1" applyFill="1" applyBorder="1" applyAlignment="1">
      <alignment horizontal="center" vertical="center"/>
    </xf>
    <xf numFmtId="0" fontId="9" fillId="0" borderId="39" xfId="0" applyFont="1" applyFill="1" applyBorder="1" applyAlignment="1">
      <alignment horizontal="distributed" vertical="center"/>
    </xf>
    <xf numFmtId="0" fontId="9" fillId="0" borderId="63" xfId="0" applyFont="1" applyBorder="1" applyAlignment="1">
      <alignment vertical="center"/>
    </xf>
    <xf numFmtId="0" fontId="9" fillId="0" borderId="10" xfId="0" applyFont="1" applyFill="1" applyBorder="1" applyAlignment="1">
      <alignment horizontal="distributed" vertical="center"/>
    </xf>
    <xf numFmtId="0" fontId="9" fillId="0" borderId="30" xfId="0" applyFont="1" applyBorder="1" applyAlignment="1">
      <alignment vertical="center"/>
    </xf>
    <xf numFmtId="0" fontId="9" fillId="0" borderId="64" xfId="0" applyFont="1" applyFill="1" applyBorder="1" applyAlignment="1">
      <alignment horizontal="distributed" vertical="center"/>
    </xf>
    <xf numFmtId="0" fontId="9" fillId="0" borderId="65" xfId="0" applyFont="1" applyBorder="1" applyAlignment="1">
      <alignment vertical="center"/>
    </xf>
    <xf numFmtId="0" fontId="9" fillId="0" borderId="50" xfId="0" applyFont="1" applyFill="1" applyBorder="1" applyAlignment="1">
      <alignment horizontal="distributed" vertical="center" wrapText="1"/>
    </xf>
    <xf numFmtId="0" fontId="9" fillId="0" borderId="63" xfId="0" applyFont="1" applyBorder="1" applyAlignment="1">
      <alignment vertical="center" wrapText="1"/>
    </xf>
    <xf numFmtId="0" fontId="9" fillId="0" borderId="27" xfId="0" applyFont="1" applyBorder="1" applyAlignment="1">
      <alignment vertical="center" wrapText="1"/>
    </xf>
    <xf numFmtId="0" fontId="9" fillId="0" borderId="30" xfId="0" applyFont="1" applyBorder="1" applyAlignment="1">
      <alignment vertical="center" wrapText="1"/>
    </xf>
    <xf numFmtId="0" fontId="9" fillId="0" borderId="51" xfId="0" applyFont="1" applyBorder="1" applyAlignment="1">
      <alignment vertical="center" wrapText="1"/>
    </xf>
    <xf numFmtId="0" fontId="9" fillId="0" borderId="65" xfId="0" applyFont="1" applyBorder="1" applyAlignment="1">
      <alignment vertical="center" wrapText="1"/>
    </xf>
    <xf numFmtId="0" fontId="9" fillId="0" borderId="40" xfId="0" applyFont="1" applyFill="1" applyBorder="1" applyAlignment="1">
      <alignment horizontal="distributed" vertical="center" wrapText="1"/>
    </xf>
    <xf numFmtId="0" fontId="9" fillId="0" borderId="41" xfId="0" applyFont="1" applyBorder="1" applyAlignment="1">
      <alignment vertical="center" wrapText="1"/>
    </xf>
    <xf numFmtId="0" fontId="9" fillId="0" borderId="0" xfId="0" applyFont="1" applyBorder="1" applyAlignment="1">
      <alignment vertical="center" wrapText="1"/>
    </xf>
    <xf numFmtId="0" fontId="9" fillId="0" borderId="22" xfId="0" applyFont="1" applyBorder="1" applyAlignment="1">
      <alignment vertical="center" wrapText="1"/>
    </xf>
    <xf numFmtId="0" fontId="9" fillId="0" borderId="52" xfId="0" applyFont="1" applyBorder="1" applyAlignment="1">
      <alignment vertical="center" wrapText="1"/>
    </xf>
    <xf numFmtId="0" fontId="9" fillId="0" borderId="53" xfId="0" applyFont="1" applyBorder="1" applyAlignment="1">
      <alignment vertical="center" wrapText="1"/>
    </xf>
    <xf numFmtId="0" fontId="9" fillId="0" borderId="66" xfId="0" applyFont="1" applyFill="1" applyBorder="1" applyAlignment="1">
      <alignment horizontal="center" vertical="center"/>
    </xf>
    <xf numFmtId="0" fontId="9" fillId="0" borderId="37" xfId="0" applyFont="1" applyBorder="1" applyAlignment="1">
      <alignment horizontal="center" vertical="center"/>
    </xf>
    <xf numFmtId="0" fontId="14" fillId="0" borderId="10" xfId="0" applyFont="1" applyFill="1" applyBorder="1" applyAlignment="1">
      <alignment horizontal="left" vertical="top"/>
    </xf>
    <xf numFmtId="0" fontId="14" fillId="0" borderId="30" xfId="0" applyFont="1" applyBorder="1" applyAlignment="1">
      <alignment vertical="top"/>
    </xf>
    <xf numFmtId="0" fontId="9" fillId="0" borderId="27" xfId="0" applyFont="1" applyFill="1" applyBorder="1" applyAlignment="1">
      <alignment horizontal="left" vertical="top" wrapText="1"/>
    </xf>
    <xf numFmtId="0" fontId="9" fillId="0" borderId="22" xfId="0" applyFont="1" applyBorder="1" applyAlignment="1">
      <alignment horizontal="left" vertical="top" wrapText="1"/>
    </xf>
    <xf numFmtId="0" fontId="15" fillId="0" borderId="27" xfId="0" applyFont="1" applyFill="1" applyBorder="1" applyAlignment="1">
      <alignment horizontal="center" vertical="center" wrapText="1"/>
    </xf>
    <xf numFmtId="0" fontId="15" fillId="0" borderId="22" xfId="0" applyFont="1" applyBorder="1" applyAlignment="1">
      <alignment horizontal="center" vertical="center" wrapText="1"/>
    </xf>
    <xf numFmtId="0" fontId="9" fillId="0" borderId="25" xfId="0" applyFont="1" applyFill="1" applyBorder="1" applyAlignment="1">
      <alignment horizontal="center" vertical="center"/>
    </xf>
    <xf numFmtId="0" fontId="9" fillId="0" borderId="26" xfId="0" applyFont="1" applyBorder="1" applyAlignment="1">
      <alignment horizontal="center" vertical="center"/>
    </xf>
    <xf numFmtId="0" fontId="9" fillId="0" borderId="22" xfId="0" applyFont="1" applyBorder="1" applyAlignment="1">
      <alignment vertical="top" wrapText="1"/>
    </xf>
    <xf numFmtId="0" fontId="9" fillId="0" borderId="27" xfId="0" applyFont="1" applyBorder="1" applyAlignment="1">
      <alignment vertical="top" wrapText="1"/>
    </xf>
    <xf numFmtId="0" fontId="13" fillId="0" borderId="10" xfId="0" applyFont="1" applyFill="1" applyBorder="1" applyAlignment="1">
      <alignment horizontal="left" vertical="top"/>
    </xf>
    <xf numFmtId="0" fontId="13" fillId="0" borderId="30" xfId="0" applyFont="1" applyBorder="1" applyAlignment="1">
      <alignment vertical="top"/>
    </xf>
    <xf numFmtId="0" fontId="15" fillId="0" borderId="10" xfId="0" applyFont="1" applyFill="1" applyBorder="1" applyAlignment="1">
      <alignment horizontal="left" vertical="top"/>
    </xf>
    <xf numFmtId="0" fontId="9" fillId="0" borderId="30" xfId="0" applyFont="1" applyBorder="1" applyAlignment="1">
      <alignment vertical="top"/>
    </xf>
    <xf numFmtId="0" fontId="15" fillId="0" borderId="42" xfId="0" applyFont="1" applyFill="1" applyBorder="1" applyAlignment="1">
      <alignment horizontal="left" vertical="top"/>
    </xf>
    <xf numFmtId="0" fontId="9" fillId="0" borderId="31" xfId="0" applyFont="1" applyBorder="1" applyAlignment="1">
      <alignment vertical="top"/>
    </xf>
    <xf numFmtId="0" fontId="9" fillId="0" borderId="29" xfId="0" applyFont="1" applyBorder="1" applyAlignment="1">
      <alignment horizontal="center" vertical="center"/>
    </xf>
    <xf numFmtId="41" fontId="15" fillId="0" borderId="27" xfId="0" applyNumberFormat="1" applyFont="1" applyFill="1" applyBorder="1" applyAlignment="1">
      <alignment horizontal="center" vertical="top" wrapText="1"/>
    </xf>
    <xf numFmtId="41" fontId="15" fillId="0" borderId="30" xfId="0" applyNumberFormat="1" applyFont="1" applyBorder="1" applyAlignment="1">
      <alignment horizontal="center" vertical="top" wrapText="1"/>
    </xf>
    <xf numFmtId="41" fontId="9" fillId="0" borderId="27" xfId="0" applyNumberFormat="1" applyFont="1" applyFill="1" applyBorder="1" applyAlignment="1">
      <alignment horizontal="center" vertical="top" wrapText="1"/>
    </xf>
    <xf numFmtId="41" fontId="9" fillId="0" borderId="30" xfId="0" applyNumberFormat="1" applyFont="1" applyBorder="1" applyAlignment="1">
      <alignment horizontal="center" vertical="top" wrapText="1"/>
    </xf>
    <xf numFmtId="0" fontId="9" fillId="0" borderId="27" xfId="0" applyFont="1" applyFill="1" applyBorder="1" applyAlignment="1">
      <alignment horizontal="center" vertical="center" wrapText="1"/>
    </xf>
    <xf numFmtId="0" fontId="9" fillId="0" borderId="30" xfId="0" applyFont="1" applyBorder="1" applyAlignment="1">
      <alignment horizontal="center" vertical="center" wrapText="1"/>
    </xf>
    <xf numFmtId="0" fontId="9" fillId="0" borderId="32" xfId="0" applyFont="1" applyFill="1" applyBorder="1" applyAlignment="1">
      <alignment horizontal="center" vertical="center" wrapText="1"/>
    </xf>
    <xf numFmtId="0" fontId="9" fillId="0" borderId="31" xfId="0" applyFont="1" applyBorder="1" applyAlignment="1">
      <alignment horizontal="center" vertical="center" wrapText="1"/>
    </xf>
    <xf numFmtId="0" fontId="0" fillId="0" borderId="30" xfId="0" applyBorder="1" applyAlignment="1">
      <alignment horizontal="center" vertical="center" wrapText="1"/>
    </xf>
    <xf numFmtId="0" fontId="15" fillId="0" borderId="32" xfId="0" applyFont="1" applyFill="1" applyBorder="1" applyAlignment="1">
      <alignment horizontal="center" vertical="center" wrapText="1"/>
    </xf>
    <xf numFmtId="0" fontId="15" fillId="0" borderId="23" xfId="0" applyFont="1" applyBorder="1" applyAlignment="1">
      <alignment horizontal="center" vertical="center" wrapText="1"/>
    </xf>
    <xf numFmtId="0" fontId="13" fillId="0" borderId="11" xfId="0" applyFont="1" applyFill="1" applyBorder="1" applyAlignment="1">
      <alignment horizontal="justify" vertical="top" wrapText="1"/>
    </xf>
    <xf numFmtId="0" fontId="0" fillId="0" borderId="11" xfId="0" applyBorder="1" applyAlignment="1">
      <alignment horizontal="justify" vertical="top" wrapText="1"/>
    </xf>
    <xf numFmtId="0" fontId="9" fillId="0" borderId="28" xfId="0" applyFont="1" applyFill="1" applyBorder="1" applyAlignment="1">
      <alignment horizontal="center" vertical="center" wrapText="1"/>
    </xf>
    <xf numFmtId="0" fontId="9" fillId="0" borderId="15" xfId="0" applyFont="1" applyFill="1" applyBorder="1" applyAlignment="1">
      <alignment horizontal="center" vertical="center" wrapText="1"/>
    </xf>
    <xf numFmtId="0" fontId="9" fillId="0" borderId="11" xfId="0" applyFont="1" applyFill="1" applyBorder="1" applyAlignment="1">
      <alignment horizontal="left" vertical="top" wrapText="1"/>
    </xf>
    <xf numFmtId="0" fontId="0" fillId="0" borderId="13" xfId="0" applyBorder="1" applyAlignment="1">
      <alignment horizontal="left" vertical="top" wrapText="1"/>
    </xf>
    <xf numFmtId="0" fontId="13" fillId="0" borderId="33" xfId="0" applyFont="1" applyFill="1" applyBorder="1" applyAlignment="1">
      <alignment horizontal="distributed" vertical="center" indent="2"/>
    </xf>
    <xf numFmtId="0" fontId="13" fillId="0" borderId="17" xfId="0" applyFont="1" applyFill="1" applyBorder="1" applyAlignment="1">
      <alignment horizontal="distributed" vertical="center" indent="2"/>
    </xf>
    <xf numFmtId="0" fontId="13" fillId="0" borderId="49" xfId="0" applyFont="1" applyFill="1" applyBorder="1" applyAlignment="1">
      <alignment horizontal="distributed" vertical="center" indent="2"/>
    </xf>
    <xf numFmtId="0" fontId="13" fillId="0" borderId="24" xfId="0" applyFont="1" applyFill="1" applyBorder="1" applyAlignment="1">
      <alignment horizontal="center" vertical="center" wrapText="1"/>
    </xf>
    <xf numFmtId="0" fontId="13" fillId="0" borderId="28" xfId="0" applyFont="1" applyFill="1" applyBorder="1" applyAlignment="1">
      <alignment horizontal="center" vertical="center" wrapText="1"/>
    </xf>
    <xf numFmtId="0" fontId="13" fillId="0" borderId="15" xfId="0" applyFont="1" applyFill="1" applyBorder="1" applyAlignment="1">
      <alignment horizontal="center" vertical="center" wrapText="1"/>
    </xf>
    <xf numFmtId="0" fontId="9" fillId="0" borderId="43" xfId="0" applyFont="1" applyFill="1" applyBorder="1" applyAlignment="1">
      <alignment horizontal="distributed" vertical="center" wrapText="1" indent="2"/>
    </xf>
    <xf numFmtId="0" fontId="9" fillId="0" borderId="54" xfId="0" applyFont="1" applyFill="1" applyBorder="1" applyAlignment="1">
      <alignment horizontal="distributed" vertical="center" wrapText="1" indent="2"/>
    </xf>
    <xf numFmtId="0" fontId="9" fillId="0" borderId="55" xfId="0" applyFont="1" applyFill="1" applyBorder="1" applyAlignment="1">
      <alignment horizontal="distributed" vertical="center" wrapText="1" indent="2"/>
    </xf>
    <xf numFmtId="0" fontId="9" fillId="0" borderId="38" xfId="0" applyFont="1" applyFill="1" applyBorder="1" applyAlignment="1">
      <alignment horizontal="distributed" vertical="center" wrapText="1" indent="2"/>
    </xf>
    <xf numFmtId="0" fontId="9" fillId="0" borderId="11" xfId="0" applyFont="1" applyFill="1" applyBorder="1" applyAlignment="1">
      <alignment horizontal="distributed" vertical="center" wrapText="1" indent="2"/>
    </xf>
    <xf numFmtId="0" fontId="9" fillId="0" borderId="56" xfId="0" applyFont="1" applyFill="1" applyBorder="1" applyAlignment="1">
      <alignment horizontal="distributed" vertical="center" wrapText="1" indent="2"/>
    </xf>
    <xf numFmtId="177" fontId="9" fillId="0" borderId="28" xfId="0" applyNumberFormat="1" applyFont="1" applyFill="1" applyBorder="1" applyAlignment="1">
      <alignment horizontal="center" vertical="center" wrapText="1"/>
    </xf>
    <xf numFmtId="177" fontId="9" fillId="0" borderId="15" xfId="0" applyNumberFormat="1" applyFont="1" applyFill="1" applyBorder="1" applyAlignment="1">
      <alignment horizontal="center" vertical="center" wrapText="1"/>
    </xf>
    <xf numFmtId="0" fontId="108" fillId="0" borderId="11" xfId="0" applyFont="1" applyFill="1" applyBorder="1" applyAlignment="1">
      <alignment horizontal="left" vertical="top" wrapText="1"/>
    </xf>
    <xf numFmtId="0" fontId="9" fillId="0" borderId="11" xfId="0" applyFont="1" applyFill="1" applyBorder="1" applyAlignment="1">
      <alignment horizontal="justify" vertical="top" wrapText="1"/>
    </xf>
    <xf numFmtId="0" fontId="13" fillId="0" borderId="33" xfId="0" applyFont="1" applyFill="1" applyBorder="1" applyAlignment="1">
      <alignment horizontal="distributed" vertical="center" wrapText="1" indent="2"/>
    </xf>
    <xf numFmtId="0" fontId="13" fillId="0" borderId="17" xfId="0" applyFont="1" applyFill="1" applyBorder="1" applyAlignment="1">
      <alignment horizontal="distributed" vertical="center" wrapText="1" indent="2"/>
    </xf>
    <xf numFmtId="0" fontId="13" fillId="0" borderId="49" xfId="0" applyFont="1" applyFill="1" applyBorder="1" applyAlignment="1">
      <alignment horizontal="distributed" vertical="center" wrapText="1" indent="2"/>
    </xf>
    <xf numFmtId="0" fontId="13" fillId="0" borderId="24" xfId="0" applyFont="1" applyFill="1" applyBorder="1" applyAlignment="1">
      <alignment horizontal="distributed" vertical="center" wrapText="1" indent="1"/>
    </xf>
    <xf numFmtId="0" fontId="13" fillId="0" borderId="28" xfId="0" applyFont="1" applyFill="1" applyBorder="1" applyAlignment="1">
      <alignment horizontal="distributed" vertical="center" wrapText="1" indent="1"/>
    </xf>
    <xf numFmtId="0" fontId="13" fillId="0" borderId="15" xfId="0" applyFont="1" applyFill="1" applyBorder="1" applyAlignment="1">
      <alignment horizontal="distributed" vertical="center" wrapText="1" indent="1"/>
    </xf>
    <xf numFmtId="0" fontId="13" fillId="0" borderId="20" xfId="0" applyFont="1" applyFill="1" applyBorder="1" applyAlignment="1">
      <alignment horizontal="distributed" vertical="center" wrapText="1" indent="1"/>
    </xf>
    <xf numFmtId="0" fontId="13" fillId="0" borderId="44" xfId="0" applyFont="1" applyFill="1" applyBorder="1" applyAlignment="1">
      <alignment horizontal="distributed" vertical="center" wrapText="1" indent="1"/>
    </xf>
    <xf numFmtId="0" fontId="13" fillId="0" borderId="16" xfId="0" applyFont="1" applyFill="1" applyBorder="1" applyAlignment="1">
      <alignment horizontal="distributed" vertical="center" wrapText="1" indent="1"/>
    </xf>
    <xf numFmtId="0" fontId="9" fillId="0" borderId="20" xfId="0" applyFont="1" applyFill="1" applyBorder="1" applyAlignment="1">
      <alignment horizontal="distributed" vertical="center" wrapText="1" indent="1"/>
    </xf>
    <xf numFmtId="0" fontId="9" fillId="0" borderId="44" xfId="0" applyFont="1" applyFill="1" applyBorder="1" applyAlignment="1">
      <alignment horizontal="distributed" vertical="center" wrapText="1" indent="1"/>
    </xf>
    <xf numFmtId="0" fontId="9" fillId="0" borderId="16" xfId="0" applyFont="1" applyFill="1" applyBorder="1" applyAlignment="1">
      <alignment horizontal="distributed" vertical="center" wrapText="1" indent="1"/>
    </xf>
    <xf numFmtId="0" fontId="119" fillId="0" borderId="0" xfId="0" applyFont="1" applyBorder="1" applyAlignment="1">
      <alignment horizontal="center" vertical="center"/>
    </xf>
    <xf numFmtId="0" fontId="9" fillId="0" borderId="0" xfId="0" applyFont="1" applyBorder="1" applyAlignment="1">
      <alignment horizontal="center" vertical="center"/>
    </xf>
    <xf numFmtId="0" fontId="120" fillId="0" borderId="0" xfId="0" applyFont="1" applyFill="1" applyAlignment="1">
      <alignment horizontal="center" vertical="center"/>
    </xf>
    <xf numFmtId="0" fontId="89" fillId="0" borderId="27" xfId="0" applyFont="1" applyFill="1" applyBorder="1" applyAlignment="1">
      <alignment horizontal="left" vertical="top" wrapText="1"/>
    </xf>
    <xf numFmtId="0" fontId="89" fillId="0" borderId="22" xfId="0" applyFont="1" applyFill="1" applyBorder="1" applyAlignment="1">
      <alignment horizontal="left" vertical="top" wrapText="1"/>
    </xf>
    <xf numFmtId="0" fontId="9" fillId="0" borderId="0" xfId="0" applyFont="1" applyFill="1" applyBorder="1" applyAlignment="1">
      <alignment vertical="top" wrapText="1"/>
    </xf>
    <xf numFmtId="0" fontId="9" fillId="0" borderId="22" xfId="0" applyFont="1" applyFill="1" applyBorder="1" applyAlignment="1">
      <alignment vertical="top" wrapText="1"/>
    </xf>
    <xf numFmtId="0" fontId="9" fillId="0" borderId="0" xfId="0" applyFont="1" applyFill="1" applyBorder="1" applyAlignment="1">
      <alignment horizontal="left" vertical="top" wrapText="1"/>
    </xf>
    <xf numFmtId="0" fontId="126" fillId="0" borderId="0" xfId="0" applyFont="1" applyFill="1" applyBorder="1" applyAlignment="1">
      <alignment horizontal="left" vertical="top" wrapText="1"/>
    </xf>
    <xf numFmtId="0" fontId="13" fillId="0" borderId="0" xfId="0" applyFont="1" applyBorder="1" applyAlignment="1">
      <alignment horizontal="left" vertical="top" wrapText="1"/>
    </xf>
    <xf numFmtId="0" fontId="13" fillId="0" borderId="27" xfId="0" applyFont="1" applyBorder="1" applyAlignment="1">
      <alignment horizontal="justify" vertical="top" wrapText="1"/>
    </xf>
    <xf numFmtId="0" fontId="13" fillId="0" borderId="22" xfId="0" applyFont="1" applyBorder="1" applyAlignment="1">
      <alignment horizontal="justify" vertical="top" wrapText="1"/>
    </xf>
    <xf numFmtId="0" fontId="89" fillId="0" borderId="0" xfId="0" applyFont="1" applyFill="1" applyBorder="1" applyAlignment="1">
      <alignment horizontal="left" vertical="top" wrapText="1"/>
    </xf>
    <xf numFmtId="0" fontId="9" fillId="0" borderId="36" xfId="0" applyFont="1" applyFill="1" applyBorder="1" applyAlignment="1">
      <alignment vertical="top" wrapText="1"/>
    </xf>
    <xf numFmtId="0" fontId="9" fillId="0" borderId="23" xfId="0" applyFont="1" applyFill="1" applyBorder="1" applyAlignment="1">
      <alignment vertical="top" wrapText="1"/>
    </xf>
    <xf numFmtId="0" fontId="9" fillId="0" borderId="0" xfId="0" applyFont="1" applyBorder="1" applyAlignment="1">
      <alignment horizontal="left" vertical="top" wrapText="1"/>
    </xf>
    <xf numFmtId="0" fontId="6" fillId="0" borderId="0" xfId="0" applyFont="1" applyFill="1" applyBorder="1" applyAlignment="1">
      <alignment horizontal="center" vertical="center"/>
    </xf>
    <xf numFmtId="0" fontId="10" fillId="0" borderId="0" xfId="0" applyFont="1" applyBorder="1" applyAlignment="1">
      <alignment horizontal="center" vertical="center"/>
    </xf>
    <xf numFmtId="0" fontId="11" fillId="0" borderId="0" xfId="0" applyFont="1" applyBorder="1" applyAlignment="1">
      <alignment horizontal="center" vertical="center"/>
    </xf>
    <xf numFmtId="0" fontId="16" fillId="0" borderId="54" xfId="0" applyFont="1" applyBorder="1" applyAlignment="1">
      <alignment horizontal="distributed" vertical="center" indent="2"/>
    </xf>
    <xf numFmtId="0" fontId="16" fillId="0" borderId="45" xfId="0" applyFont="1" applyBorder="1" applyAlignment="1">
      <alignment horizontal="distributed" vertical="center" indent="2"/>
    </xf>
    <xf numFmtId="0" fontId="89" fillId="0" borderId="0" xfId="45" applyFont="1" applyFill="1" applyBorder="1" applyAlignment="1">
      <alignment horizontal="left" vertical="top" wrapText="1"/>
    </xf>
    <xf numFmtId="0" fontId="89" fillId="0" borderId="22" xfId="45" applyFont="1" applyFill="1" applyBorder="1" applyAlignment="1">
      <alignment horizontal="left" vertical="top" wrapText="1"/>
    </xf>
    <xf numFmtId="0" fontId="119" fillId="0" borderId="27" xfId="0" applyFont="1" applyFill="1" applyBorder="1" applyAlignment="1">
      <alignment horizontal="left" vertical="top" wrapText="1"/>
    </xf>
    <xf numFmtId="0" fontId="9" fillId="0" borderId="27" xfId="0" applyFont="1" applyBorder="1" applyAlignment="1">
      <alignment horizontal="left" vertical="top" wrapText="1"/>
    </xf>
    <xf numFmtId="0" fontId="16" fillId="0" borderId="43" xfId="0" applyFont="1" applyBorder="1" applyAlignment="1">
      <alignment horizontal="distributed" vertical="center" indent="2"/>
    </xf>
    <xf numFmtId="0" fontId="6" fillId="0" borderId="0" xfId="0" applyFont="1" applyFill="1" applyAlignment="1">
      <alignment horizontal="center" vertical="center" wrapText="1"/>
    </xf>
    <xf numFmtId="0" fontId="9" fillId="0" borderId="0" xfId="0" applyFont="1" applyAlignment="1">
      <alignment horizontal="center" vertical="center" wrapText="1"/>
    </xf>
    <xf numFmtId="0" fontId="10" fillId="0" borderId="0" xfId="0" applyFont="1" applyFill="1" applyAlignment="1">
      <alignment horizontal="center" vertical="center" wrapText="1"/>
    </xf>
    <xf numFmtId="0" fontId="11" fillId="0" borderId="0" xfId="0" applyFont="1" applyFill="1" applyAlignment="1">
      <alignment horizontal="center" vertical="center" wrapText="1"/>
    </xf>
    <xf numFmtId="0" fontId="11" fillId="0" borderId="0" xfId="0" applyFont="1" applyAlignment="1">
      <alignment horizontal="center" vertical="center" wrapText="1"/>
    </xf>
    <xf numFmtId="0" fontId="9" fillId="0" borderId="36" xfId="112" applyFont="1" applyBorder="1" applyAlignment="1">
      <alignment horizontal="center" vertical="center"/>
    </xf>
    <xf numFmtId="0" fontId="0" fillId="0" borderId="36" xfId="0" applyBorder="1" applyAlignment="1">
      <alignment vertical="center"/>
    </xf>
    <xf numFmtId="0" fontId="13" fillId="0" borderId="33" xfId="213" applyFont="1" applyFill="1" applyBorder="1" applyAlignment="1">
      <alignment horizontal="distributed" vertical="center"/>
    </xf>
    <xf numFmtId="0" fontId="13" fillId="0" borderId="49" xfId="213" applyFont="1" applyFill="1" applyBorder="1" applyAlignment="1">
      <alignment horizontal="distributed" vertical="center"/>
    </xf>
    <xf numFmtId="0" fontId="13" fillId="0" borderId="24" xfId="213" applyFont="1" applyFill="1" applyBorder="1" applyAlignment="1">
      <alignment horizontal="center" vertical="center"/>
    </xf>
    <xf numFmtId="0" fontId="13" fillId="0" borderId="34" xfId="213" applyFont="1" applyFill="1" applyBorder="1" applyAlignment="1">
      <alignment horizontal="distributed" vertical="center" wrapText="1"/>
    </xf>
    <xf numFmtId="0" fontId="13" fillId="0" borderId="46" xfId="213" applyFont="1" applyFill="1" applyBorder="1" applyAlignment="1">
      <alignment horizontal="distributed" vertical="center"/>
    </xf>
    <xf numFmtId="0" fontId="13" fillId="0" borderId="34" xfId="213" applyFont="1" applyFill="1" applyBorder="1" applyAlignment="1">
      <alignment horizontal="distributed" vertical="center"/>
    </xf>
    <xf numFmtId="41" fontId="13" fillId="0" borderId="38" xfId="213" applyNumberFormat="1" applyFont="1" applyFill="1" applyBorder="1" applyAlignment="1">
      <alignment horizontal="center" vertical="center"/>
    </xf>
    <xf numFmtId="41" fontId="13" fillId="0" borderId="56" xfId="213" applyNumberFormat="1" applyFont="1" applyFill="1" applyBorder="1" applyAlignment="1">
      <alignment horizontal="center" vertical="center"/>
    </xf>
    <xf numFmtId="179" fontId="9" fillId="0" borderId="25" xfId="112" applyNumberFormat="1" applyFont="1" applyFill="1" applyBorder="1" applyAlignment="1">
      <alignment horizontal="justify" vertical="top" wrapText="1"/>
    </xf>
    <xf numFmtId="0" fontId="9" fillId="0" borderId="26" xfId="0" applyFont="1" applyBorder="1" applyAlignment="1">
      <alignment vertical="top"/>
    </xf>
    <xf numFmtId="0" fontId="9" fillId="0" borderId="27" xfId="0" applyFont="1" applyBorder="1" applyAlignment="1">
      <alignment vertical="top"/>
    </xf>
    <xf numFmtId="179" fontId="9" fillId="0" borderId="22" xfId="112" applyNumberFormat="1" applyFont="1" applyFill="1" applyBorder="1" applyAlignment="1">
      <alignment horizontal="justify" vertical="top" wrapText="1"/>
    </xf>
    <xf numFmtId="0" fontId="9" fillId="0" borderId="22" xfId="0" applyFont="1" applyBorder="1" applyAlignment="1">
      <alignment horizontal="justify" vertical="top" wrapText="1"/>
    </xf>
    <xf numFmtId="179" fontId="13" fillId="0" borderId="22" xfId="112" applyNumberFormat="1" applyFont="1" applyFill="1" applyBorder="1" applyAlignment="1">
      <alignment horizontal="justify" vertical="top" wrapText="1"/>
    </xf>
    <xf numFmtId="0" fontId="9" fillId="0" borderId="43" xfId="112" applyFont="1" applyBorder="1" applyAlignment="1">
      <alignment horizontal="distributed" vertical="center"/>
    </xf>
    <xf numFmtId="0" fontId="9" fillId="0" borderId="45" xfId="0" applyFont="1" applyBorder="1" applyAlignment="1">
      <alignment horizontal="distributed" vertical="center"/>
    </xf>
    <xf numFmtId="0" fontId="28" fillId="0" borderId="0" xfId="0" applyFont="1" applyFill="1" applyAlignment="1">
      <alignment vertical="center" wrapText="1"/>
    </xf>
    <xf numFmtId="0" fontId="28" fillId="0" borderId="0" xfId="0" applyFont="1" applyAlignment="1">
      <alignment vertical="center" wrapText="1"/>
    </xf>
    <xf numFmtId="0" fontId="33" fillId="0" borderId="40" xfId="0" applyFont="1" applyFill="1" applyBorder="1" applyAlignment="1">
      <alignment vertical="top" wrapText="1"/>
    </xf>
    <xf numFmtId="0" fontId="9" fillId="0" borderId="33" xfId="0" applyFont="1" applyFill="1" applyBorder="1" applyAlignment="1">
      <alignment horizontal="distributed" vertical="center" wrapText="1"/>
    </xf>
    <xf numFmtId="0" fontId="9" fillId="0" borderId="17" xfId="0" applyFont="1" applyFill="1" applyBorder="1" applyAlignment="1">
      <alignment horizontal="distributed" vertical="center"/>
    </xf>
    <xf numFmtId="0" fontId="9" fillId="0" borderId="49" xfId="0" applyFont="1" applyFill="1" applyBorder="1" applyAlignment="1">
      <alignment horizontal="distributed" vertical="center"/>
    </xf>
    <xf numFmtId="0" fontId="9" fillId="0" borderId="34" xfId="0" applyFont="1" applyFill="1" applyBorder="1" applyAlignment="1">
      <alignment horizontal="distributed" vertical="center" wrapText="1" indent="2"/>
    </xf>
    <xf numFmtId="0" fontId="9" fillId="0" borderId="18" xfId="0" applyFont="1" applyFill="1" applyBorder="1" applyAlignment="1">
      <alignment horizontal="distributed" vertical="center" wrapText="1" indent="2"/>
    </xf>
    <xf numFmtId="0" fontId="9" fillId="0" borderId="46" xfId="0" applyFont="1" applyFill="1" applyBorder="1" applyAlignment="1">
      <alignment horizontal="distributed" vertical="center" wrapText="1" indent="2"/>
    </xf>
    <xf numFmtId="0" fontId="13" fillId="0" borderId="38" xfId="0" applyFont="1" applyFill="1" applyBorder="1" applyAlignment="1">
      <alignment horizontal="distributed" vertical="center" wrapText="1"/>
    </xf>
    <xf numFmtId="0" fontId="9" fillId="0" borderId="11" xfId="0" applyFont="1" applyFill="1" applyBorder="1" applyAlignment="1">
      <alignment horizontal="distributed" vertical="center" wrapText="1"/>
    </xf>
    <xf numFmtId="0" fontId="9" fillId="0" borderId="56" xfId="0" applyFont="1" applyFill="1" applyBorder="1" applyAlignment="1">
      <alignment horizontal="distributed" vertical="center" wrapText="1"/>
    </xf>
    <xf numFmtId="0" fontId="9" fillId="0" borderId="34" xfId="0" applyFont="1" applyFill="1" applyBorder="1" applyAlignment="1">
      <alignment horizontal="distributed" vertical="center" wrapText="1"/>
    </xf>
    <xf numFmtId="0" fontId="9" fillId="0" borderId="18" xfId="0" applyFont="1" applyFill="1" applyBorder="1" applyAlignment="1">
      <alignment horizontal="distributed" vertical="center"/>
    </xf>
    <xf numFmtId="0" fontId="9" fillId="0" borderId="46" xfId="0" applyFont="1" applyFill="1" applyBorder="1" applyAlignment="1">
      <alignment horizontal="distributed" vertical="center"/>
    </xf>
    <xf numFmtId="0" fontId="108" fillId="29" borderId="16" xfId="0" applyFont="1" applyFill="1" applyBorder="1" applyAlignment="1">
      <alignment horizontal="left" vertical="top" wrapText="1"/>
    </xf>
    <xf numFmtId="0" fontId="108" fillId="29" borderId="11" xfId="0" applyFont="1" applyFill="1" applyBorder="1" applyAlignment="1">
      <alignment horizontal="left" vertical="top" wrapText="1"/>
    </xf>
    <xf numFmtId="0" fontId="56" fillId="29" borderId="40" xfId="0" applyFont="1" applyFill="1" applyBorder="1" applyAlignment="1">
      <alignment horizontal="left" vertical="top" wrapText="1"/>
    </xf>
    <xf numFmtId="0" fontId="28" fillId="29" borderId="40" xfId="0" applyFont="1" applyFill="1" applyBorder="1" applyAlignment="1">
      <alignment horizontal="left" vertical="top"/>
    </xf>
    <xf numFmtId="0" fontId="13" fillId="0" borderId="36" xfId="0" applyFont="1" applyFill="1" applyBorder="1" applyAlignment="1">
      <alignment horizontal="center" vertical="center"/>
    </xf>
    <xf numFmtId="0" fontId="13" fillId="0" borderId="33" xfId="0" applyFont="1" applyFill="1" applyBorder="1" applyAlignment="1">
      <alignment horizontal="distributed" vertical="center" wrapText="1" indent="1"/>
    </xf>
    <xf numFmtId="0" fontId="9" fillId="0" borderId="49" xfId="0" applyFont="1" applyBorder="1" applyAlignment="1">
      <alignment horizontal="distributed" vertical="center" wrapText="1" indent="1"/>
    </xf>
    <xf numFmtId="0" fontId="13" fillId="0" borderId="34" xfId="0" applyFont="1" applyFill="1" applyBorder="1" applyAlignment="1">
      <alignment horizontal="center" vertical="center" wrapText="1"/>
    </xf>
    <xf numFmtId="0" fontId="9" fillId="0" borderId="46" xfId="0" applyFont="1" applyBorder="1" applyAlignment="1">
      <alignment horizontal="center" vertical="center" wrapText="1"/>
    </xf>
    <xf numFmtId="0" fontId="13" fillId="0" borderId="38" xfId="0" applyFont="1" applyFill="1" applyBorder="1" applyAlignment="1">
      <alignment horizontal="distributed" vertical="center" wrapText="1" indent="1"/>
    </xf>
    <xf numFmtId="0" fontId="9" fillId="0" borderId="56" xfId="0" applyFont="1" applyBorder="1" applyAlignment="1">
      <alignment horizontal="distributed" vertical="center" wrapText="1" indent="1"/>
    </xf>
    <xf numFmtId="0" fontId="111" fillId="29" borderId="0" xfId="112" applyFont="1" applyFill="1" applyAlignment="1">
      <alignment horizontal="left" vertical="top" wrapText="1"/>
    </xf>
    <xf numFmtId="0" fontId="114" fillId="29" borderId="0" xfId="112" applyFont="1" applyFill="1" applyAlignment="1">
      <alignment horizontal="left" vertical="top" wrapText="1"/>
    </xf>
    <xf numFmtId="0" fontId="13" fillId="0" borderId="36" xfId="112" applyFont="1" applyBorder="1" applyAlignment="1">
      <alignment horizontal="center" vertical="center"/>
    </xf>
    <xf numFmtId="0" fontId="23" fillId="0" borderId="40" xfId="0" applyFont="1" applyFill="1" applyBorder="1" applyAlignment="1">
      <alignment horizontal="left" vertical="center" wrapText="1"/>
    </xf>
    <xf numFmtId="0" fontId="13" fillId="0" borderId="43" xfId="0" applyFont="1" applyBorder="1" applyAlignment="1">
      <alignment horizontal="distributed" vertical="center" wrapText="1" indent="1"/>
    </xf>
    <xf numFmtId="0" fontId="13" fillId="0" borderId="45" xfId="0" applyFont="1" applyBorder="1" applyAlignment="1">
      <alignment horizontal="distributed" vertical="center" wrapText="1" indent="1"/>
    </xf>
    <xf numFmtId="0" fontId="19" fillId="0" borderId="27" xfId="0" applyFont="1" applyFill="1" applyBorder="1" applyAlignment="1">
      <alignment horizontal="justify" vertical="top" wrapText="1"/>
    </xf>
    <xf numFmtId="0" fontId="19" fillId="0" borderId="22" xfId="0" applyFont="1" applyFill="1" applyBorder="1" applyAlignment="1">
      <alignment horizontal="justify" vertical="top" wrapText="1"/>
    </xf>
    <xf numFmtId="0" fontId="13" fillId="0" borderId="36" xfId="0" applyFont="1" applyBorder="1" applyAlignment="1">
      <alignment horizontal="center" vertical="center"/>
    </xf>
    <xf numFmtId="0" fontId="110" fillId="0" borderId="22" xfId="0" applyFont="1" applyBorder="1" applyAlignment="1">
      <alignment horizontal="left" vertical="top" wrapText="1"/>
    </xf>
    <xf numFmtId="0" fontId="9" fillId="0" borderId="34" xfId="0" applyFont="1" applyFill="1" applyBorder="1" applyAlignment="1">
      <alignment horizontal="center" vertical="center" wrapText="1"/>
    </xf>
    <xf numFmtId="0" fontId="9" fillId="0" borderId="18" xfId="0" applyFont="1" applyFill="1" applyBorder="1" applyAlignment="1">
      <alignment horizontal="center" vertical="center" wrapText="1"/>
    </xf>
    <xf numFmtId="0" fontId="9" fillId="0" borderId="43" xfId="0" applyFont="1" applyFill="1" applyBorder="1" applyAlignment="1">
      <alignment horizontal="distributed" vertical="center" wrapText="1" indent="1"/>
    </xf>
    <xf numFmtId="0" fontId="9" fillId="0" borderId="54" xfId="0" applyFont="1" applyFill="1" applyBorder="1" applyAlignment="1">
      <alignment horizontal="distributed" vertical="center" wrapText="1" indent="1"/>
    </xf>
    <xf numFmtId="0" fontId="9" fillId="0" borderId="45" xfId="0" applyFont="1" applyFill="1" applyBorder="1" applyAlignment="1">
      <alignment horizontal="distributed" vertical="center" wrapText="1" indent="1"/>
    </xf>
    <xf numFmtId="0" fontId="121" fillId="0" borderId="0" xfId="0" applyFont="1" applyFill="1" applyAlignment="1">
      <alignment horizontal="center" vertical="center"/>
    </xf>
    <xf numFmtId="0" fontId="9" fillId="0" borderId="0" xfId="0" applyFont="1" applyFill="1" applyBorder="1" applyAlignment="1">
      <alignment horizontal="left" vertical="center"/>
    </xf>
    <xf numFmtId="0" fontId="13" fillId="0" borderId="36" xfId="0" applyFont="1" applyFill="1" applyBorder="1" applyAlignment="1">
      <alignment horizontal="right" vertical="center"/>
    </xf>
    <xf numFmtId="0" fontId="9" fillId="0" borderId="36" xfId="0" applyFont="1" applyFill="1" applyBorder="1" applyAlignment="1">
      <alignment horizontal="right" vertical="center"/>
    </xf>
    <xf numFmtId="0" fontId="13" fillId="0" borderId="43" xfId="0" applyFont="1" applyFill="1" applyBorder="1" applyAlignment="1">
      <alignment horizontal="distributed" vertical="center" wrapText="1"/>
    </xf>
    <xf numFmtId="0" fontId="9" fillId="0" borderId="54" xfId="0" applyFont="1" applyFill="1" applyBorder="1" applyAlignment="1">
      <alignment horizontal="distributed" vertical="center" wrapText="1"/>
    </xf>
    <xf numFmtId="0" fontId="9" fillId="0" borderId="34" xfId="0" applyFont="1" applyFill="1" applyBorder="1" applyAlignment="1">
      <alignment horizontal="distributed" vertical="center" wrapText="1" indent="1"/>
    </xf>
    <xf numFmtId="0" fontId="9" fillId="0" borderId="46" xfId="0" applyFont="1" applyBorder="1" applyAlignment="1">
      <alignment horizontal="distributed" vertical="center" indent="1"/>
    </xf>
    <xf numFmtId="0" fontId="9" fillId="0" borderId="55" xfId="0" applyFont="1" applyFill="1" applyBorder="1" applyAlignment="1">
      <alignment horizontal="distributed" vertical="center" wrapText="1"/>
    </xf>
    <xf numFmtId="0" fontId="9" fillId="0" borderId="33" xfId="0" applyFont="1" applyFill="1" applyBorder="1" applyAlignment="1">
      <alignment horizontal="center" vertical="center" wrapText="1"/>
    </xf>
    <xf numFmtId="0" fontId="9" fillId="0" borderId="17" xfId="0" applyFont="1" applyFill="1" applyBorder="1" applyAlignment="1">
      <alignment horizontal="center" vertical="center" wrapText="1"/>
    </xf>
    <xf numFmtId="0" fontId="11" fillId="0" borderId="0" xfId="0" applyFont="1" applyFill="1" applyAlignment="1">
      <alignment horizontal="left" vertical="center"/>
    </xf>
    <xf numFmtId="0" fontId="0" fillId="0" borderId="54" xfId="0" applyBorder="1" applyAlignment="1">
      <alignment horizontal="distributed" vertical="center" wrapText="1"/>
    </xf>
    <xf numFmtId="0" fontId="0" fillId="0" borderId="55" xfId="0" applyBorder="1" applyAlignment="1">
      <alignment horizontal="distributed" vertical="center" wrapText="1"/>
    </xf>
    <xf numFmtId="0" fontId="9" fillId="0" borderId="24" xfId="0" applyFont="1" applyBorder="1" applyAlignment="1">
      <alignment horizontal="distributed" vertical="distributed" wrapText="1" indent="2"/>
    </xf>
    <xf numFmtId="0" fontId="9" fillId="0" borderId="38" xfId="0" applyFont="1" applyBorder="1" applyAlignment="1">
      <alignment horizontal="distributed" vertical="center" wrapText="1"/>
    </xf>
    <xf numFmtId="0" fontId="9" fillId="0" borderId="56" xfId="0" applyFont="1" applyBorder="1" applyAlignment="1">
      <alignment horizontal="distributed"/>
    </xf>
    <xf numFmtId="0" fontId="9" fillId="0" borderId="33" xfId="0" applyFont="1" applyBorder="1" applyAlignment="1">
      <alignment horizontal="distributed" vertical="center" wrapText="1" indent="2"/>
    </xf>
    <xf numFmtId="0" fontId="9" fillId="0" borderId="49" xfId="0" applyFont="1" applyBorder="1" applyAlignment="1">
      <alignment horizontal="distributed" vertical="center" wrapText="1" indent="2"/>
    </xf>
    <xf numFmtId="182" fontId="9" fillId="0" borderId="27" xfId="0" applyNumberFormat="1" applyFont="1" applyFill="1" applyBorder="1" applyAlignment="1">
      <alignment horizontal="left" vertical="top" wrapText="1"/>
    </xf>
    <xf numFmtId="182" fontId="9" fillId="0" borderId="0" xfId="0" applyNumberFormat="1" applyFont="1" applyFill="1" applyBorder="1" applyAlignment="1">
      <alignment horizontal="left" vertical="top" wrapText="1"/>
    </xf>
    <xf numFmtId="182" fontId="9" fillId="0" borderId="22" xfId="0" applyNumberFormat="1" applyFont="1" applyFill="1" applyBorder="1" applyAlignment="1">
      <alignment horizontal="left" vertical="top" wrapText="1"/>
    </xf>
    <xf numFmtId="0" fontId="60" fillId="0" borderId="15" xfId="0" applyFont="1" applyFill="1" applyBorder="1" applyAlignment="1">
      <alignment horizontal="center" vertical="center" wrapText="1"/>
    </xf>
    <xf numFmtId="0" fontId="60" fillId="0" borderId="46" xfId="0" applyFont="1" applyFill="1" applyBorder="1" applyAlignment="1">
      <alignment horizontal="center" vertical="center" wrapText="1"/>
    </xf>
    <xf numFmtId="0" fontId="60" fillId="0" borderId="15" xfId="0" applyFont="1" applyFill="1" applyBorder="1" applyAlignment="1">
      <alignment horizontal="center" vertical="top" wrapText="1"/>
    </xf>
    <xf numFmtId="0" fontId="60" fillId="0" borderId="46" xfId="0" applyFont="1" applyFill="1" applyBorder="1" applyAlignment="1">
      <alignment horizontal="center" vertical="top" wrapText="1"/>
    </xf>
    <xf numFmtId="0" fontId="60" fillId="0" borderId="28" xfId="0" applyFont="1" applyFill="1" applyBorder="1" applyAlignment="1">
      <alignment horizontal="center" vertical="center" wrapText="1"/>
    </xf>
    <xf numFmtId="0" fontId="60" fillId="0" borderId="28" xfId="0" applyFont="1" applyFill="1" applyBorder="1" applyAlignment="1">
      <alignment horizontal="distributed" vertical="center" wrapText="1" indent="1"/>
    </xf>
    <xf numFmtId="49" fontId="19" fillId="0" borderId="0" xfId="0" applyNumberFormat="1" applyFont="1" applyFill="1" applyBorder="1" applyAlignment="1">
      <alignment horizontal="justify" vertical="top" wrapText="1"/>
    </xf>
    <xf numFmtId="49" fontId="19" fillId="0" borderId="22" xfId="0" applyNumberFormat="1" applyFont="1" applyFill="1" applyBorder="1" applyAlignment="1">
      <alignment horizontal="justify" vertical="top" wrapText="1"/>
    </xf>
    <xf numFmtId="49" fontId="20" fillId="0" borderId="0" xfId="0" applyNumberFormat="1" applyFont="1" applyBorder="1" applyAlignment="1">
      <alignment horizontal="center" vertical="top" wrapText="1"/>
    </xf>
    <xf numFmtId="49" fontId="20" fillId="0" borderId="36" xfId="0" applyNumberFormat="1" applyFont="1" applyBorder="1" applyAlignment="1">
      <alignment horizontal="center" vertical="top" wrapText="1"/>
    </xf>
    <xf numFmtId="182" fontId="13" fillId="0" borderId="0" xfId="0" applyNumberFormat="1" applyFont="1" applyFill="1" applyBorder="1" applyAlignment="1">
      <alignment horizontal="justify" vertical="top" wrapText="1"/>
    </xf>
    <xf numFmtId="0" fontId="0" fillId="0" borderId="22" xfId="0" applyBorder="1" applyAlignment="1">
      <alignment horizontal="justify" vertical="top" wrapText="1"/>
    </xf>
    <xf numFmtId="0" fontId="0" fillId="0" borderId="0" xfId="0" applyBorder="1" applyAlignment="1">
      <alignment horizontal="justify" vertical="top" wrapText="1"/>
    </xf>
    <xf numFmtId="0" fontId="0" fillId="0" borderId="0" xfId="0" applyAlignment="1">
      <alignment horizontal="justify" vertical="top" wrapText="1"/>
    </xf>
    <xf numFmtId="182" fontId="13" fillId="0" borderId="27" xfId="0" applyNumberFormat="1" applyFont="1" applyFill="1" applyBorder="1" applyAlignment="1">
      <alignment horizontal="center" vertical="top" wrapText="1"/>
    </xf>
    <xf numFmtId="182" fontId="13" fillId="0" borderId="0" xfId="0" applyNumberFormat="1" applyFont="1" applyFill="1" applyBorder="1" applyAlignment="1">
      <alignment horizontal="center" vertical="top" wrapText="1"/>
    </xf>
    <xf numFmtId="182" fontId="13" fillId="0" borderId="22" xfId="0" applyNumberFormat="1" applyFont="1" applyFill="1" applyBorder="1" applyAlignment="1">
      <alignment horizontal="center" vertical="top" wrapText="1"/>
    </xf>
    <xf numFmtId="182" fontId="13" fillId="0" borderId="32" xfId="0" applyNumberFormat="1" applyFont="1" applyFill="1" applyBorder="1" applyAlignment="1">
      <alignment horizontal="center" vertical="top" wrapText="1"/>
    </xf>
    <xf numFmtId="182" fontId="13" fillId="0" borderId="36" xfId="0" applyNumberFormat="1" applyFont="1" applyFill="1" applyBorder="1" applyAlignment="1">
      <alignment horizontal="center" vertical="top" wrapText="1"/>
    </xf>
    <xf numFmtId="182" fontId="13" fillId="0" borderId="23" xfId="0" applyNumberFormat="1" applyFont="1" applyFill="1" applyBorder="1" applyAlignment="1">
      <alignment horizontal="center" vertical="top" wrapText="1"/>
    </xf>
    <xf numFmtId="182" fontId="13" fillId="0" borderId="27" xfId="0" applyNumberFormat="1" applyFont="1" applyFill="1" applyBorder="1" applyAlignment="1">
      <alignment horizontal="justify" vertical="top" wrapText="1"/>
    </xf>
    <xf numFmtId="182" fontId="13" fillId="0" borderId="22" xfId="0" applyNumberFormat="1" applyFont="1" applyFill="1" applyBorder="1" applyAlignment="1">
      <alignment horizontal="justify" vertical="top" wrapText="1"/>
    </xf>
    <xf numFmtId="182" fontId="13" fillId="0" borderId="0" xfId="0" applyNumberFormat="1" applyFont="1" applyFill="1" applyBorder="1" applyAlignment="1">
      <alignment horizontal="justify" vertical="justify" wrapText="1"/>
    </xf>
    <xf numFmtId="182" fontId="13" fillId="0" borderId="22" xfId="0" applyNumberFormat="1" applyFont="1" applyFill="1" applyBorder="1" applyAlignment="1">
      <alignment horizontal="justify" vertical="justify" wrapText="1"/>
    </xf>
    <xf numFmtId="0" fontId="13" fillId="0" borderId="0" xfId="0" applyFont="1" applyFill="1" applyBorder="1" applyAlignment="1">
      <alignment horizontal="justify" vertical="justify" wrapText="1"/>
    </xf>
    <xf numFmtId="0" fontId="13" fillId="0" borderId="22" xfId="0" applyFont="1" applyFill="1" applyBorder="1" applyAlignment="1">
      <alignment horizontal="justify" vertical="justify" wrapText="1"/>
    </xf>
    <xf numFmtId="0" fontId="13" fillId="0" borderId="0" xfId="0" applyFont="1" applyFill="1" applyBorder="1" applyAlignment="1">
      <alignment horizontal="justify" vertical="top" wrapText="1"/>
    </xf>
    <xf numFmtId="0" fontId="13" fillId="0" borderId="22" xfId="0" applyFont="1" applyFill="1" applyBorder="1" applyAlignment="1">
      <alignment horizontal="justify" vertical="top" wrapText="1"/>
    </xf>
    <xf numFmtId="49" fontId="19" fillId="0" borderId="23" xfId="0" applyNumberFormat="1" applyFont="1" applyFill="1" applyBorder="1" applyAlignment="1">
      <alignment horizontal="justify" vertical="top" wrapText="1"/>
    </xf>
    <xf numFmtId="0" fontId="9" fillId="0" borderId="22" xfId="20" applyNumberFormat="1" applyFont="1" applyBorder="1" applyAlignment="1">
      <alignment horizontal="justify" vertical="top" wrapText="1"/>
    </xf>
    <xf numFmtId="0" fontId="13" fillId="0" borderId="22" xfId="20" applyNumberFormat="1" applyFont="1" applyBorder="1" applyAlignment="1">
      <alignment horizontal="justify" vertical="top" wrapText="1"/>
    </xf>
    <xf numFmtId="0" fontId="119" fillId="0" borderId="22" xfId="20" applyNumberFormat="1" applyFont="1" applyBorder="1" applyAlignment="1">
      <alignment horizontal="left" vertical="top" wrapText="1"/>
    </xf>
    <xf numFmtId="0" fontId="9" fillId="0" borderId="22" xfId="20" applyNumberFormat="1" applyFont="1" applyBorder="1" applyAlignment="1">
      <alignment horizontal="left" vertical="top" wrapText="1"/>
    </xf>
    <xf numFmtId="0" fontId="9" fillId="0" borderId="22" xfId="20" applyFont="1" applyBorder="1" applyAlignment="1">
      <alignment horizontal="justify" vertical="top" wrapText="1"/>
    </xf>
    <xf numFmtId="0" fontId="119" fillId="0" borderId="22" xfId="20" applyNumberFormat="1" applyFont="1" applyBorder="1" applyAlignment="1">
      <alignment horizontal="justify" vertical="top" wrapText="1"/>
    </xf>
    <xf numFmtId="0" fontId="9" fillId="0" borderId="18" xfId="0" applyFont="1" applyBorder="1">
      <alignment vertical="center"/>
    </xf>
    <xf numFmtId="0" fontId="9" fillId="0" borderId="46" xfId="0" applyFont="1" applyBorder="1">
      <alignment vertical="center"/>
    </xf>
    <xf numFmtId="0" fontId="9" fillId="0" borderId="68" xfId="0" applyFont="1" applyFill="1" applyBorder="1" applyAlignment="1">
      <alignment horizontal="distributed" vertical="center" wrapText="1" indent="1"/>
    </xf>
    <xf numFmtId="0" fontId="9" fillId="0" borderId="22" xfId="20" applyNumberFormat="1" applyFont="1" applyFill="1" applyBorder="1" applyAlignment="1">
      <alignment horizontal="left" vertical="top" wrapText="1"/>
    </xf>
    <xf numFmtId="0" fontId="9" fillId="0" borderId="23" xfId="20" applyNumberFormat="1" applyFont="1" applyFill="1" applyBorder="1" applyAlignment="1">
      <alignment horizontal="left" vertical="top" wrapText="1"/>
    </xf>
    <xf numFmtId="0" fontId="119" fillId="0" borderId="27" xfId="0" applyNumberFormat="1" applyFont="1" applyFill="1" applyBorder="1" applyAlignment="1">
      <alignment horizontal="justify" vertical="top" wrapText="1"/>
    </xf>
    <xf numFmtId="0" fontId="9" fillId="0" borderId="22" xfId="0" applyNumberFormat="1" applyFont="1" applyFill="1" applyBorder="1" applyAlignment="1">
      <alignment horizontal="justify" vertical="top" wrapText="1"/>
    </xf>
    <xf numFmtId="0" fontId="23" fillId="0" borderId="22" xfId="0" applyNumberFormat="1" applyFont="1" applyFill="1" applyBorder="1" applyAlignment="1">
      <alignment horizontal="left" vertical="top" wrapText="1"/>
    </xf>
    <xf numFmtId="0" fontId="23" fillId="0" borderId="22" xfId="0" applyFont="1" applyBorder="1" applyAlignment="1">
      <alignment horizontal="left" vertical="top" wrapText="1"/>
    </xf>
    <xf numFmtId="0" fontId="9" fillId="0" borderId="43" xfId="20" applyFont="1" applyFill="1" applyBorder="1" applyAlignment="1">
      <alignment horizontal="distributed" vertical="center" indent="1"/>
    </xf>
    <xf numFmtId="0" fontId="9" fillId="0" borderId="45" xfId="20" applyFont="1" applyFill="1" applyBorder="1" applyAlignment="1">
      <alignment horizontal="distributed" vertical="center" indent="1"/>
    </xf>
    <xf numFmtId="0" fontId="13" fillId="0" borderId="27" xfId="0" applyNumberFormat="1" applyFont="1" applyFill="1" applyBorder="1" applyAlignment="1">
      <alignment horizontal="justify" vertical="top" wrapText="1"/>
    </xf>
    <xf numFmtId="0" fontId="13" fillId="0" borderId="22" xfId="0" applyNumberFormat="1" applyFont="1" applyFill="1" applyBorder="1" applyAlignment="1">
      <alignment horizontal="justify" vertical="top" wrapText="1"/>
    </xf>
    <xf numFmtId="0" fontId="13" fillId="0" borderId="32" xfId="0" applyNumberFormat="1" applyFont="1" applyFill="1" applyBorder="1" applyAlignment="1">
      <alignment horizontal="justify" vertical="top" wrapText="1"/>
    </xf>
    <xf numFmtId="0" fontId="9" fillId="0" borderId="23" xfId="0" applyNumberFormat="1" applyFont="1" applyFill="1" applyBorder="1" applyAlignment="1">
      <alignment horizontal="justify" vertical="top" wrapText="1"/>
    </xf>
    <xf numFmtId="0" fontId="9" fillId="0" borderId="27" xfId="0" applyNumberFormat="1" applyFont="1" applyFill="1" applyBorder="1" applyAlignment="1">
      <alignment horizontal="justify" vertical="top" wrapText="1"/>
    </xf>
    <xf numFmtId="0" fontId="23" fillId="0" borderId="22" xfId="0" applyNumberFormat="1" applyFont="1" applyFill="1" applyBorder="1" applyAlignment="1">
      <alignment horizontal="justify" vertical="top" wrapText="1"/>
    </xf>
    <xf numFmtId="0" fontId="9" fillId="0" borderId="32" xfId="0" applyNumberFormat="1" applyFont="1" applyFill="1" applyBorder="1" applyAlignment="1">
      <alignment horizontal="justify" vertical="top" wrapText="1"/>
    </xf>
    <xf numFmtId="0" fontId="21" fillId="0" borderId="27" xfId="0" applyNumberFormat="1" applyFont="1" applyFill="1" applyBorder="1" applyAlignment="1">
      <alignment horizontal="justify" vertical="top" wrapText="1"/>
    </xf>
    <xf numFmtId="0" fontId="21" fillId="0" borderId="22" xfId="0" applyNumberFormat="1" applyFont="1" applyFill="1" applyBorder="1" applyAlignment="1">
      <alignment horizontal="justify" vertical="top" wrapText="1"/>
    </xf>
    <xf numFmtId="0" fontId="13" fillId="0" borderId="27" xfId="0" applyNumberFormat="1" applyFont="1" applyFill="1" applyBorder="1" applyAlignment="1">
      <alignment horizontal="left" vertical="top" wrapText="1"/>
    </xf>
    <xf numFmtId="0" fontId="13" fillId="0" borderId="22" xfId="0" applyNumberFormat="1" applyFont="1" applyFill="1" applyBorder="1" applyAlignment="1">
      <alignment horizontal="left" vertical="top" wrapText="1"/>
    </xf>
    <xf numFmtId="0" fontId="13" fillId="0" borderId="27" xfId="0" applyNumberFormat="1" applyFont="1" applyFill="1" applyBorder="1" applyAlignment="1">
      <alignment horizontal="left" vertical="top"/>
    </xf>
    <xf numFmtId="0" fontId="13" fillId="0" borderId="22" xfId="0" applyNumberFormat="1" applyFont="1" applyFill="1" applyBorder="1" applyAlignment="1">
      <alignment horizontal="left" vertical="top"/>
    </xf>
    <xf numFmtId="0" fontId="13" fillId="0" borderId="32" xfId="0" applyNumberFormat="1" applyFont="1" applyFill="1" applyBorder="1" applyAlignment="1">
      <alignment horizontal="left" vertical="top" wrapText="1"/>
    </xf>
    <xf numFmtId="0" fontId="13" fillId="0" borderId="23" xfId="0" applyNumberFormat="1" applyFont="1" applyFill="1" applyBorder="1" applyAlignment="1">
      <alignment horizontal="left" vertical="top" wrapText="1"/>
    </xf>
    <xf numFmtId="49" fontId="19" fillId="0" borderId="27" xfId="0" applyNumberFormat="1" applyFont="1" applyBorder="1" applyAlignment="1">
      <alignment horizontal="justify" vertical="top" wrapText="1"/>
    </xf>
    <xf numFmtId="49" fontId="19" fillId="0" borderId="22" xfId="0" applyNumberFormat="1" applyFont="1" applyBorder="1" applyAlignment="1">
      <alignment horizontal="justify" vertical="top" wrapText="1"/>
    </xf>
    <xf numFmtId="0" fontId="13" fillId="0" borderId="23" xfId="0" applyNumberFormat="1" applyFont="1" applyFill="1" applyBorder="1" applyAlignment="1">
      <alignment horizontal="justify" vertical="top" wrapText="1"/>
    </xf>
    <xf numFmtId="0" fontId="13" fillId="0" borderId="11" xfId="0" applyNumberFormat="1" applyFont="1" applyFill="1" applyBorder="1" applyAlignment="1">
      <alignment horizontal="justify" vertical="top" wrapText="1"/>
    </xf>
    <xf numFmtId="0" fontId="15" fillId="0" borderId="11" xfId="0" applyNumberFormat="1" applyFont="1" applyFill="1" applyBorder="1" applyAlignment="1">
      <alignment horizontal="justify" vertical="top" wrapText="1"/>
    </xf>
    <xf numFmtId="0" fontId="23" fillId="0" borderId="19" xfId="0" applyFont="1" applyFill="1" applyBorder="1" applyAlignment="1">
      <alignment horizontal="center" vertical="center" wrapText="1"/>
    </xf>
    <xf numFmtId="0" fontId="21" fillId="0" borderId="28" xfId="0" applyFont="1" applyFill="1" applyBorder="1" applyAlignment="1">
      <alignment horizontal="center" vertical="center" wrapText="1"/>
    </xf>
    <xf numFmtId="0" fontId="23" fillId="0" borderId="20" xfId="0" applyFont="1" applyFill="1" applyBorder="1" applyAlignment="1">
      <alignment horizontal="center" vertical="center" wrapText="1"/>
    </xf>
    <xf numFmtId="3" fontId="13" fillId="0" borderId="27" xfId="0" applyNumberFormat="1" applyFont="1" applyFill="1" applyBorder="1" applyAlignment="1">
      <alignment horizontal="justify" vertical="top" wrapText="1"/>
    </xf>
    <xf numFmtId="3" fontId="9" fillId="0" borderId="0" xfId="0" applyNumberFormat="1" applyFont="1" applyFill="1" applyBorder="1" applyAlignment="1">
      <alignment horizontal="justify" vertical="top" wrapText="1"/>
    </xf>
    <xf numFmtId="3" fontId="9" fillId="0" borderId="22" xfId="0" applyNumberFormat="1" applyFont="1" applyFill="1" applyBorder="1" applyAlignment="1">
      <alignment horizontal="justify" vertical="top" wrapText="1"/>
    </xf>
    <xf numFmtId="179" fontId="13" fillId="0" borderId="32" xfId="0" applyNumberFormat="1" applyFont="1" applyFill="1" applyBorder="1" applyAlignment="1">
      <alignment horizontal="left" vertical="top" wrapText="1"/>
    </xf>
    <xf numFmtId="179" fontId="13" fillId="0" borderId="36" xfId="0" applyNumberFormat="1" applyFont="1" applyFill="1" applyBorder="1" applyAlignment="1">
      <alignment horizontal="left" vertical="top" wrapText="1"/>
    </xf>
    <xf numFmtId="179" fontId="13" fillId="0" borderId="23" xfId="0" applyNumberFormat="1" applyFont="1" applyFill="1" applyBorder="1" applyAlignment="1">
      <alignment horizontal="left" vertical="top" wrapText="1"/>
    </xf>
    <xf numFmtId="3" fontId="13" fillId="0" borderId="27" xfId="0" applyNumberFormat="1" applyFont="1" applyFill="1" applyBorder="1" applyAlignment="1">
      <alignment vertical="top" wrapText="1"/>
    </xf>
    <xf numFmtId="0" fontId="58" fillId="0" borderId="0" xfId="0" applyFont="1" applyFill="1" applyAlignment="1">
      <alignment horizontal="left" vertical="top" wrapText="1"/>
    </xf>
    <xf numFmtId="0" fontId="0" fillId="0" borderId="0" xfId="0" applyAlignment="1">
      <alignment horizontal="left" vertical="top" wrapText="1"/>
    </xf>
    <xf numFmtId="0" fontId="13" fillId="0" borderId="34" xfId="0" applyFont="1" applyFill="1" applyBorder="1" applyAlignment="1">
      <alignment horizontal="distributed" vertical="center" wrapText="1" indent="2"/>
    </xf>
    <xf numFmtId="0" fontId="13" fillId="0" borderId="18" xfId="0" applyFont="1" applyFill="1" applyBorder="1" applyAlignment="1">
      <alignment horizontal="distributed" vertical="center" wrapText="1" indent="2"/>
    </xf>
    <xf numFmtId="0" fontId="13" fillId="0" borderId="46" xfId="0" applyFont="1" applyFill="1" applyBorder="1" applyAlignment="1">
      <alignment horizontal="distributed" vertical="center" wrapText="1" indent="2"/>
    </xf>
    <xf numFmtId="0" fontId="59" fillId="0" borderId="0" xfId="0" applyFont="1" applyFill="1" applyAlignment="1">
      <alignment vertical="top" wrapText="1"/>
    </xf>
    <xf numFmtId="0" fontId="13" fillId="0" borderId="50" xfId="0" applyFont="1" applyFill="1" applyBorder="1" applyAlignment="1">
      <alignment horizontal="distributed" vertical="center" wrapText="1" indent="2"/>
    </xf>
    <xf numFmtId="179" fontId="13" fillId="0" borderId="32" xfId="0" applyNumberFormat="1" applyFont="1" applyFill="1" applyBorder="1" applyAlignment="1">
      <alignment horizontal="justify" vertical="top" wrapText="1"/>
    </xf>
    <xf numFmtId="179" fontId="13" fillId="0" borderId="36" xfId="0" applyNumberFormat="1" applyFont="1" applyFill="1" applyBorder="1" applyAlignment="1">
      <alignment horizontal="justify" vertical="top" wrapText="1"/>
    </xf>
    <xf numFmtId="179" fontId="13" fillId="0" borderId="23" xfId="0" applyNumberFormat="1" applyFont="1" applyFill="1" applyBorder="1" applyAlignment="1">
      <alignment horizontal="justify" vertical="top" wrapText="1"/>
    </xf>
    <xf numFmtId="3" fontId="119" fillId="0" borderId="27" xfId="0" applyNumberFormat="1" applyFont="1" applyFill="1" applyBorder="1" applyAlignment="1">
      <alignment vertical="top"/>
    </xf>
    <xf numFmtId="3" fontId="9" fillId="0" borderId="0" xfId="0" applyNumberFormat="1" applyFont="1" applyFill="1" applyBorder="1" applyAlignment="1">
      <alignment vertical="top"/>
    </xf>
    <xf numFmtId="3" fontId="9" fillId="0" borderId="22" xfId="0" applyNumberFormat="1" applyFont="1" applyFill="1" applyBorder="1" applyAlignment="1">
      <alignment vertical="top"/>
    </xf>
  </cellXfs>
  <cellStyles count="223">
    <cellStyle name=" 1" xfId="47" xr:uid="{00000000-0005-0000-0000-000000000000}"/>
    <cellStyle name="?" xfId="114" xr:uid="{00000000-0005-0000-0000-000001000000}"/>
    <cellStyle name="_1000831-101年度公務車輛調查表（彙）" xfId="115" xr:uid="{00000000-0005-0000-0000-000002000000}"/>
    <cellStyle name="_1000831各機關101年度預算案對外捐助彙整表" xfId="116" xr:uid="{00000000-0005-0000-0000-000003000000}"/>
    <cellStyle name="_1000906_101年度公共建設及設施費_附表" xfId="117" xr:uid="{00000000-0005-0000-0000-000004000000}"/>
    <cellStyle name="_1000906_101年度投資_附表" xfId="118" xr:uid="{00000000-0005-0000-0000-000005000000}"/>
    <cellStyle name="_1000907-101年度用途別調查表-運輸設備費（彙）" xfId="119" xr:uid="{00000000-0005-0000-0000-000006000000}"/>
    <cellStyle name="_1000909_101委辦費_附表" xfId="120" xr:uid="{00000000-0005-0000-0000-000007000000}"/>
    <cellStyle name="_1000909-101年度用途別調查表(特別費)登錄網站用" xfId="121" xr:uid="{00000000-0005-0000-0000-000008000000}"/>
    <cellStyle name="_101年用途別-對個人之補捐助(上傳局網)" xfId="122" xr:uid="{00000000-0005-0000-0000-000009000000}"/>
    <cellStyle name="_101年度用途別調查表(其他業務租金)-彙" xfId="123" xr:uid="{00000000-0005-0000-0000-00000A000000}"/>
    <cellStyle name="_101年度用途別調查表(教育訓練)" xfId="124" xr:uid="{00000000-0005-0000-0000-00000B000000}"/>
    <cellStyle name="_101年度用途別調查表(資訊服務費)" xfId="125" xr:uid="{00000000-0005-0000-0000-00000C000000}"/>
    <cellStyle name="_101年度用途別調查表(臺灣省各縣市)" xfId="126" xr:uid="{00000000-0005-0000-0000-00000D000000}"/>
    <cellStyle name="_101年度用途別調查表-大陸旅費" xfId="127" xr:uid="{00000000-0005-0000-0000-00000E000000}"/>
    <cellStyle name="_101年度用途別調查表－加班值班費" xfId="128" xr:uid="{00000000-0005-0000-0000-00000F000000}"/>
    <cellStyle name="_101年度用途別調查表-物品" xfId="129" xr:uid="{00000000-0005-0000-0000-000010000000}"/>
    <cellStyle name="_101年度用途別調查表-對國內團體之捐助(表)" xfId="130" xr:uid="{00000000-0005-0000-0000-000011000000}"/>
    <cellStyle name="_101年度對福建省補助" xfId="131" xr:uid="{00000000-0005-0000-0000-000012000000}"/>
    <cellStyle name="_101年度臨時人員酬金-彙總" xfId="132" xr:uid="{00000000-0005-0000-0000-000013000000}"/>
    <cellStyle name="_101年按日按件計資酬金明細表" xfId="133" xr:uid="{00000000-0005-0000-0000-000014000000}"/>
    <cellStyle name="_101通訊費(彙)" xfId="134" xr:uid="{00000000-0005-0000-0000-000015000000}"/>
    <cellStyle name="_101預備金-增減原因" xfId="135" xr:uid="{00000000-0005-0000-0000-000016000000}"/>
    <cellStyle name="_101獎補助" xfId="136" xr:uid="{00000000-0005-0000-0000-000017000000}"/>
    <cellStyle name="_400403關於中央對直轄市政府補助之說明（掛網）" xfId="137" xr:uid="{00000000-0005-0000-0000-000018000000}"/>
    <cellStyle name="_97及98派員出國計畫預算比較表-彙" xfId="138" xr:uid="{00000000-0005-0000-0000-000019000000}"/>
    <cellStyle name="_980929-99年其他業務租金明細比較表" xfId="139" xr:uid="{00000000-0005-0000-0000-00001A000000}"/>
    <cellStyle name="_98-99年度用途別國外旅費比較表" xfId="140" xr:uid="{00000000-0005-0000-0000-00001B000000}"/>
    <cellStyle name="_98年其他業務租金比較表970917" xfId="141" xr:uid="{00000000-0005-0000-0000-00001C000000}"/>
    <cellStyle name="_Book1" xfId="142" xr:uid="{00000000-0005-0000-0000-00001D000000}"/>
    <cellStyle name="_一般事務費、車輛及養護費編列表" xfId="143" xr:uid="{00000000-0005-0000-0000-00001E000000}"/>
    <cellStyle name="_中央各部會債務費編列表" xfId="144" xr:uid="{00000000-0005-0000-0000-00001F000000}"/>
    <cellStyle name="_兼職費預算編列之說明(101)" xfId="145" xr:uid="{00000000-0005-0000-0000-000020000000}"/>
    <cellStyle name="_院處100-1" xfId="146" xr:uid="{00000000-0005-0000-0000-000021000000}"/>
    <cellStyle name="_彙總0911" xfId="147" xr:uid="{00000000-0005-0000-0000-000022000000}"/>
    <cellStyle name="_對學生之獎助" xfId="148" xr:uid="{00000000-0005-0000-0000-000023000000}"/>
    <cellStyle name="_關於水電費預算編列之說明" xfId="149" xr:uid="{00000000-0005-0000-0000-000024000000}"/>
    <cellStyle name="20% - 輔色1" xfId="1" builtinId="30" customBuiltin="1"/>
    <cellStyle name="20% - 輔色1 2" xfId="48" xr:uid="{00000000-0005-0000-0000-000026000000}"/>
    <cellStyle name="20% - 輔色2" xfId="2" builtinId="34" customBuiltin="1"/>
    <cellStyle name="20% - 輔色2 2" xfId="49" xr:uid="{00000000-0005-0000-0000-000028000000}"/>
    <cellStyle name="20% - 輔色3" xfId="3" builtinId="38" customBuiltin="1"/>
    <cellStyle name="20% - 輔色3 2" xfId="50" xr:uid="{00000000-0005-0000-0000-00002A000000}"/>
    <cellStyle name="20% - 輔色4" xfId="4" builtinId="42" customBuiltin="1"/>
    <cellStyle name="20% - 輔色4 2" xfId="51" xr:uid="{00000000-0005-0000-0000-00002C000000}"/>
    <cellStyle name="20% - 輔色5" xfId="5" builtinId="46" customBuiltin="1"/>
    <cellStyle name="20% - 輔色5 2" xfId="52" xr:uid="{00000000-0005-0000-0000-00002E000000}"/>
    <cellStyle name="20% - 輔色6" xfId="6" builtinId="50" customBuiltin="1"/>
    <cellStyle name="20% - 輔色6 2" xfId="53" xr:uid="{00000000-0005-0000-0000-000030000000}"/>
    <cellStyle name="40% - 輔色1" xfId="7" builtinId="31" customBuiltin="1"/>
    <cellStyle name="40% - 輔色1 2" xfId="54" xr:uid="{00000000-0005-0000-0000-000032000000}"/>
    <cellStyle name="40% - 輔色2" xfId="8" builtinId="35" customBuiltin="1"/>
    <cellStyle name="40% - 輔色2 2" xfId="55" xr:uid="{00000000-0005-0000-0000-000034000000}"/>
    <cellStyle name="40% - 輔色3" xfId="9" builtinId="39" customBuiltin="1"/>
    <cellStyle name="40% - 輔色3 2" xfId="56" xr:uid="{00000000-0005-0000-0000-000036000000}"/>
    <cellStyle name="40% - 輔色4" xfId="10" builtinId="43" customBuiltin="1"/>
    <cellStyle name="40% - 輔色4 2" xfId="57" xr:uid="{00000000-0005-0000-0000-000038000000}"/>
    <cellStyle name="40% - 輔色5" xfId="11" builtinId="47" customBuiltin="1"/>
    <cellStyle name="40% - 輔色5 2" xfId="58" xr:uid="{00000000-0005-0000-0000-00003A000000}"/>
    <cellStyle name="40% - 輔色6" xfId="12" builtinId="51" customBuiltin="1"/>
    <cellStyle name="40% - 輔色6 2" xfId="59" xr:uid="{00000000-0005-0000-0000-00003C000000}"/>
    <cellStyle name="60% - 輔色1" xfId="13" builtinId="32" customBuiltin="1"/>
    <cellStyle name="60% - 輔色1 2" xfId="60" xr:uid="{00000000-0005-0000-0000-00003E000000}"/>
    <cellStyle name="60% - 輔色2" xfId="14" builtinId="36" customBuiltin="1"/>
    <cellStyle name="60% - 輔色2 2" xfId="61" xr:uid="{00000000-0005-0000-0000-000040000000}"/>
    <cellStyle name="60% - 輔色3" xfId="15" builtinId="40" customBuiltin="1"/>
    <cellStyle name="60% - 輔色3 2" xfId="62" xr:uid="{00000000-0005-0000-0000-000042000000}"/>
    <cellStyle name="60% - 輔色4" xfId="16" builtinId="44" customBuiltin="1"/>
    <cellStyle name="60% - 輔色4 2" xfId="63" xr:uid="{00000000-0005-0000-0000-000044000000}"/>
    <cellStyle name="60% - 輔色5" xfId="17" builtinId="48" customBuiltin="1"/>
    <cellStyle name="60% - 輔色5 2" xfId="64" xr:uid="{00000000-0005-0000-0000-000046000000}"/>
    <cellStyle name="60% - 輔色6" xfId="18" builtinId="52" customBuiltin="1"/>
    <cellStyle name="60% - 輔色6 2" xfId="65" xr:uid="{00000000-0005-0000-0000-000048000000}"/>
    <cellStyle name="Comma0" xfId="150" xr:uid="{00000000-0005-0000-0000-000049000000}"/>
    <cellStyle name="Currency0" xfId="151" xr:uid="{00000000-0005-0000-0000-00004A000000}"/>
    <cellStyle name="Date" xfId="152" xr:uid="{00000000-0005-0000-0000-00004B000000}"/>
    <cellStyle name="eng" xfId="153" xr:uid="{00000000-0005-0000-0000-00004C000000}"/>
    <cellStyle name="Euro" xfId="19" xr:uid="{00000000-0005-0000-0000-00004D000000}"/>
    <cellStyle name="Fixed" xfId="154" xr:uid="{00000000-0005-0000-0000-00004E000000}"/>
    <cellStyle name="Grey" xfId="155" xr:uid="{00000000-0005-0000-0000-00004F000000}"/>
    <cellStyle name="header" xfId="156" xr:uid="{00000000-0005-0000-0000-000050000000}"/>
    <cellStyle name="Header1" xfId="157" xr:uid="{00000000-0005-0000-0000-000051000000}"/>
    <cellStyle name="Header2" xfId="158" xr:uid="{00000000-0005-0000-0000-000052000000}"/>
    <cellStyle name="Heading 1" xfId="159" xr:uid="{00000000-0005-0000-0000-000053000000}"/>
    <cellStyle name="Heading 2" xfId="160" xr:uid="{00000000-0005-0000-0000-000054000000}"/>
    <cellStyle name="Input [yellow]" xfId="161" xr:uid="{00000000-0005-0000-0000-000055000000}"/>
    <cellStyle name="lu" xfId="162" xr:uid="{00000000-0005-0000-0000-000056000000}"/>
    <cellStyle name="n0" xfId="163" xr:uid="{00000000-0005-0000-0000-000057000000}"/>
    <cellStyle name="n1" xfId="164" xr:uid="{00000000-0005-0000-0000-000058000000}"/>
    <cellStyle name="Normal - Style1" xfId="165" xr:uid="{00000000-0005-0000-0000-000059000000}"/>
    <cellStyle name="Normal_% Completion" xfId="166" xr:uid="{00000000-0005-0000-0000-00005A000000}"/>
    <cellStyle name="Percent [2]" xfId="167" xr:uid="{00000000-0005-0000-0000-00005B000000}"/>
    <cellStyle name="sheet" xfId="168" xr:uid="{00000000-0005-0000-0000-00005C000000}"/>
    <cellStyle name="Total" xfId="169" xr:uid="{00000000-0005-0000-0000-00005D000000}"/>
    <cellStyle name="遽_laroux" xfId="170" xr:uid="{00000000-0005-0000-0000-00005E000000}"/>
    <cellStyle name="一般" xfId="0" builtinId="0"/>
    <cellStyle name="一般 10" xfId="171" xr:uid="{00000000-0005-0000-0000-000060000000}"/>
    <cellStyle name="一般 10 2" xfId="216" xr:uid="{00000000-0005-0000-0000-000061000000}"/>
    <cellStyle name="一般 11" xfId="213" xr:uid="{00000000-0005-0000-0000-000062000000}"/>
    <cellStyle name="一般 11 2" xfId="220" xr:uid="{00000000-0005-0000-0000-000063000000}"/>
    <cellStyle name="一般 12" xfId="215" xr:uid="{00000000-0005-0000-0000-000064000000}"/>
    <cellStyle name="一般 13 2" xfId="172" xr:uid="{00000000-0005-0000-0000-000065000000}"/>
    <cellStyle name="一般 2" xfId="66" xr:uid="{00000000-0005-0000-0000-000066000000}"/>
    <cellStyle name="一般 2 2" xfId="67" xr:uid="{00000000-0005-0000-0000-000067000000}"/>
    <cellStyle name="一般 2 3" xfId="68" xr:uid="{00000000-0005-0000-0000-000068000000}"/>
    <cellStyle name="一般 2 3 2" xfId="173" xr:uid="{00000000-0005-0000-0000-000069000000}"/>
    <cellStyle name="一般 2 4" xfId="69" xr:uid="{00000000-0005-0000-0000-00006A000000}"/>
    <cellStyle name="一般 2 4 2" xfId="174" xr:uid="{00000000-0005-0000-0000-00006B000000}"/>
    <cellStyle name="一般 2_1021220-104利息收入" xfId="70" xr:uid="{00000000-0005-0000-0000-00006C000000}"/>
    <cellStyle name="一般 23" xfId="175" xr:uid="{00000000-0005-0000-0000-00006D000000}"/>
    <cellStyle name="一般 25" xfId="176" xr:uid="{00000000-0005-0000-0000-00006E000000}"/>
    <cellStyle name="一般 28" xfId="177" xr:uid="{00000000-0005-0000-0000-00006F000000}"/>
    <cellStyle name="一般 3" xfId="71" xr:uid="{00000000-0005-0000-0000-000070000000}"/>
    <cellStyle name="一般 3 2" xfId="72" xr:uid="{00000000-0005-0000-0000-000071000000}"/>
    <cellStyle name="一般 3 2 2" xfId="178" xr:uid="{00000000-0005-0000-0000-000072000000}"/>
    <cellStyle name="一般 3 2 3" xfId="179" xr:uid="{00000000-0005-0000-0000-000073000000}"/>
    <cellStyle name="一般 4" xfId="73" xr:uid="{00000000-0005-0000-0000-000074000000}"/>
    <cellStyle name="一般 4 2" xfId="74" xr:uid="{00000000-0005-0000-0000-000075000000}"/>
    <cellStyle name="一般 4 2 2" xfId="180" xr:uid="{00000000-0005-0000-0000-000076000000}"/>
    <cellStyle name="一般 5" xfId="75" xr:uid="{00000000-0005-0000-0000-000077000000}"/>
    <cellStyle name="一般 6" xfId="111" xr:uid="{00000000-0005-0000-0000-000078000000}"/>
    <cellStyle name="一般 6 2" xfId="181" xr:uid="{00000000-0005-0000-0000-000079000000}"/>
    <cellStyle name="一般 7" xfId="182" xr:uid="{00000000-0005-0000-0000-00007A000000}"/>
    <cellStyle name="一般 7 2" xfId="183" xr:uid="{00000000-0005-0000-0000-00007B000000}"/>
    <cellStyle name="一般 8" xfId="184" xr:uid="{00000000-0005-0000-0000-00007C000000}"/>
    <cellStyle name="一般 8 2" xfId="217" xr:uid="{00000000-0005-0000-0000-00007D000000}"/>
    <cellStyle name="一般 9" xfId="185" xr:uid="{00000000-0005-0000-0000-00007E000000}"/>
    <cellStyle name="一般 9 2" xfId="218" xr:uid="{00000000-0005-0000-0000-00007F000000}"/>
    <cellStyle name="一般_(For 監理會)101附屬單位預算(營業部分)" xfId="20" xr:uid="{00000000-0005-0000-0000-000080000000}"/>
    <cellStyle name="一般_99附屬單位預算(營業部分)-佩虹" xfId="112" xr:uid="{00000000-0005-0000-0000-000081000000}"/>
    <cellStyle name="一般_目錄" xfId="222" xr:uid="{977FD215-AC83-4227-8306-A4D368C02EDF}"/>
    <cellStyle name="一般_國保101行政經費彙計表" xfId="113" xr:uid="{00000000-0005-0000-0000-000083000000}"/>
    <cellStyle name="千分位" xfId="21" builtinId="3"/>
    <cellStyle name="千分位 11" xfId="186" xr:uid="{00000000-0005-0000-0000-000085000000}"/>
    <cellStyle name="千分位 11 2" xfId="187" xr:uid="{00000000-0005-0000-0000-000086000000}"/>
    <cellStyle name="千分位 11 3" xfId="219" xr:uid="{00000000-0005-0000-0000-000087000000}"/>
    <cellStyle name="千分位 2" xfId="76" xr:uid="{00000000-0005-0000-0000-000088000000}"/>
    <cellStyle name="千分位 2 2" xfId="77" xr:uid="{00000000-0005-0000-0000-000089000000}"/>
    <cellStyle name="千分位 2 2 2" xfId="78" xr:uid="{00000000-0005-0000-0000-00008A000000}"/>
    <cellStyle name="千分位 2 2 2 2" xfId="188" xr:uid="{00000000-0005-0000-0000-00008B000000}"/>
    <cellStyle name="千分位 2 2 3" xfId="189" xr:uid="{00000000-0005-0000-0000-00008C000000}"/>
    <cellStyle name="千分位 2 3" xfId="79" xr:uid="{00000000-0005-0000-0000-00008D000000}"/>
    <cellStyle name="千分位 2 3 2" xfId="190" xr:uid="{00000000-0005-0000-0000-00008E000000}"/>
    <cellStyle name="千分位 2 4" xfId="191" xr:uid="{00000000-0005-0000-0000-00008F000000}"/>
    <cellStyle name="千分位 3" xfId="80" xr:uid="{00000000-0005-0000-0000-000090000000}"/>
    <cellStyle name="千分位 3 2" xfId="192" xr:uid="{00000000-0005-0000-0000-000091000000}"/>
    <cellStyle name="千分位 4" xfId="81" xr:uid="{00000000-0005-0000-0000-000092000000}"/>
    <cellStyle name="千分位 4 2" xfId="193" xr:uid="{00000000-0005-0000-0000-000093000000}"/>
    <cellStyle name="千分位 5" xfId="82" xr:uid="{00000000-0005-0000-0000-000094000000}"/>
    <cellStyle name="千分位 5 2" xfId="194" xr:uid="{00000000-0005-0000-0000-000095000000}"/>
    <cellStyle name="千分位 6" xfId="195" xr:uid="{00000000-0005-0000-0000-000096000000}"/>
    <cellStyle name="千分位 7" xfId="214" xr:uid="{00000000-0005-0000-0000-000097000000}"/>
    <cellStyle name="千分位 7 2" xfId="221" xr:uid="{00000000-0005-0000-0000-000098000000}"/>
    <cellStyle name="千分位[0] 2" xfId="83" xr:uid="{00000000-0005-0000-0000-000099000000}"/>
    <cellStyle name="千分位[0] 2 2" xfId="196" xr:uid="{00000000-0005-0000-0000-00009A000000}"/>
    <cellStyle name="千分位[0] 3" xfId="84" xr:uid="{00000000-0005-0000-0000-00009B000000}"/>
    <cellStyle name="千分位[0] 3 2" xfId="197" xr:uid="{00000000-0005-0000-0000-00009C000000}"/>
    <cellStyle name="中等" xfId="22" builtinId="28" customBuiltin="1"/>
    <cellStyle name="中等 2" xfId="85" xr:uid="{00000000-0005-0000-0000-00009E000000}"/>
    <cellStyle name="未定義" xfId="23" xr:uid="{00000000-0005-0000-0000-00009F000000}"/>
    <cellStyle name="合計" xfId="24" builtinId="25" customBuiltin="1"/>
    <cellStyle name="合計 2" xfId="86" xr:uid="{00000000-0005-0000-0000-0000A1000000}"/>
    <cellStyle name="好" xfId="25" builtinId="26" customBuiltin="1"/>
    <cellStyle name="好 2" xfId="87" xr:uid="{00000000-0005-0000-0000-0000A3000000}"/>
    <cellStyle name="百分比" xfId="26" builtinId="5"/>
    <cellStyle name="百分比 2" xfId="88" xr:uid="{00000000-0005-0000-0000-0000A5000000}"/>
    <cellStyle name="百分比 3" xfId="89" xr:uid="{00000000-0005-0000-0000-0000A6000000}"/>
    <cellStyle name="表首" xfId="198" xr:uid="{00000000-0005-0000-0000-0000A7000000}"/>
    <cellStyle name="計算方式" xfId="27" builtinId="22" customBuiltin="1"/>
    <cellStyle name="計算方式 2" xfId="90" xr:uid="{00000000-0005-0000-0000-0000A9000000}"/>
    <cellStyle name="桁区切り [0.00]_RESULTS" xfId="199" xr:uid="{00000000-0005-0000-0000-0000AA000000}"/>
    <cellStyle name="桁区切り_RESULTS" xfId="200" xr:uid="{00000000-0005-0000-0000-0000AB000000}"/>
    <cellStyle name="貨幣 2" xfId="201" xr:uid="{00000000-0005-0000-0000-0000AC000000}"/>
    <cellStyle name="貨幣[0]" xfId="202" xr:uid="{00000000-0005-0000-0000-0000AD000000}"/>
    <cellStyle name="貨幣[0] 2" xfId="203" xr:uid="{00000000-0005-0000-0000-0000AE000000}"/>
    <cellStyle name="貨幣[0]_0328-1.87" xfId="204" xr:uid="{00000000-0005-0000-0000-0000AF000000}"/>
    <cellStyle name="通貨 [0.00]_RESULTS" xfId="205" xr:uid="{00000000-0005-0000-0000-0000B0000000}"/>
    <cellStyle name="通貨_RESULTS" xfId="206" xr:uid="{00000000-0005-0000-0000-0000B1000000}"/>
    <cellStyle name="連結的儲存格" xfId="28" builtinId="24" customBuiltin="1"/>
    <cellStyle name="連結的儲存格 2" xfId="91" xr:uid="{00000000-0005-0000-0000-0000B3000000}"/>
    <cellStyle name="備註" xfId="29" builtinId="10" customBuiltin="1"/>
    <cellStyle name="備註 2" xfId="92" xr:uid="{00000000-0005-0000-0000-0000B5000000}"/>
    <cellStyle name="說明文字" xfId="30" builtinId="53" customBuiltin="1"/>
    <cellStyle name="說明文字 2" xfId="93" xr:uid="{00000000-0005-0000-0000-0000B7000000}"/>
    <cellStyle name="輔色1" xfId="31" builtinId="29" customBuiltin="1"/>
    <cellStyle name="輔色1 2" xfId="94" xr:uid="{00000000-0005-0000-0000-0000B9000000}"/>
    <cellStyle name="輔色2" xfId="32" builtinId="33" customBuiltin="1"/>
    <cellStyle name="輔色2 2" xfId="95" xr:uid="{00000000-0005-0000-0000-0000BB000000}"/>
    <cellStyle name="輔色3" xfId="33" builtinId="37" customBuiltin="1"/>
    <cellStyle name="輔色3 2" xfId="96" xr:uid="{00000000-0005-0000-0000-0000BD000000}"/>
    <cellStyle name="輔色4" xfId="34" builtinId="41" customBuiltin="1"/>
    <cellStyle name="輔色4 2" xfId="97" xr:uid="{00000000-0005-0000-0000-0000BF000000}"/>
    <cellStyle name="輔色5" xfId="35" builtinId="45" customBuiltin="1"/>
    <cellStyle name="輔色5 2" xfId="98" xr:uid="{00000000-0005-0000-0000-0000C1000000}"/>
    <cellStyle name="輔色6" xfId="36" builtinId="49" customBuiltin="1"/>
    <cellStyle name="輔色6 2" xfId="99" xr:uid="{00000000-0005-0000-0000-0000C3000000}"/>
    <cellStyle name="標準_RESULTS" xfId="207" xr:uid="{00000000-0005-0000-0000-0000C4000000}"/>
    <cellStyle name="標題" xfId="37" builtinId="15" customBuiltin="1"/>
    <cellStyle name="標題 1" xfId="38" builtinId="16" customBuiltin="1"/>
    <cellStyle name="標題 1 2" xfId="100" xr:uid="{00000000-0005-0000-0000-0000C7000000}"/>
    <cellStyle name="標題 2" xfId="39" builtinId="17" customBuiltin="1"/>
    <cellStyle name="標題 2 2" xfId="101" xr:uid="{00000000-0005-0000-0000-0000C9000000}"/>
    <cellStyle name="標題 3" xfId="40" builtinId="18" customBuiltin="1"/>
    <cellStyle name="標題 3 2" xfId="102" xr:uid="{00000000-0005-0000-0000-0000CB000000}"/>
    <cellStyle name="標題 4" xfId="41" builtinId="19" customBuiltin="1"/>
    <cellStyle name="標題 4 2" xfId="103" xr:uid="{00000000-0005-0000-0000-0000CD000000}"/>
    <cellStyle name="標題 5" xfId="104" xr:uid="{00000000-0005-0000-0000-0000CE000000}"/>
    <cellStyle name="樣式 1" xfId="105" xr:uid="{00000000-0005-0000-0000-0000CF000000}"/>
    <cellStyle name="輸入" xfId="42" builtinId="20" customBuiltin="1"/>
    <cellStyle name="輸入 2" xfId="106" xr:uid="{00000000-0005-0000-0000-0000D1000000}"/>
    <cellStyle name="輸出" xfId="43" builtinId="21" customBuiltin="1"/>
    <cellStyle name="輸出 2" xfId="107" xr:uid="{00000000-0005-0000-0000-0000D3000000}"/>
    <cellStyle name="隨後的超連結_2001NIP報表-bak" xfId="208" xr:uid="{00000000-0005-0000-0000-0000D4000000}"/>
    <cellStyle name="檢查儲存格" xfId="44" builtinId="23" customBuiltin="1"/>
    <cellStyle name="檢查儲存格 2" xfId="108" xr:uid="{00000000-0005-0000-0000-0000D6000000}"/>
    <cellStyle name="壞" xfId="45" builtinId="27" customBuiltin="1"/>
    <cellStyle name="壞 2" xfId="109" xr:uid="{00000000-0005-0000-0000-0000D8000000}"/>
    <cellStyle name="警告文字" xfId="46" builtinId="11" customBuiltin="1"/>
    <cellStyle name="警告文字 2" xfId="110" xr:uid="{00000000-0005-0000-0000-0000DA000000}"/>
    <cellStyle name="巍葆 [0]_laroux" xfId="209" xr:uid="{00000000-0005-0000-0000-0000DB000000}"/>
    <cellStyle name="巍葆_laroux" xfId="210" xr:uid="{00000000-0005-0000-0000-0000DC000000}"/>
    <cellStyle name="鱔 [0]_laroux" xfId="211" xr:uid="{00000000-0005-0000-0000-0000DD000000}"/>
    <cellStyle name="鱔_laroux" xfId="212" xr:uid="{00000000-0005-0000-0000-0000DE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externalLink" Target="externalLinks/externalLink9.xml"/><Relationship Id="rId68"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externalLink" Target="externalLinks/externalLink4.xml"/><Relationship Id="rId66"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externalLink" Target="externalLinks/externalLink7.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externalLink" Target="externalLinks/externalLink2.xml"/><Relationship Id="rId64" Type="http://schemas.openxmlformats.org/officeDocument/2006/relationships/externalLink" Target="externalLinks/externalLink10.xml"/><Relationship Id="rId69"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externalLink" Target="externalLinks/externalLink5.xml"/><Relationship Id="rId67"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externalLink" Target="externalLinks/externalLink8.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externalLink" Target="externalLinks/externalLink3.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externalLink" Target="externalLinks/externalLink6.xml"/><Relationship Id="rId65" Type="http://schemas.openxmlformats.org/officeDocument/2006/relationships/externalLink" Target="externalLinks/externalLink1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externalLink" Target="externalLinks/externalLink1.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2"/>
      <c:rotY val="20"/>
      <c:rAngAx val="0"/>
      <c:perspective val="0"/>
    </c:view3D>
    <c:floor>
      <c:thickness val="0"/>
    </c:floor>
    <c:sideWall>
      <c:thickness val="0"/>
    </c:sideWall>
    <c:backWall>
      <c:thickness val="0"/>
    </c:backWall>
    <c:plotArea>
      <c:layout/>
      <c:pie3DChart>
        <c:varyColors val="0"/>
        <c:dLbls>
          <c:showLegendKey val="0"/>
          <c:showVal val="0"/>
          <c:showCatName val="1"/>
          <c:showSerName val="0"/>
          <c:showPercent val="1"/>
          <c:showBubbleSize val="0"/>
          <c:showLeaderLines val="0"/>
        </c:dLbls>
      </c:pie3DChart>
      <c:spPr>
        <a:noFill/>
        <a:ln w="25400">
          <a:noFill/>
        </a:ln>
      </c:spPr>
    </c:plotArea>
    <c:plotVisOnly val="1"/>
    <c:dispBlanksAs val="zero"/>
    <c:showDLblsOverMax val="0"/>
  </c:chart>
  <c:spPr>
    <a:noFill/>
    <a:ln w="9525">
      <a:noFill/>
    </a:ln>
  </c:spPr>
  <c:txPr>
    <a:bodyPr/>
    <a:lstStyle/>
    <a:p>
      <a:pPr>
        <a:defRPr sz="425" b="0" i="0" u="none" strike="noStrike" baseline="0">
          <a:solidFill>
            <a:srgbClr val="000000"/>
          </a:solidFill>
          <a:latin typeface="新細明體"/>
          <a:ea typeface="新細明體"/>
          <a:cs typeface="新細明體"/>
        </a:defRPr>
      </a:pPr>
      <a:endParaRPr lang="zh-TW"/>
    </a:p>
  </c:txPr>
  <c:printSettings>
    <c:headerFooter alignWithMargins="0"/>
    <c:pageMargins b="1" l="0.75000000000001432" r="0.75000000000001432" t="1" header="0.5" footer="0.5"/>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25" b="0" i="0" u="sng" strike="noStrike" baseline="0">
                <a:solidFill>
                  <a:srgbClr val="000000"/>
                </a:solidFill>
                <a:latin typeface="標楷體"/>
                <a:ea typeface="標楷體"/>
                <a:cs typeface="標楷體"/>
              </a:defRPr>
            </a:pPr>
            <a:r>
              <a:rPr lang="zh-TW" altLang="en-US"/>
              <a:t>成本與費用及賸餘</a:t>
            </a:r>
          </a:p>
        </c:rich>
      </c:tx>
      <c:layout>
        <c:manualLayout>
          <c:xMode val="edge"/>
          <c:yMode val="edge"/>
          <c:x val="0.36644105783492831"/>
          <c:y val="3.0984783889309812E-3"/>
        </c:manualLayout>
      </c:layout>
      <c:overlay val="0"/>
      <c:spPr>
        <a:noFill/>
        <a:ln w="25400">
          <a:noFill/>
        </a:ln>
      </c:spPr>
    </c:title>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0.18299724690796856"/>
          <c:y val="0.31003039513677838"/>
          <c:w val="0.65129728820785882"/>
          <c:h val="0.54711246200607899"/>
        </c:manualLayout>
      </c:layout>
      <c:pie3DChart>
        <c:varyColors val="1"/>
        <c:ser>
          <c:idx val="0"/>
          <c:order val="0"/>
          <c:tx>
            <c:strRef>
              <c:f>圖1!$C$20</c:f>
              <c:strCache>
                <c:ptCount val="1"/>
                <c:pt idx="0">
                  <c:v>成本與費用及賸餘</c:v>
                </c:pt>
              </c:strCache>
            </c:strRef>
          </c:tx>
          <c:spPr>
            <a:pattFill prst="pct10">
              <a:fgClr>
                <a:srgbClr val="9999FF"/>
              </a:fgClr>
              <a:bgClr>
                <a:srgbClr val="FFFFFF"/>
              </a:bgClr>
            </a:pattFill>
            <a:ln w="12700">
              <a:solidFill>
                <a:srgbClr val="000000"/>
              </a:solidFill>
              <a:prstDash val="solid"/>
            </a:ln>
          </c:spPr>
          <c:explosion val="22"/>
          <c:dPt>
            <c:idx val="0"/>
            <c:bubble3D val="0"/>
            <c:explosion val="31"/>
            <c:extLst>
              <c:ext xmlns:c16="http://schemas.microsoft.com/office/drawing/2014/chart" uri="{C3380CC4-5D6E-409C-BE32-E72D297353CC}">
                <c16:uniqueId val="{00000000-416C-42A8-B8AE-16C0D3EA3C6C}"/>
              </c:ext>
            </c:extLst>
          </c:dPt>
          <c:dPt>
            <c:idx val="2"/>
            <c:bubble3D val="0"/>
            <c:explosion val="33"/>
            <c:extLst>
              <c:ext xmlns:c16="http://schemas.microsoft.com/office/drawing/2014/chart" uri="{C3380CC4-5D6E-409C-BE32-E72D297353CC}">
                <c16:uniqueId val="{00000001-416C-42A8-B8AE-16C0D3EA3C6C}"/>
              </c:ext>
            </c:extLst>
          </c:dPt>
          <c:dLbls>
            <c:dLbl>
              <c:idx val="0"/>
              <c:layout>
                <c:manualLayout>
                  <c:x val="0.20112457096709066"/>
                  <c:y val="5.6463793089693536E-2"/>
                </c:manualLayout>
              </c:layout>
              <c:tx>
                <c:rich>
                  <a:bodyPr/>
                  <a:lstStyle/>
                  <a:p>
                    <a:r>
                      <a:rPr lang="zh-TW" altLang="en-US" baseline="0"/>
                      <a:t>  出租資產成本
</a:t>
                    </a:r>
                    <a:r>
                      <a:rPr lang="en-US" altLang="zh-TW" baseline="0">
                        <a:latin typeface="Times New Roman" pitchFamily="18" charset="0"/>
                        <a:cs typeface="Times New Roman" pitchFamily="18" charset="0"/>
                      </a:rPr>
                      <a:t>0.01%</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0-416C-42A8-B8AE-16C0D3EA3C6C}"/>
                </c:ext>
              </c:extLst>
            </c:dLbl>
            <c:dLbl>
              <c:idx val="1"/>
              <c:layout>
                <c:manualLayout>
                  <c:x val="2.2936435830136617E-2"/>
                  <c:y val="-0.10851941379667969"/>
                </c:manualLayout>
              </c:layout>
              <c:tx>
                <c:rich>
                  <a:bodyPr/>
                  <a:lstStyle/>
                  <a:p>
                    <a:r>
                      <a:rPr lang="zh-TW" altLang="en-US" baseline="0"/>
                      <a:t>  投融資業務成本
</a:t>
                    </a:r>
                    <a:r>
                      <a:rPr lang="en-US" altLang="zh-TW" baseline="0">
                        <a:latin typeface="Times New Roman" pitchFamily="18" charset="0"/>
                        <a:cs typeface="Times New Roman" pitchFamily="18" charset="0"/>
                      </a:rPr>
                      <a:t>0.17%</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2-416C-42A8-B8AE-16C0D3EA3C6C}"/>
                </c:ext>
              </c:extLst>
            </c:dLbl>
            <c:dLbl>
              <c:idx val="2"/>
              <c:layout>
                <c:manualLayout>
                  <c:x val="0.20755959144953623"/>
                  <c:y val="4.6660444040239654E-2"/>
                </c:manualLayout>
              </c:layout>
              <c:tx>
                <c:rich>
                  <a:bodyPr/>
                  <a:lstStyle/>
                  <a:p>
                    <a:r>
                      <a:rPr lang="zh-TW" altLang="en-US" baseline="0"/>
                      <a:t> 保險成本
</a:t>
                    </a:r>
                    <a:r>
                      <a:rPr lang="en-US" altLang="zh-TW" baseline="0">
                        <a:latin typeface="Times New Roman" pitchFamily="18" charset="0"/>
                        <a:cs typeface="Times New Roman" pitchFamily="18" charset="0"/>
                      </a:rPr>
                      <a:t>98.99%</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1-416C-42A8-B8AE-16C0D3EA3C6C}"/>
                </c:ext>
              </c:extLst>
            </c:dLbl>
            <c:dLbl>
              <c:idx val="3"/>
              <c:layout>
                <c:manualLayout>
                  <c:x val="-0.11394474729120395"/>
                  <c:y val="2.8675777229973914E-2"/>
                </c:manualLayout>
              </c:layout>
              <c:tx>
                <c:rich>
                  <a:bodyPr/>
                  <a:lstStyle/>
                  <a:p>
                    <a:r>
                      <a:rPr lang="zh-TW" altLang="en-US" baseline="0"/>
                      <a:t>  其他業務成本
</a:t>
                    </a:r>
                    <a:r>
                      <a:rPr lang="en-US" altLang="zh-TW" baseline="0">
                        <a:latin typeface="Times New Roman" pitchFamily="18" charset="0"/>
                        <a:cs typeface="Times New Roman" pitchFamily="18" charset="0"/>
                      </a:rPr>
                      <a:t>0.83%</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3-416C-42A8-B8AE-16C0D3EA3C6C}"/>
                </c:ext>
              </c:extLst>
            </c:dLbl>
            <c:dLbl>
              <c:idx val="4"/>
              <c:layout>
                <c:manualLayout>
                  <c:x val="-9.2842048590080092E-2"/>
                  <c:y val="0.55983693527670741"/>
                </c:manualLayout>
              </c:layout>
              <c:tx>
                <c:rich>
                  <a:bodyPr/>
                  <a:lstStyle/>
                  <a:p>
                    <a:r>
                      <a:rPr lang="zh-TW" altLang="en-US"/>
                      <a:t>業務外費用
</a:t>
                    </a:r>
                    <a:r>
                      <a:rPr lang="en-US" altLang="zh-TW">
                        <a:latin typeface="Times New Roman" pitchFamily="18" charset="0"/>
                        <a:cs typeface="Times New Roman" pitchFamily="18" charset="0"/>
                      </a:rPr>
                      <a:t>0.00%</a:t>
                    </a:r>
                  </a:p>
                </c:rich>
              </c:tx>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4-416C-42A8-B8AE-16C0D3EA3C6C}"/>
                </c:ext>
              </c:extLst>
            </c:dLbl>
            <c:dLbl>
              <c:idx val="5"/>
              <c:layout>
                <c:manualLayout>
                  <c:x val="-0.28034675953967292"/>
                  <c:y val="0.47923094719543036"/>
                </c:manualLayout>
              </c:layout>
              <c:tx>
                <c:rich>
                  <a:bodyPr/>
                  <a:lstStyle/>
                  <a:p>
                    <a:r>
                      <a:rPr lang="zh-TW" altLang="en-US"/>
                      <a:t>本期賸餘
</a:t>
                    </a:r>
                    <a:r>
                      <a:rPr lang="en-US" altLang="zh-TW">
                        <a:latin typeface="Times New Roman" pitchFamily="18" charset="0"/>
                        <a:cs typeface="Times New Roman" pitchFamily="18" charset="0"/>
                      </a:rPr>
                      <a:t>0.00%</a:t>
                    </a:r>
                  </a:p>
                </c:rich>
              </c:tx>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5-416C-42A8-B8AE-16C0D3EA3C6C}"/>
                </c:ext>
              </c:extLst>
            </c:dLbl>
            <c:numFmt formatCode="0.00%" sourceLinked="0"/>
            <c:spPr>
              <a:noFill/>
              <a:ln w="25400">
                <a:noFill/>
              </a:ln>
            </c:spPr>
            <c:txPr>
              <a:bodyPr/>
              <a:lstStyle/>
              <a:p>
                <a:pPr>
                  <a:defRPr sz="1000" b="0" i="0" u="none" strike="noStrike" baseline="0">
                    <a:solidFill>
                      <a:srgbClr val="000000"/>
                    </a:solidFill>
                    <a:latin typeface="標楷體"/>
                    <a:ea typeface="標楷體"/>
                    <a:cs typeface="標楷體"/>
                  </a:defRPr>
                </a:pPr>
                <a:endParaRPr lang="zh-TW"/>
              </a:p>
            </c:txPr>
            <c:dLblPos val="bestFit"/>
            <c:showLegendKey val="0"/>
            <c:showVal val="0"/>
            <c:showCatName val="1"/>
            <c:showSerName val="0"/>
            <c:showPercent val="1"/>
            <c:showBubbleSize val="0"/>
            <c:showLeaderLines val="1"/>
            <c:extLst>
              <c:ext xmlns:c15="http://schemas.microsoft.com/office/drawing/2012/chart" uri="{CE6537A1-D6FC-4f65-9D91-7224C49458BB}"/>
            </c:extLst>
          </c:dLbls>
          <c:cat>
            <c:strRef>
              <c:f>圖1!$C$22:$C$27</c:f>
              <c:strCache>
                <c:ptCount val="6"/>
                <c:pt idx="0">
                  <c:v>  出租資產成本</c:v>
                </c:pt>
                <c:pt idx="1">
                  <c:v>  投融資業務成本</c:v>
                </c:pt>
                <c:pt idx="2">
                  <c:v>  保險成本</c:v>
                </c:pt>
                <c:pt idx="3">
                  <c:v>  其他業務成本</c:v>
                </c:pt>
                <c:pt idx="4">
                  <c:v>業務外費用</c:v>
                </c:pt>
                <c:pt idx="5">
                  <c:v>本期賸餘</c:v>
                </c:pt>
              </c:strCache>
            </c:strRef>
          </c:cat>
          <c:val>
            <c:numRef>
              <c:f>圖1!$D$22:$D$27</c:f>
              <c:numCache>
                <c:formatCode>#,##0</c:formatCode>
                <c:ptCount val="6"/>
                <c:pt idx="0">
                  <c:v>39738</c:v>
                </c:pt>
                <c:pt idx="1">
                  <c:v>1003916</c:v>
                </c:pt>
                <c:pt idx="2">
                  <c:v>564491226</c:v>
                </c:pt>
                <c:pt idx="3">
                  <c:v>4713511</c:v>
                </c:pt>
                <c:pt idx="4">
                  <c:v>73</c:v>
                </c:pt>
                <c:pt idx="5" formatCode="General">
                  <c:v>0</c:v>
                </c:pt>
              </c:numCache>
            </c:numRef>
          </c:val>
          <c:extLst>
            <c:ext xmlns:c16="http://schemas.microsoft.com/office/drawing/2014/chart" uri="{C3380CC4-5D6E-409C-BE32-E72D297353CC}">
              <c16:uniqueId val="{00000006-416C-42A8-B8AE-16C0D3EA3C6C}"/>
            </c:ext>
          </c:extLst>
        </c:ser>
        <c:dLbls>
          <c:showLegendKey val="0"/>
          <c:showVal val="0"/>
          <c:showCatName val="1"/>
          <c:showSerName val="0"/>
          <c:showPercent val="1"/>
          <c:showBubbleSize val="0"/>
          <c:showLeaderLines val="1"/>
        </c:dLbls>
      </c:pie3DChart>
      <c:spPr>
        <a:noFill/>
        <a:ln w="25400">
          <a:noFill/>
        </a:ln>
      </c:spPr>
    </c:plotArea>
    <c:plotVisOnly val="1"/>
    <c:dispBlanksAs val="zero"/>
    <c:showDLblsOverMax val="0"/>
  </c:chart>
  <c:spPr>
    <a:noFill/>
    <a:ln w="9525">
      <a:noFill/>
    </a:ln>
  </c:spPr>
  <c:txPr>
    <a:bodyPr/>
    <a:lstStyle/>
    <a:p>
      <a:pPr>
        <a:defRPr sz="1625" b="0" i="0" u="none" strike="noStrike" baseline="0">
          <a:solidFill>
            <a:srgbClr val="000000"/>
          </a:solidFill>
          <a:latin typeface="新細明體"/>
          <a:ea typeface="新細明體"/>
          <a:cs typeface="新細明體"/>
        </a:defRPr>
      </a:pPr>
      <a:endParaRPr lang="zh-TW"/>
    </a:p>
  </c:txPr>
  <c:printSettings>
    <c:headerFooter alignWithMargins="0"/>
    <c:pageMargins b="1" l="0.75000000000001432" r="0.75000000000001432" t="1" header="0.5" footer="0.5"/>
    <c:pageSetup paperSize="9" orientation="landscape" horizontalDpi="300" verticalDpi="300"/>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25" b="0" i="0" u="sng" strike="noStrike" baseline="0">
                <a:solidFill>
                  <a:srgbClr val="000000"/>
                </a:solidFill>
                <a:latin typeface="標楷體"/>
                <a:ea typeface="標楷體"/>
                <a:cs typeface="標楷體"/>
              </a:defRPr>
            </a:pPr>
            <a:r>
              <a:rPr lang="zh-TW" altLang="en-US"/>
              <a:t>收          入</a:t>
            </a:r>
          </a:p>
        </c:rich>
      </c:tx>
      <c:layout>
        <c:manualLayout>
          <c:xMode val="edge"/>
          <c:yMode val="edge"/>
          <c:x val="0.38040372585592752"/>
          <c:y val="1.5151559989228201E-2"/>
        </c:manualLayout>
      </c:layout>
      <c:overlay val="0"/>
      <c:spPr>
        <a:noFill/>
        <a:ln w="25400">
          <a:noFill/>
        </a:ln>
      </c:spPr>
    </c:title>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0.18155632370396071"/>
          <c:y val="0.30909182378026318"/>
          <c:w val="0.65417913461588795"/>
          <c:h val="0.54848647161006037"/>
        </c:manualLayout>
      </c:layout>
      <c:pie3DChart>
        <c:varyColors val="1"/>
        <c:ser>
          <c:idx val="0"/>
          <c:order val="0"/>
          <c:tx>
            <c:strRef>
              <c:f>圖1!$A$20</c:f>
              <c:strCache>
                <c:ptCount val="1"/>
                <c:pt idx="0">
                  <c:v>收        入</c:v>
                </c:pt>
              </c:strCache>
            </c:strRef>
          </c:tx>
          <c:spPr>
            <a:pattFill prst="pct10">
              <a:fgClr>
                <a:srgbClr val="9999FF"/>
              </a:fgClr>
              <a:bgClr>
                <a:srgbClr val="FFFFFF"/>
              </a:bgClr>
            </a:pattFill>
            <a:ln w="12700">
              <a:solidFill>
                <a:srgbClr val="000000"/>
              </a:solidFill>
              <a:prstDash val="solid"/>
            </a:ln>
          </c:spPr>
          <c:explosion val="22"/>
          <c:dPt>
            <c:idx val="0"/>
            <c:bubble3D val="0"/>
            <c:explosion val="31"/>
            <c:extLst>
              <c:ext xmlns:c16="http://schemas.microsoft.com/office/drawing/2014/chart" uri="{C3380CC4-5D6E-409C-BE32-E72D297353CC}">
                <c16:uniqueId val="{00000000-B206-457B-9EAE-6F74891F050B}"/>
              </c:ext>
            </c:extLst>
          </c:dPt>
          <c:dPt>
            <c:idx val="2"/>
            <c:bubble3D val="0"/>
            <c:explosion val="33"/>
            <c:extLst>
              <c:ext xmlns:c16="http://schemas.microsoft.com/office/drawing/2014/chart" uri="{C3380CC4-5D6E-409C-BE32-E72D297353CC}">
                <c16:uniqueId val="{00000001-B206-457B-9EAE-6F74891F050B}"/>
              </c:ext>
            </c:extLst>
          </c:dPt>
          <c:dLbls>
            <c:dLbl>
              <c:idx val="0"/>
              <c:layout>
                <c:manualLayout>
                  <c:x val="0.26702267985732558"/>
                  <c:y val="1.2286009703332539E-2"/>
                </c:manualLayout>
              </c:layout>
              <c:tx>
                <c:rich>
                  <a:bodyPr/>
                  <a:lstStyle/>
                  <a:p>
                    <a:r>
                      <a:rPr lang="zh-TW" altLang="en-US"/>
                      <a:t>  租金及權利金收入
</a:t>
                    </a:r>
                    <a:r>
                      <a:rPr lang="en-US" altLang="zh-TW" baseline="0">
                        <a:latin typeface="Times New Roman" pitchFamily="18" charset="0"/>
                        <a:cs typeface="Times New Roman" pitchFamily="18" charset="0"/>
                      </a:rPr>
                      <a:t>0.05%</a:t>
                    </a:r>
                  </a:p>
                </c:rich>
              </c:tx>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0-B206-457B-9EAE-6F74891F050B}"/>
                </c:ext>
              </c:extLst>
            </c:dLbl>
            <c:dLbl>
              <c:idx val="1"/>
              <c:layout>
                <c:manualLayout>
                  <c:x val="0.17418258062569764"/>
                  <c:y val="0.19256180940345427"/>
                </c:manualLayout>
              </c:layout>
              <c:tx>
                <c:rich>
                  <a:bodyPr/>
                  <a:lstStyle/>
                  <a:p>
                    <a:r>
                      <a:rPr lang="zh-TW" altLang="en-US"/>
                      <a:t>  投融資業務收入
</a:t>
                    </a:r>
                    <a:r>
                      <a:rPr lang="en-US" altLang="zh-TW" baseline="0">
                        <a:latin typeface="Times New Roman" pitchFamily="18" charset="0"/>
                        <a:cs typeface="Times New Roman" pitchFamily="18" charset="0"/>
                      </a:rPr>
                      <a:t>6.41%</a:t>
                    </a:r>
                  </a:p>
                </c:rich>
              </c:tx>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2-B206-457B-9EAE-6F74891F050B}"/>
                </c:ext>
              </c:extLst>
            </c:dLbl>
            <c:dLbl>
              <c:idx val="2"/>
              <c:layout>
                <c:manualLayout>
                  <c:x val="-5.526717814119389E-2"/>
                  <c:y val="4.5601208939791471E-2"/>
                </c:manualLayout>
              </c:layout>
              <c:tx>
                <c:rich>
                  <a:bodyPr/>
                  <a:lstStyle/>
                  <a:p>
                    <a:pPr>
                      <a:defRPr sz="1000" b="0" i="0" u="none" strike="noStrike" baseline="0">
                        <a:solidFill>
                          <a:srgbClr val="000000"/>
                        </a:solidFill>
                        <a:latin typeface="Times New Roman" pitchFamily="18" charset="0"/>
                        <a:ea typeface="標楷體"/>
                        <a:cs typeface="標楷體"/>
                      </a:defRPr>
                    </a:pPr>
                    <a:r>
                      <a:rPr lang="zh-TW" altLang="en-US" baseline="0">
                        <a:latin typeface="Times New Roman" pitchFamily="18" charset="0"/>
                      </a:rPr>
                      <a:t>  保險收入
</a:t>
                    </a:r>
                    <a:r>
                      <a:rPr lang="en-US" altLang="zh-TW" baseline="0">
                        <a:latin typeface="Times New Roman" pitchFamily="18" charset="0"/>
                      </a:rPr>
                      <a:t>87</a:t>
                    </a:r>
                    <a:r>
                      <a:rPr lang="en-US" altLang="zh-TW" baseline="0">
                        <a:latin typeface="Times New Roman" pitchFamily="18" charset="0"/>
                        <a:cs typeface="Times New Roman" pitchFamily="18" charset="0"/>
                      </a:rPr>
                      <a:t>.62%</a:t>
                    </a:r>
                  </a:p>
                </c:rich>
              </c:tx>
              <c:numFmt formatCode="0.00%" sourceLinked="0"/>
              <c:spPr>
                <a:noFill/>
                <a:ln w="25400">
                  <a:noFill/>
                </a:ln>
              </c:spPr>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1-B206-457B-9EAE-6F74891F050B}"/>
                </c:ext>
              </c:extLst>
            </c:dLbl>
            <c:dLbl>
              <c:idx val="3"/>
              <c:layout>
                <c:manualLayout>
                  <c:x val="-0.17881071858354872"/>
                  <c:y val="4.7464489256968646E-2"/>
                </c:manualLayout>
              </c:layout>
              <c:tx>
                <c:rich>
                  <a:bodyPr/>
                  <a:lstStyle/>
                  <a:p>
                    <a:r>
                      <a:rPr lang="zh-TW" altLang="en-US"/>
                      <a:t>  其他業務收入
</a:t>
                    </a:r>
                    <a:r>
                      <a:rPr lang="en-US" altLang="zh-TW" baseline="0">
                        <a:latin typeface="Times New Roman" pitchFamily="18" charset="0"/>
                        <a:ea typeface="標楷體" pitchFamily="65" charset="-120"/>
                        <a:cs typeface="Times New Roman" pitchFamily="18" charset="0"/>
                      </a:rPr>
                      <a:t>5.87%</a:t>
                    </a:r>
                  </a:p>
                </c:rich>
              </c:tx>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3-B206-457B-9EAE-6F74891F050B}"/>
                </c:ext>
              </c:extLst>
            </c:dLbl>
            <c:dLbl>
              <c:idx val="4"/>
              <c:layout>
                <c:manualLayout>
                  <c:x val="1.9069599058738347E-2"/>
                  <c:y val="-0.10896207332899661"/>
                </c:manualLayout>
              </c:layout>
              <c:tx>
                <c:rich>
                  <a:bodyPr/>
                  <a:lstStyle/>
                  <a:p>
                    <a:r>
                      <a:rPr lang="zh-TW" altLang="en-US"/>
                      <a:t>業務外收入
</a:t>
                    </a:r>
                    <a:r>
                      <a:rPr lang="en-US" altLang="zh-TW" baseline="0">
                        <a:latin typeface="Times New Roman" pitchFamily="18" charset="0"/>
                        <a:cs typeface="Times New Roman" pitchFamily="18" charset="0"/>
                      </a:rPr>
                      <a:t>0.05%</a:t>
                    </a:r>
                  </a:p>
                </c:rich>
              </c:tx>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4-B206-457B-9EAE-6F74891F050B}"/>
                </c:ext>
              </c:extLst>
            </c:dLbl>
            <c:numFmt formatCode="0.00%" sourceLinked="0"/>
            <c:spPr>
              <a:noFill/>
              <a:ln w="25400">
                <a:noFill/>
              </a:ln>
            </c:spPr>
            <c:txPr>
              <a:bodyPr/>
              <a:lstStyle/>
              <a:p>
                <a:pPr>
                  <a:defRPr sz="1000" b="0" i="0" u="none" strike="noStrike" baseline="0">
                    <a:solidFill>
                      <a:srgbClr val="000000"/>
                    </a:solidFill>
                    <a:latin typeface="標楷體"/>
                    <a:ea typeface="標楷體"/>
                    <a:cs typeface="標楷體"/>
                  </a:defRPr>
                </a:pPr>
                <a:endParaRPr lang="zh-TW"/>
              </a:p>
            </c:txPr>
            <c:showLegendKey val="0"/>
            <c:showVal val="0"/>
            <c:showCatName val="1"/>
            <c:showSerName val="0"/>
            <c:showPercent val="1"/>
            <c:showBubbleSize val="0"/>
            <c:showLeaderLines val="1"/>
            <c:extLst>
              <c:ext xmlns:c15="http://schemas.microsoft.com/office/drawing/2012/chart" uri="{CE6537A1-D6FC-4f65-9D91-7224C49458BB}"/>
            </c:extLst>
          </c:dLbls>
          <c:cat>
            <c:strRef>
              <c:f>圖1!$A$22:$A$26</c:f>
              <c:strCache>
                <c:ptCount val="5"/>
                <c:pt idx="0">
                  <c:v>  租金及權利金收入</c:v>
                </c:pt>
                <c:pt idx="1">
                  <c:v>  投融資業務收入</c:v>
                </c:pt>
                <c:pt idx="2">
                  <c:v>  保險收入</c:v>
                </c:pt>
                <c:pt idx="3">
                  <c:v>  其他業務收入</c:v>
                </c:pt>
                <c:pt idx="4">
                  <c:v>業務外收入</c:v>
                </c:pt>
              </c:strCache>
            </c:strRef>
          </c:cat>
          <c:val>
            <c:numRef>
              <c:f>圖1!$B$22:$B$26</c:f>
              <c:numCache>
                <c:formatCode>#,##0_ ;[Red]\-#,##0\ </c:formatCode>
                <c:ptCount val="5"/>
                <c:pt idx="0">
                  <c:v>280944</c:v>
                </c:pt>
                <c:pt idx="1">
                  <c:v>36562385</c:v>
                </c:pt>
                <c:pt idx="2">
                  <c:v>499649073</c:v>
                </c:pt>
                <c:pt idx="3">
                  <c:v>33499014</c:v>
                </c:pt>
                <c:pt idx="4">
                  <c:v>257048</c:v>
                </c:pt>
              </c:numCache>
            </c:numRef>
          </c:val>
          <c:extLst>
            <c:ext xmlns:c16="http://schemas.microsoft.com/office/drawing/2014/chart" uri="{C3380CC4-5D6E-409C-BE32-E72D297353CC}">
              <c16:uniqueId val="{00000005-B206-457B-9EAE-6F74891F050B}"/>
            </c:ext>
          </c:extLst>
        </c:ser>
        <c:ser>
          <c:idx val="1"/>
          <c:order val="1"/>
          <c:tx>
            <c:strRef>
              <c:f>圖1!$A$22:$A$26</c:f>
              <c:strCache>
                <c:ptCount val="5"/>
                <c:pt idx="0">
                  <c:v>  租金及權利金收入</c:v>
                </c:pt>
                <c:pt idx="1">
                  <c:v>  投融資業務收入</c:v>
                </c:pt>
                <c:pt idx="2">
                  <c:v>  保險收入</c:v>
                </c:pt>
                <c:pt idx="3">
                  <c:v>  其他業務收入</c:v>
                </c:pt>
                <c:pt idx="4">
                  <c:v>業務外收入</c:v>
                </c:pt>
              </c:strCache>
            </c:strRef>
          </c:tx>
          <c:dLbls>
            <c:spPr>
              <a:noFill/>
              <a:ln>
                <a:noFill/>
              </a:ln>
              <a:effectLst/>
            </c:spPr>
            <c:showLegendKey val="0"/>
            <c:showVal val="0"/>
            <c:showCatName val="1"/>
            <c:showSerName val="0"/>
            <c:showPercent val="1"/>
            <c:showBubbleSize val="0"/>
            <c:showLeaderLines val="1"/>
            <c:extLst>
              <c:ext xmlns:c15="http://schemas.microsoft.com/office/drawing/2012/chart" uri="{CE6537A1-D6FC-4f65-9D91-7224C49458BB}"/>
            </c:extLst>
          </c:dLbls>
          <c:val>
            <c:numRef>
              <c:f>圖1!$B$22:$B$26</c:f>
              <c:numCache>
                <c:formatCode>#,##0_ ;[Red]\-#,##0\ </c:formatCode>
                <c:ptCount val="5"/>
                <c:pt idx="0">
                  <c:v>280944</c:v>
                </c:pt>
                <c:pt idx="1">
                  <c:v>36562385</c:v>
                </c:pt>
                <c:pt idx="2">
                  <c:v>499649073</c:v>
                </c:pt>
                <c:pt idx="3">
                  <c:v>33499014</c:v>
                </c:pt>
                <c:pt idx="4">
                  <c:v>257048</c:v>
                </c:pt>
              </c:numCache>
            </c:numRef>
          </c:val>
          <c:extLst>
            <c:ext xmlns:c16="http://schemas.microsoft.com/office/drawing/2014/chart" uri="{C3380CC4-5D6E-409C-BE32-E72D297353CC}">
              <c16:uniqueId val="{00000006-B206-457B-9EAE-6F74891F050B}"/>
            </c:ext>
          </c:extLst>
        </c:ser>
        <c:dLbls>
          <c:showLegendKey val="0"/>
          <c:showVal val="0"/>
          <c:showCatName val="1"/>
          <c:showSerName val="0"/>
          <c:showPercent val="1"/>
          <c:showBubbleSize val="0"/>
          <c:showLeaderLines val="1"/>
        </c:dLbls>
      </c:pie3DChart>
      <c:spPr>
        <a:noFill/>
        <a:ln w="25400">
          <a:noFill/>
        </a:ln>
      </c:spPr>
    </c:plotArea>
    <c:plotVisOnly val="1"/>
    <c:dispBlanksAs val="zero"/>
    <c:showDLblsOverMax val="0"/>
  </c:chart>
  <c:spPr>
    <a:noFill/>
    <a:ln w="9525">
      <a:noFill/>
    </a:ln>
  </c:spPr>
  <c:txPr>
    <a:bodyPr/>
    <a:lstStyle/>
    <a:p>
      <a:pPr>
        <a:defRPr sz="1625" b="0" i="0" u="none" strike="noStrike" baseline="0">
          <a:solidFill>
            <a:srgbClr val="000000"/>
          </a:solidFill>
          <a:latin typeface="新細明體"/>
          <a:ea typeface="新細明體"/>
          <a:cs typeface="新細明體"/>
        </a:defRPr>
      </a:pPr>
      <a:endParaRPr lang="zh-TW"/>
    </a:p>
  </c:txPr>
  <c:printSettings>
    <c:headerFooter alignWithMargins="0"/>
    <c:pageMargins b="1" l="0.75000000000001432" r="0.75000000000001432" t="1" header="0.5" footer="0.5"/>
    <c:pageSetup paperSize="9" orientation="landscape"/>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2"/>
      <c:rotY val="20"/>
      <c:rAngAx val="0"/>
      <c:perspective val="0"/>
    </c:view3D>
    <c:floor>
      <c:thickness val="0"/>
    </c:floor>
    <c:sideWall>
      <c:thickness val="0"/>
    </c:sideWall>
    <c:backWall>
      <c:thickness val="0"/>
    </c:backWall>
    <c:plotArea>
      <c:layout/>
      <c:pie3DChart>
        <c:varyColors val="0"/>
        <c:dLbls>
          <c:showLegendKey val="0"/>
          <c:showVal val="0"/>
          <c:showCatName val="1"/>
          <c:showSerName val="0"/>
          <c:showPercent val="1"/>
          <c:showBubbleSize val="0"/>
          <c:showLeaderLines val="0"/>
        </c:dLbls>
      </c:pie3DChart>
      <c:spPr>
        <a:noFill/>
        <a:ln w="25400">
          <a:noFill/>
        </a:ln>
      </c:spPr>
    </c:plotArea>
    <c:plotVisOnly val="1"/>
    <c:dispBlanksAs val="zero"/>
    <c:showDLblsOverMax val="0"/>
  </c:chart>
  <c:spPr>
    <a:noFill/>
    <a:ln w="9525">
      <a:noFill/>
    </a:ln>
  </c:spPr>
  <c:txPr>
    <a:bodyPr/>
    <a:lstStyle/>
    <a:p>
      <a:pPr>
        <a:defRPr sz="425" b="0" i="0" u="none" strike="noStrike" baseline="0">
          <a:solidFill>
            <a:srgbClr val="000000"/>
          </a:solidFill>
          <a:latin typeface="新細明體"/>
          <a:ea typeface="新細明體"/>
          <a:cs typeface="新細明體"/>
        </a:defRPr>
      </a:pPr>
      <a:endParaRPr lang="zh-TW"/>
    </a:p>
  </c:txPr>
  <c:printSettings>
    <c:headerFooter alignWithMargins="0"/>
    <c:pageMargins b="1" l="0.75000000000001454" r="0.75000000000001454" t="1" header="0.5" footer="0.5"/>
    <c:pageSetup paperSize="9"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00" b="1" i="0" u="none" strike="noStrike" baseline="0">
                <a:solidFill>
                  <a:srgbClr val="000000"/>
                </a:solidFill>
                <a:latin typeface="標楷體"/>
                <a:ea typeface="標楷體"/>
                <a:cs typeface="標楷體"/>
              </a:defRPr>
            </a:pPr>
            <a:r>
              <a:rPr lang="zh-TW" altLang="en-US" sz="1600" b="1" i="0" strike="noStrike">
                <a:solidFill>
                  <a:srgbClr val="000000"/>
                </a:solidFill>
                <a:latin typeface="標楷體"/>
                <a:ea typeface="標楷體"/>
              </a:rPr>
              <a:t>最近</a:t>
            </a:r>
            <a:r>
              <a:rPr lang="en-US" altLang="zh-TW" sz="1600" b="1" i="0" strike="noStrike">
                <a:solidFill>
                  <a:srgbClr val="000000"/>
                </a:solidFill>
                <a:latin typeface="Times New Roman"/>
                <a:cs typeface="Times New Roman"/>
              </a:rPr>
              <a:t>5</a:t>
            </a:r>
            <a:r>
              <a:rPr lang="zh-TW" altLang="en-US" sz="1600" b="1" i="0" strike="noStrike">
                <a:solidFill>
                  <a:srgbClr val="000000"/>
                </a:solidFill>
                <a:latin typeface="標楷體"/>
                <a:ea typeface="標楷體"/>
              </a:rPr>
              <a:t>年收入與費用</a:t>
            </a:r>
          </a:p>
        </c:rich>
      </c:tx>
      <c:layout>
        <c:manualLayout>
          <c:xMode val="edge"/>
          <c:yMode val="edge"/>
          <c:x val="0.37777832433207797"/>
          <c:y val="1.1627920180686981E-2"/>
        </c:manualLayout>
      </c:layout>
      <c:overlay val="0"/>
      <c:spPr>
        <a:noFill/>
        <a:ln w="25400">
          <a:noFill/>
        </a:ln>
      </c:spPr>
    </c:title>
    <c:autoTitleDeleted val="0"/>
    <c:plotArea>
      <c:layout>
        <c:manualLayout>
          <c:layoutTarget val="inner"/>
          <c:xMode val="edge"/>
          <c:yMode val="edge"/>
          <c:x val="0.17185210048047345"/>
          <c:y val="0.17441880271031068"/>
          <c:w val="0.74074181241586368"/>
          <c:h val="0.61162860150416398"/>
        </c:manualLayout>
      </c:layout>
      <c:barChart>
        <c:barDir val="col"/>
        <c:grouping val="clustered"/>
        <c:varyColors val="0"/>
        <c:ser>
          <c:idx val="0"/>
          <c:order val="0"/>
          <c:tx>
            <c:strRef>
              <c:f>圖2!$A$18</c:f>
              <c:strCache>
                <c:ptCount val="1"/>
                <c:pt idx="0">
                  <c:v>收入合計</c:v>
                </c:pt>
              </c:strCache>
            </c:strRef>
          </c:tx>
          <c:spPr>
            <a:solidFill>
              <a:srgbClr val="969696"/>
            </a:solidFill>
            <a:ln w="12700">
              <a:solidFill>
                <a:srgbClr val="000000"/>
              </a:solidFill>
              <a:prstDash val="solid"/>
            </a:ln>
          </c:spPr>
          <c:invertIfNegative val="0"/>
          <c:cat>
            <c:numRef>
              <c:f>圖2!$I$14:$M$14</c:f>
              <c:numCache>
                <c:formatCode>General</c:formatCode>
                <c:ptCount val="5"/>
                <c:pt idx="0">
                  <c:v>107</c:v>
                </c:pt>
                <c:pt idx="1">
                  <c:v>108</c:v>
                </c:pt>
                <c:pt idx="2">
                  <c:v>109</c:v>
                </c:pt>
                <c:pt idx="3">
                  <c:v>110</c:v>
                </c:pt>
                <c:pt idx="4">
                  <c:v>111</c:v>
                </c:pt>
              </c:numCache>
            </c:numRef>
          </c:cat>
          <c:val>
            <c:numRef>
              <c:f>圖2!$I$18:$M$18</c:f>
              <c:numCache>
                <c:formatCode>#,##0</c:formatCode>
                <c:ptCount val="5"/>
                <c:pt idx="0">
                  <c:v>564977800000</c:v>
                </c:pt>
                <c:pt idx="1">
                  <c:v>606449881000</c:v>
                </c:pt>
                <c:pt idx="2">
                  <c:v>694763933000</c:v>
                </c:pt>
                <c:pt idx="3">
                  <c:v>533964580000</c:v>
                </c:pt>
                <c:pt idx="4">
                  <c:v>570248464000</c:v>
                </c:pt>
              </c:numCache>
            </c:numRef>
          </c:val>
          <c:extLst>
            <c:ext xmlns:c16="http://schemas.microsoft.com/office/drawing/2014/chart" uri="{C3380CC4-5D6E-409C-BE32-E72D297353CC}">
              <c16:uniqueId val="{00000000-29A6-40A8-BCAD-8D84D58140D9}"/>
            </c:ext>
          </c:extLst>
        </c:ser>
        <c:ser>
          <c:idx val="0"/>
          <c:order val="1"/>
          <c:tx>
            <c:strRef>
              <c:f>圖2!$A$22</c:f>
              <c:strCache>
                <c:ptCount val="1"/>
                <c:pt idx="0">
                  <c:v>費用合計</c:v>
                </c:pt>
              </c:strCache>
            </c:strRef>
          </c:tx>
          <c:spPr>
            <a:solidFill>
              <a:srgbClr val="FFCC99"/>
            </a:solidFill>
            <a:ln w="12700">
              <a:solidFill>
                <a:srgbClr val="000000"/>
              </a:solidFill>
              <a:prstDash val="solid"/>
            </a:ln>
          </c:spPr>
          <c:invertIfNegative val="0"/>
          <c:cat>
            <c:numRef>
              <c:f>圖2!$I$14:$M$14</c:f>
              <c:numCache>
                <c:formatCode>General</c:formatCode>
                <c:ptCount val="5"/>
                <c:pt idx="0">
                  <c:v>107</c:v>
                </c:pt>
                <c:pt idx="1">
                  <c:v>108</c:v>
                </c:pt>
                <c:pt idx="2">
                  <c:v>109</c:v>
                </c:pt>
                <c:pt idx="3">
                  <c:v>110</c:v>
                </c:pt>
                <c:pt idx="4">
                  <c:v>111</c:v>
                </c:pt>
              </c:numCache>
            </c:numRef>
          </c:cat>
          <c:val>
            <c:numRef>
              <c:f>圖2!$I$22:$M$22</c:f>
              <c:numCache>
                <c:formatCode>#,##0</c:formatCode>
                <c:ptCount val="5"/>
                <c:pt idx="0">
                  <c:v>564977800000</c:v>
                </c:pt>
                <c:pt idx="1">
                  <c:v>606449881000</c:v>
                </c:pt>
                <c:pt idx="2">
                  <c:v>694763933000</c:v>
                </c:pt>
                <c:pt idx="3">
                  <c:v>533964580000</c:v>
                </c:pt>
                <c:pt idx="4">
                  <c:v>570248464000</c:v>
                </c:pt>
              </c:numCache>
            </c:numRef>
          </c:val>
          <c:extLst>
            <c:ext xmlns:c16="http://schemas.microsoft.com/office/drawing/2014/chart" uri="{C3380CC4-5D6E-409C-BE32-E72D297353CC}">
              <c16:uniqueId val="{00000001-29A6-40A8-BCAD-8D84D58140D9}"/>
            </c:ext>
          </c:extLst>
        </c:ser>
        <c:dLbls>
          <c:showLegendKey val="0"/>
          <c:showVal val="0"/>
          <c:showCatName val="0"/>
          <c:showSerName val="0"/>
          <c:showPercent val="0"/>
          <c:showBubbleSize val="0"/>
        </c:dLbls>
        <c:gapWidth val="150"/>
        <c:axId val="391693312"/>
        <c:axId val="390713280"/>
      </c:barChart>
      <c:catAx>
        <c:axId val="391693312"/>
        <c:scaling>
          <c:orientation val="minMax"/>
        </c:scaling>
        <c:delete val="0"/>
        <c:axPos val="b"/>
        <c:title>
          <c:tx>
            <c:rich>
              <a:bodyPr/>
              <a:lstStyle/>
              <a:p>
                <a:pPr>
                  <a:defRPr sz="1200" b="0" i="0" u="none" strike="noStrike" baseline="0">
                    <a:solidFill>
                      <a:srgbClr val="000000"/>
                    </a:solidFill>
                    <a:latin typeface="標楷體"/>
                    <a:ea typeface="標楷體"/>
                    <a:cs typeface="標楷體"/>
                  </a:defRPr>
                </a:pPr>
                <a:r>
                  <a:rPr lang="zh-TW" altLang="en-US"/>
                  <a:t>年度</a:t>
                </a:r>
              </a:p>
            </c:rich>
          </c:tx>
          <c:layout>
            <c:manualLayout>
              <c:xMode val="edge"/>
              <c:yMode val="edge"/>
              <c:x val="0.89283966170895257"/>
              <c:y val="0.80155136421900752"/>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新細明體"/>
                <a:ea typeface="新細明體"/>
                <a:cs typeface="新細明體"/>
              </a:defRPr>
            </a:pPr>
            <a:endParaRPr lang="zh-TW"/>
          </a:p>
        </c:txPr>
        <c:crossAx val="390713280"/>
        <c:crosses val="autoZero"/>
        <c:auto val="0"/>
        <c:lblAlgn val="ctr"/>
        <c:lblOffset val="100"/>
        <c:tickLblSkip val="1"/>
        <c:tickMarkSkip val="1"/>
        <c:noMultiLvlLbl val="0"/>
      </c:catAx>
      <c:valAx>
        <c:axId val="390713280"/>
        <c:scaling>
          <c:orientation val="minMax"/>
          <c:max val="720000000000"/>
          <c:min val="500000000000"/>
        </c:scaling>
        <c:delete val="0"/>
        <c:axPos val="l"/>
        <c:majorGridlines>
          <c:spPr>
            <a:ln w="3175">
              <a:solidFill>
                <a:srgbClr val="000000"/>
              </a:solidFill>
              <a:prstDash val="solid"/>
            </a:ln>
          </c:spPr>
        </c:majorGridlines>
        <c:title>
          <c:tx>
            <c:rich>
              <a:bodyPr rot="0" vert="horz"/>
              <a:lstStyle/>
              <a:p>
                <a:pPr algn="ctr">
                  <a:defRPr sz="1200" b="0" i="0" u="none" strike="noStrike" baseline="0">
                    <a:solidFill>
                      <a:srgbClr val="000000"/>
                    </a:solidFill>
                    <a:latin typeface="標楷體"/>
                    <a:ea typeface="標楷體"/>
                    <a:cs typeface="標楷體"/>
                  </a:defRPr>
                </a:pPr>
                <a:r>
                  <a:rPr lang="zh-TW" altLang="en-US"/>
                  <a:t>百萬元</a:t>
                </a:r>
              </a:p>
            </c:rich>
          </c:tx>
          <c:layout>
            <c:manualLayout>
              <c:xMode val="edge"/>
              <c:yMode val="edge"/>
              <c:x val="8.0000115740908193E-2"/>
              <c:y val="4.6511680722747924E-2"/>
            </c:manualLayout>
          </c:layout>
          <c:overlay val="0"/>
          <c:spPr>
            <a:noFill/>
            <a:ln w="25400">
              <a:noFill/>
            </a:ln>
          </c:spPr>
        </c:title>
        <c:numFmt formatCode="#,##0" sourceLinked="1"/>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新細明體"/>
                <a:ea typeface="新細明體"/>
                <a:cs typeface="新細明體"/>
              </a:defRPr>
            </a:pPr>
            <a:endParaRPr lang="zh-TW"/>
          </a:p>
        </c:txPr>
        <c:crossAx val="391693312"/>
        <c:crosses val="autoZero"/>
        <c:crossBetween val="between"/>
        <c:dispUnits>
          <c:builtInUnit val="millions"/>
        </c:dispUnits>
      </c:valAx>
      <c:spPr>
        <a:solidFill>
          <a:srgbClr val="FFFFFF"/>
        </a:solidFill>
        <a:ln w="3175">
          <a:solidFill>
            <a:srgbClr val="000000"/>
          </a:solidFill>
          <a:prstDash val="solid"/>
        </a:ln>
      </c:spPr>
    </c:plotArea>
    <c:legend>
      <c:legendPos val="t"/>
      <c:legendEntry>
        <c:idx val="0"/>
        <c:txPr>
          <a:bodyPr/>
          <a:lstStyle/>
          <a:p>
            <a:pPr>
              <a:defRPr sz="1100" b="0" i="0" u="none" strike="noStrike" baseline="0">
                <a:solidFill>
                  <a:srgbClr val="000000"/>
                </a:solidFill>
                <a:latin typeface="標楷體"/>
                <a:ea typeface="標楷體"/>
                <a:cs typeface="標楷體"/>
              </a:defRPr>
            </a:pPr>
            <a:endParaRPr lang="zh-TW"/>
          </a:p>
        </c:txPr>
      </c:legendEntry>
      <c:legendEntry>
        <c:idx val="1"/>
        <c:txPr>
          <a:bodyPr/>
          <a:lstStyle/>
          <a:p>
            <a:pPr>
              <a:defRPr sz="1100" b="0" i="0" u="none" strike="noStrike" baseline="0">
                <a:solidFill>
                  <a:srgbClr val="000000"/>
                </a:solidFill>
                <a:latin typeface="標楷體"/>
                <a:ea typeface="標楷體"/>
                <a:cs typeface="標楷體"/>
              </a:defRPr>
            </a:pPr>
            <a:endParaRPr lang="zh-TW"/>
          </a:p>
        </c:txPr>
      </c:legendEntry>
      <c:layout>
        <c:manualLayout>
          <c:xMode val="edge"/>
          <c:yMode val="edge"/>
          <c:x val="0.7674085176628056"/>
          <c:y val="1.1627920180686981E-2"/>
          <c:w val="0.13185204261001535"/>
          <c:h val="0.11860478584300722"/>
        </c:manualLayout>
      </c:layout>
      <c:overlay val="0"/>
      <c:spPr>
        <a:solidFill>
          <a:srgbClr val="FFFFFF"/>
        </a:solidFill>
        <a:ln w="25400">
          <a:noFill/>
        </a:ln>
      </c:spPr>
      <c:txPr>
        <a:bodyPr/>
        <a:lstStyle/>
        <a:p>
          <a:pPr>
            <a:defRPr sz="1100" b="0" i="0" u="none" strike="noStrike" baseline="0">
              <a:solidFill>
                <a:srgbClr val="000000"/>
              </a:solidFill>
              <a:latin typeface="新細明體"/>
              <a:ea typeface="新細明體"/>
              <a:cs typeface="新細明體"/>
            </a:defRPr>
          </a:pPr>
          <a:endParaRPr lang="zh-TW"/>
        </a:p>
      </c:txPr>
    </c:legend>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新細明體"/>
          <a:ea typeface="新細明體"/>
          <a:cs typeface="新細明體"/>
        </a:defRPr>
      </a:pPr>
      <a:endParaRPr lang="zh-TW"/>
    </a:p>
  </c:txPr>
  <c:printSettings>
    <c:headerFooter alignWithMargins="0">
      <c:oddHeader>&amp;A</c:oddHeader>
      <c:oddFooter>Page &amp;P</c:oddFooter>
    </c:headerFooter>
    <c:pageMargins b="1" l="0.75000000000001454" r="0.75000000000001454" t="1" header="0.5" footer="0.5"/>
    <c:pageSetup paperSize="9" orientation="landscape"/>
  </c:printSettings>
  <c:userShapes r:id="rId1"/>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2" Type="http://schemas.openxmlformats.org/officeDocument/2006/relationships/chart" Target="../charts/chart5.xml"/><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0</xdr:colOff>
      <xdr:row>17</xdr:row>
      <xdr:rowOff>0</xdr:rowOff>
    </xdr:from>
    <xdr:to>
      <xdr:col>4</xdr:col>
      <xdr:colOff>0</xdr:colOff>
      <xdr:row>17</xdr:row>
      <xdr:rowOff>0</xdr:rowOff>
    </xdr:to>
    <xdr:graphicFrame macro="">
      <xdr:nvGraphicFramePr>
        <xdr:cNvPr id="2" name="Chart 1">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10</xdr:row>
      <xdr:rowOff>0</xdr:rowOff>
    </xdr:from>
    <xdr:to>
      <xdr:col>4</xdr:col>
      <xdr:colOff>0</xdr:colOff>
      <xdr:row>18</xdr:row>
      <xdr:rowOff>200025</xdr:rowOff>
    </xdr:to>
    <xdr:graphicFrame macro="">
      <xdr:nvGraphicFramePr>
        <xdr:cNvPr id="3" name="Chart 6">
          <a:extLst>
            <a:ext uri="{FF2B5EF4-FFF2-40B4-BE49-F238E27FC236}">
              <a16:creationId xmlns:a16="http://schemas.microsoft.com/office/drawing/2014/main" id="{00000000-0008-0000-0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1</xdr:row>
      <xdr:rowOff>323850</xdr:rowOff>
    </xdr:from>
    <xdr:to>
      <xdr:col>4</xdr:col>
      <xdr:colOff>0</xdr:colOff>
      <xdr:row>10</xdr:row>
      <xdr:rowOff>38100</xdr:rowOff>
    </xdr:to>
    <xdr:graphicFrame macro="">
      <xdr:nvGraphicFramePr>
        <xdr:cNvPr id="4" name="Chart 7">
          <a:extLst>
            <a:ext uri="{FF2B5EF4-FFF2-40B4-BE49-F238E27FC236}">
              <a16:creationId xmlns:a16="http://schemas.microsoft.com/office/drawing/2014/main" id="{00000000-0008-0000-03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0.36862</cdr:x>
      <cdr:y>0.93107</cdr:y>
    </cdr:from>
    <cdr:to>
      <cdr:x>0.52322</cdr:x>
      <cdr:y>1</cdr:y>
    </cdr:to>
    <cdr:sp macro="" textlink="">
      <cdr:nvSpPr>
        <cdr:cNvPr id="20488" name="Text Box 8"/>
        <cdr:cNvSpPr txBox="1">
          <a:spLocks xmlns:a="http://schemas.openxmlformats.org/drawingml/2006/main" noChangeArrowheads="1"/>
        </cdr:cNvSpPr>
      </cdr:nvSpPr>
      <cdr:spPr bwMode="auto">
        <a:xfrm xmlns:a="http://schemas.openxmlformats.org/drawingml/2006/main" rot="20629716" flipH="1">
          <a:off x="2199374" y="2917726"/>
          <a:ext cx="922414" cy="215999"/>
        </a:xfrm>
        <a:prstGeom xmlns:a="http://schemas.openxmlformats.org/drawingml/2006/main" prst="rect">
          <a:avLst/>
        </a:prstGeom>
        <a:noFill xmlns:a="http://schemas.openxmlformats.org/drawingml/2006/main"/>
        <a:ln xmlns:a="http://schemas.openxmlformats.org/drawingml/2006/main" w="9525">
          <a:noFill/>
          <a:miter lim="800000"/>
          <a:headEnd/>
          <a:tailEnd/>
        </a:ln>
        <a:effectLst xmlns:a="http://schemas.openxmlformats.org/drawingml/2006/main"/>
      </cdr:spPr>
      <cdr:txBody>
        <a:bodyPr xmlns:a="http://schemas.openxmlformats.org/drawingml/2006/main" vertOverflow="clip" wrap="square" lIns="27432" tIns="27432" rIns="27432" bIns="0" anchor="t" upright="1"/>
        <a:lstStyle xmlns:a="http://schemas.openxmlformats.org/drawingml/2006/main"/>
        <a:p xmlns:a="http://schemas.openxmlformats.org/drawingml/2006/main">
          <a:pPr algn="ctr" rtl="0">
            <a:defRPr sz="1000"/>
          </a:pPr>
          <a:endParaRPr lang="en-US" altLang="zh-TW" sz="1000" b="0" i="0" strike="noStrike" baseline="0">
            <a:solidFill>
              <a:srgbClr val="000000"/>
            </a:solidFill>
            <a:latin typeface="Times New Roman"/>
            <a:ea typeface="標楷體" pitchFamily="65" charset="-120"/>
            <a:cs typeface="Times New Roman"/>
          </a:endParaRPr>
        </a:p>
      </cdr:txBody>
    </cdr:sp>
  </cdr:relSizeAnchor>
</c:userShapes>
</file>

<file path=xl/drawings/drawing3.xml><?xml version="1.0" encoding="utf-8"?>
<c:userShapes xmlns:c="http://schemas.openxmlformats.org/drawingml/2006/chart">
  <cdr:relSizeAnchor xmlns:cdr="http://schemas.openxmlformats.org/drawingml/2006/chartDrawing">
    <cdr:from>
      <cdr:x>0.4453</cdr:x>
      <cdr:y>0.08954</cdr:y>
    </cdr:from>
    <cdr:to>
      <cdr:x>0.45959</cdr:x>
      <cdr:y>0.20131</cdr:y>
    </cdr:to>
    <cdr:sp macro="" textlink="">
      <cdr:nvSpPr>
        <cdr:cNvPr id="53250" name="Text Box 2"/>
        <cdr:cNvSpPr txBox="1">
          <a:spLocks xmlns:a="http://schemas.openxmlformats.org/drawingml/2006/main" noChangeArrowheads="1"/>
        </cdr:cNvSpPr>
      </cdr:nvSpPr>
      <cdr:spPr bwMode="auto">
        <a:xfrm xmlns:a="http://schemas.openxmlformats.org/drawingml/2006/main">
          <a:off x="2950996" y="285465"/>
          <a:ext cx="94607" cy="352380"/>
        </a:xfrm>
        <a:prstGeom xmlns:a="http://schemas.openxmlformats.org/drawingml/2006/main" prst="rect">
          <a:avLst/>
        </a:prstGeom>
        <a:noFill xmlns:a="http://schemas.openxmlformats.org/drawingml/2006/main"/>
        <a:ln xmlns:a="http://schemas.openxmlformats.org/drawingml/2006/main" w="9525">
          <a:noFill/>
          <a:miter lim="800000"/>
          <a:headEnd/>
          <a:tailEnd/>
        </a:ln>
        <a:effectLst xmlns:a="http://schemas.openxmlformats.org/drawingml/2006/main"/>
      </cdr:spPr>
    </cdr:sp>
  </cdr:relSizeAnchor>
</c:userShapes>
</file>

<file path=xl/drawings/drawing4.xml><?xml version="1.0" encoding="utf-8"?>
<xdr:wsDr xmlns:xdr="http://schemas.openxmlformats.org/drawingml/2006/spreadsheetDrawing" xmlns:a="http://schemas.openxmlformats.org/drawingml/2006/main">
  <xdr:twoCellAnchor>
    <xdr:from>
      <xdr:col>0</xdr:col>
      <xdr:colOff>0</xdr:colOff>
      <xdr:row>11</xdr:row>
      <xdr:rowOff>0</xdr:rowOff>
    </xdr:from>
    <xdr:to>
      <xdr:col>4</xdr:col>
      <xdr:colOff>0</xdr:colOff>
      <xdr:row>11</xdr:row>
      <xdr:rowOff>0</xdr:rowOff>
    </xdr:to>
    <xdr:graphicFrame macro="">
      <xdr:nvGraphicFramePr>
        <xdr:cNvPr id="2" name="Chart 1">
          <a:extLst>
            <a:ext uri="{FF2B5EF4-FFF2-40B4-BE49-F238E27FC236}">
              <a16:creationId xmlns:a16="http://schemas.microsoft.com/office/drawing/2014/main" id="{00000000-0008-0000-04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1</xdr:row>
      <xdr:rowOff>9525</xdr:rowOff>
    </xdr:from>
    <xdr:to>
      <xdr:col>5</xdr:col>
      <xdr:colOff>952500</xdr:colOff>
      <xdr:row>12</xdr:row>
      <xdr:rowOff>38100</xdr:rowOff>
    </xdr:to>
    <xdr:graphicFrame macro="">
      <xdr:nvGraphicFramePr>
        <xdr:cNvPr id="3" name="Chart 3">
          <a:extLst>
            <a:ext uri="{FF2B5EF4-FFF2-40B4-BE49-F238E27FC236}">
              <a16:creationId xmlns:a16="http://schemas.microsoft.com/office/drawing/2014/main" id="{00000000-0008-0000-04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c:userShapes xmlns:c="http://schemas.openxmlformats.org/drawingml/2006/chart">
  <cdr:relSizeAnchor xmlns:cdr="http://schemas.openxmlformats.org/drawingml/2006/chartDrawing">
    <cdr:from>
      <cdr:x>0.24779</cdr:x>
      <cdr:y>0.15031</cdr:y>
    </cdr:from>
    <cdr:to>
      <cdr:x>0.26257</cdr:x>
      <cdr:y>0.2199</cdr:y>
    </cdr:to>
    <cdr:sp macro="" textlink="">
      <cdr:nvSpPr>
        <cdr:cNvPr id="61441" name="Text Box 1"/>
        <cdr:cNvSpPr txBox="1">
          <a:spLocks xmlns:a="http://schemas.openxmlformats.org/drawingml/2006/main" noChangeArrowheads="1"/>
        </cdr:cNvSpPr>
      </cdr:nvSpPr>
      <cdr:spPr bwMode="auto">
        <a:xfrm xmlns:a="http://schemas.openxmlformats.org/drawingml/2006/main">
          <a:off x="1598651" y="620224"/>
          <a:ext cx="95154" cy="285714"/>
        </a:xfrm>
        <a:prstGeom xmlns:a="http://schemas.openxmlformats.org/drawingml/2006/main" prst="rect">
          <a:avLst/>
        </a:prstGeom>
        <a:noFill xmlns:a="http://schemas.openxmlformats.org/drawingml/2006/main"/>
        <a:ln xmlns:a="http://schemas.openxmlformats.org/drawingml/2006/main" w="9525">
          <a:noFill/>
          <a:miter lim="800000"/>
          <a:headEnd/>
          <a:tailEnd/>
        </a:ln>
        <a:effectLst xmlns:a="http://schemas.openxmlformats.org/drawingml/2006/main"/>
      </cdr:spPr>
    </cdr:sp>
  </cdr:relSizeAnchor>
</c:userShape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nts%20and%20Settings\2262\&#26700;&#38754;\2262\2262\wu\&#27770;&#31639;\&#36027;&#29992;&#26126;&#32048;&#349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2262/&#26700;&#38754;/2262/2262/wu/&#27770;&#31639;/&#36027;&#29992;&#26126;&#32048;&#3492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cuments%20and%20Settings\a15497\Local%20Settings\Temporary%20Internet%20Files\OLK2\91&#20027;&#27231;&#22686;&#31199;&#26126;&#3204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ocuments%20and%20Settings/a15497/Local%20Settings/Temporary%20Internet%20Files/OLK2/91&#20027;&#27231;&#22686;&#31199;&#26126;&#3204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Te337\MYDOCS$\&#38928;&#31639;\(91)\91&#20027;&#27231;&#22686;&#31199;&#26126;&#3204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WINDOWS\Desktop\&#38928;&#31639;&#33287;&#22865;&#32004;\&#38928;&#31639;\(91)\(91)&#38928;&#31639;&#35336;&#3005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WINDOWS/Desktop/&#38928;&#31639;&#33287;&#22865;&#32004;/&#38928;&#31639;/(91)/(91)&#38928;&#31639;&#35336;&#3005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WINDOWS\Desktop\&#38928;&#31639;&#33287;&#22865;&#32004;\&#38928;&#31639;\(92)\(92)&#38928;&#31639;&#35336;&#3005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WINDOWS/Desktop/&#38928;&#31639;&#33287;&#22865;&#32004;/&#38928;&#31639;/(92)/(92)&#38928;&#31639;&#35336;&#3005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te337\MyDocs$\My%20Documents\&#38928;&#31639;\(91)\91&#20027;&#27231;&#22686;&#31199;&#26126;&#3204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a18115/AppData/Local/Microsoft/Windows/INetCache/Content.Outlook/B96N872G/4.%20&#38928;&#31639;&#26360;&#34920;1100609&#37325;&#32232;5&#26376;1&#26085;&#29256;-&#32317;&#34389;&#20462;&#25913;&#2446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製造成本"/>
      <sheetName val="行銷費用"/>
      <sheetName val="管理費用"/>
      <sheetName val="研究費用"/>
      <sheetName val="業務外費用"/>
      <sheetName val="費用彙計"/>
      <sheetName val="費用底稿"/>
      <sheetName val="人數"/>
      <sheetName val="稅捐"/>
      <sheetName val="折舊"/>
      <sheetName val="報廢"/>
      <sheetName val="用人費"/>
      <sheetName val="車輛"/>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製造成本"/>
      <sheetName val="行銷費用"/>
      <sheetName val="管理費用"/>
      <sheetName val="研究費用"/>
      <sheetName val="業務外費用"/>
      <sheetName val="費用彙計"/>
      <sheetName val="費用底稿"/>
      <sheetName val="人數"/>
      <sheetName val="稅捐"/>
      <sheetName val="折舊"/>
      <sheetName val="報廢"/>
      <sheetName val="用人費"/>
      <sheetName val="車輛"/>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60個月_(公式)3"/>
      <sheetName val="24個月_(公式)3"/>
      <sheetName val="60個月_(公式)"/>
      <sheetName val="24個月_(公式)"/>
      <sheetName val="60個月_(公式)2"/>
      <sheetName val="24個月_(公式)2"/>
      <sheetName val="60個月_(公式)1"/>
      <sheetName val="24個月_(公式)1"/>
      <sheetName val="60個月_(公式)4"/>
      <sheetName val="24個月_(公式)4"/>
      <sheetName val="60個月_(公式)5"/>
      <sheetName val="24個月_(公式)5"/>
      <sheetName val="60個月_(公式)7"/>
      <sheetName val="24個月_(公式)7"/>
      <sheetName val="60個月_(公式)6"/>
      <sheetName val="24個月_(公式)6"/>
    </sheetNames>
    <sheetDataSet>
      <sheetData sheetId="0"/>
      <sheetData sheetId="1"/>
      <sheetData sheetId="2">
        <row r="3">
          <cell r="B3">
            <v>1.4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60個月_(公式)3"/>
      <sheetName val="24個月_(公式)3"/>
      <sheetName val="60個月_(公式)"/>
      <sheetName val="24個月_(公式)"/>
      <sheetName val="60個月_(公式)2"/>
      <sheetName val="24個月_(公式)2"/>
      <sheetName val="60個月_(公式)1"/>
      <sheetName val="24個月_(公式)1"/>
      <sheetName val="60個月_(公式)4"/>
      <sheetName val="24個月_(公式)4"/>
      <sheetName val="60個月_(公式)5"/>
      <sheetName val="24個月_(公式)5"/>
      <sheetName val="60個月_(公式)7"/>
      <sheetName val="24個月_(公式)7"/>
      <sheetName val="60個月_(公式)6"/>
      <sheetName val="24個月_(公式)6"/>
    </sheetNames>
    <sheetDataSet>
      <sheetData sheetId="0"/>
      <sheetData sheetId="1"/>
      <sheetData sheetId="2">
        <row r="3">
          <cell r="B3">
            <v>1.4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60個月_(公式)"/>
      <sheetName val="24個月_(公式)"/>
      <sheetName val="60個月_(公式)1"/>
      <sheetName val="24個月_(公式)1"/>
      <sheetName val="60個月_(公式)3"/>
      <sheetName val="24個月_(公式)3"/>
      <sheetName val="60個月_(公式)2"/>
      <sheetName val="24個月_(公式)2"/>
      <sheetName val="60個月_(公式)4"/>
      <sheetName val="24個月_(公式)4"/>
      <sheetName val="60個月_(公式)7"/>
      <sheetName val="24個月_(公式)7"/>
      <sheetName val="60個月_(公式)5"/>
      <sheetName val="24個月_(公式)5"/>
      <sheetName val="60個月_(公式)6"/>
      <sheetName val="24個月_(公式)6"/>
      <sheetName val="麥寮"/>
      <sheetName val="銷貨收入"/>
      <sheetName val="60個月_(公式)11"/>
      <sheetName val="24個月_(公式)11"/>
      <sheetName val="60個月_(公式)8"/>
      <sheetName val="24個月_(公式)8"/>
      <sheetName val="60個月_(公式)10"/>
      <sheetName val="24個月_(公式)10"/>
      <sheetName val="60個月_(公式)9"/>
      <sheetName val="24個月_(公式)9"/>
      <sheetName val="60個月_(公式)12"/>
      <sheetName val="24個月_(公式)12"/>
      <sheetName val="60個月_(公式)13"/>
      <sheetName val="24個月_(公式)13"/>
      <sheetName val="60個月_(公式)15"/>
      <sheetName val="24個月_(公式)15"/>
      <sheetName val="60個月_(公式)14"/>
      <sheetName val="24個月_(公式)14"/>
      <sheetName val="稅捐"/>
      <sheetName val="W 貸出款"/>
      <sheetName val="90年度"/>
      <sheetName val="60個月_(公式)16"/>
      <sheetName val="24個月_(公式)16"/>
      <sheetName val="W_貸出款"/>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8)新主機"/>
      <sheetName val="印表頁數"/>
      <sheetName val="(89)主機增租"/>
      <sheetName val="(90)擬增租主機"/>
      <sheetName val="Rate"/>
      <sheetName val="(91)主機增租"/>
      <sheetName val="磁碟陣列(敬老)"/>
      <sheetName val="250台(契約價)"/>
      <sheetName val="(88)600台(契約價)"/>
      <sheetName val="(88)部分設備增租"/>
      <sheetName val="(88)9台SERVER增租契約價 "/>
      <sheetName val="網路監控"/>
      <sheetName val="(89)線路租金"/>
      <sheetName val="(89)增租契約價 (130)"/>
      <sheetName val="(89)增租契約價 (162)"/>
      <sheetName val="Sheet1"/>
      <sheetName val="(89)增租契約價 (78)"/>
      <sheetName val="(90)120台(報價) "/>
      <sheetName val="(91)250重新招租"/>
      <sheetName val="(91)370契約價"/>
      <sheetName val="(91)9台SERVER重新招租"/>
      <sheetName val="勞農保給付委鍵案"/>
      <sheetName val="勞農保承保委鍵案"/>
      <sheetName val="微縮軟片"/>
      <sheetName val="(90)續增租磁碟陣列(報價)"/>
      <sheetName val="(91)擬增租主機"/>
      <sheetName val="(91)擬增修軟體"/>
      <sheetName val="(91)預算"/>
      <sheetName val="會計室"/>
      <sheetName val="主計處"/>
      <sheetName val="攤銷費(會局)"/>
      <sheetName val="攤銷費(勞保局89)"/>
      <sheetName val="攤銷費(勞保局9001)"/>
      <sheetName val="攤銷費(勞保局9002) "/>
      <sheetName val="攤銷費(勞保局9003)"/>
      <sheetName val="攤銷費(勞保局9004"/>
      <sheetName val="攤銷費(勞保局9005"/>
      <sheetName val="攤銷費(勞保局9006)"/>
      <sheetName val="攤銷費(勞保局9007)"/>
      <sheetName val="攤銷費(勞保局9008)"/>
      <sheetName val="攤銷費(勞保局9009)"/>
      <sheetName val="職災業務租用30台PC及相關設備(NEC報價)"/>
      <sheetName val="職災業務租用主機(NEC報價)"/>
      <sheetName val="職災保護預算"/>
      <sheetName val="Sheet2"/>
      <sheetName val="(91)預算 (2)"/>
      <sheetName val="Sheet5"/>
      <sheetName val="Sheet3"/>
      <sheetName val="(91)預算分析 "/>
      <sheetName val="NEC費用明細"/>
      <sheetName val="NEC費用明細 (2)"/>
      <sheetName val="行契約金額"/>
      <sheetName val="經費分析"/>
      <sheetName val="經費分析 (2)"/>
      <sheetName val="預算及支用"/>
      <sheetName val="預算及支用分析"/>
      <sheetName val="攤銷費(勞保局91)"/>
      <sheetName val="(88)9台SERVER增租契約價_3"/>
      <sheetName val="(89)增租契約價_(130)3"/>
      <sheetName val="(89)增租契約價_(162)3"/>
      <sheetName val="(89)增租契約價_(78)3"/>
      <sheetName val="(90)120台(報價)_3"/>
      <sheetName val="攤銷費(勞保局9002)_3"/>
      <sheetName val="(91)預算_(2)3"/>
      <sheetName val="(91)預算分析_3"/>
      <sheetName val="NEC費用明細_(2)3"/>
      <sheetName val="經費分析_(2)3"/>
      <sheetName val="(88)9台SERVER增租契約價_"/>
      <sheetName val="(89)增租契約價_(130)"/>
      <sheetName val="(89)增租契約價_(162)"/>
      <sheetName val="(89)增租契約價_(78)"/>
      <sheetName val="(90)120台(報價)_"/>
      <sheetName val="攤銷費(勞保局9002)_"/>
      <sheetName val="(91)預算_(2)"/>
      <sheetName val="(91)預算分析_"/>
      <sheetName val="NEC費用明細_(2)"/>
      <sheetName val="經費分析_(2)"/>
      <sheetName val="(88)9台SERVER增租契約價_2"/>
      <sheetName val="(89)增租契約價_(130)2"/>
      <sheetName val="(89)增租契約價_(162)2"/>
      <sheetName val="(89)增租契約價_(78)2"/>
      <sheetName val="(90)120台(報價)_2"/>
      <sheetName val="攤銷費(勞保局9002)_2"/>
      <sheetName val="(91)預算_(2)2"/>
      <sheetName val="(91)預算分析_2"/>
      <sheetName val="NEC費用明細_(2)2"/>
      <sheetName val="經費分析_(2)2"/>
      <sheetName val="(88)9台SERVER增租契約價_1"/>
      <sheetName val="(89)增租契約價_(130)1"/>
      <sheetName val="(89)增租契約價_(162)1"/>
      <sheetName val="(89)增租契約價_(78)1"/>
      <sheetName val="(90)120台(報價)_1"/>
      <sheetName val="攤銷費(勞保局9002)_1"/>
      <sheetName val="(91)預算_(2)1"/>
      <sheetName val="(91)預算分析_1"/>
      <sheetName val="NEC費用明細_(2)1"/>
      <sheetName val="經費分析_(2)1"/>
      <sheetName val="(88)9台SERVER增租契約價_4"/>
      <sheetName val="(89)增租契約價_(130)4"/>
      <sheetName val="(89)增租契約價_(162)4"/>
      <sheetName val="(89)增租契約價_(78)4"/>
      <sheetName val="(90)120台(報價)_4"/>
      <sheetName val="攤銷費(勞保局9002)_4"/>
      <sheetName val="(91)預算_(2)4"/>
      <sheetName val="(91)預算分析_4"/>
      <sheetName val="NEC費用明細_(2)4"/>
      <sheetName val="經費分析_(2)4"/>
      <sheetName val="(88)9台SERVER增租契約價_5"/>
      <sheetName val="(89)增租契約價_(130)5"/>
      <sheetName val="(89)增租契約價_(162)5"/>
      <sheetName val="(89)增租契約價_(78)5"/>
      <sheetName val="(90)120台(報價)_5"/>
      <sheetName val="攤銷費(勞保局9002)_5"/>
      <sheetName val="(91)預算_(2)5"/>
      <sheetName val="(91)預算分析_5"/>
      <sheetName val="NEC費用明細_(2)5"/>
      <sheetName val="經費分析_(2)5"/>
      <sheetName val="(88)9台SERVER增租契約價_7"/>
      <sheetName val="(89)增租契約價_(130)7"/>
      <sheetName val="(89)增租契約價_(162)7"/>
      <sheetName val="(89)增租契約價_(78)7"/>
      <sheetName val="(90)120台(報價)_7"/>
      <sheetName val="攤銷費(勞保局9002)_7"/>
      <sheetName val="(91)預算_(2)7"/>
      <sheetName val="(91)預算分析_7"/>
      <sheetName val="NEC費用明細_(2)7"/>
      <sheetName val="經費分析_(2)7"/>
      <sheetName val="(88)9台SERVER增租契約價_6"/>
      <sheetName val="(89)增租契約價_(130)6"/>
      <sheetName val="(89)增租契約價_(162)6"/>
      <sheetName val="(89)增租契約價_(78)6"/>
      <sheetName val="(90)120台(報價)_6"/>
      <sheetName val="攤銷費(勞保局9002)_6"/>
      <sheetName val="(91)預算_(2)6"/>
      <sheetName val="(91)預算分析_6"/>
      <sheetName val="NEC費用明細_(2)6"/>
      <sheetName val="經費分析_(2)6"/>
    </sheetNames>
    <sheetDataSet>
      <sheetData sheetId="0"/>
      <sheetData sheetId="1"/>
      <sheetData sheetId="2"/>
      <sheetData sheetId="3"/>
      <sheetData sheetId="4"/>
      <sheetData sheetId="5">
        <row r="15">
          <cell r="C15">
            <v>0.8</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8)新主機"/>
      <sheetName val="印表頁數"/>
      <sheetName val="(89)主機增租"/>
      <sheetName val="(90)擬增租主機"/>
      <sheetName val="Rate"/>
      <sheetName val="(91)主機增租"/>
      <sheetName val="磁碟陣列(敬老)"/>
      <sheetName val="250台(契約價)"/>
      <sheetName val="(88)600台(契約價)"/>
      <sheetName val="(88)部分設備增租"/>
      <sheetName val="(88)9台SERVER增租契約價 "/>
      <sheetName val="網路監控"/>
      <sheetName val="(89)線路租金"/>
      <sheetName val="(89)增租契約價 (130)"/>
      <sheetName val="(89)增租契約價 (162)"/>
      <sheetName val="Sheet1"/>
      <sheetName val="(89)增租契約價 (78)"/>
      <sheetName val="(90)120台(報價) "/>
      <sheetName val="(91)250重新招租"/>
      <sheetName val="(91)370契約價"/>
      <sheetName val="(91)9台SERVER重新招租"/>
      <sheetName val="勞農保給付委鍵案"/>
      <sheetName val="勞農保承保委鍵案"/>
      <sheetName val="微縮軟片"/>
      <sheetName val="(90)續增租磁碟陣列(報價)"/>
      <sheetName val="(91)擬增租主機"/>
      <sheetName val="(91)擬增修軟體"/>
      <sheetName val="(91)預算"/>
      <sheetName val="會計室"/>
      <sheetName val="主計處"/>
      <sheetName val="攤銷費(會局)"/>
      <sheetName val="攤銷費(勞保局89)"/>
      <sheetName val="攤銷費(勞保局9001)"/>
      <sheetName val="攤銷費(勞保局9002) "/>
      <sheetName val="攤銷費(勞保局9003)"/>
      <sheetName val="攤銷費(勞保局9004"/>
      <sheetName val="攤銷費(勞保局9005"/>
      <sheetName val="攤銷費(勞保局9006)"/>
      <sheetName val="攤銷費(勞保局9007)"/>
      <sheetName val="攤銷費(勞保局9008)"/>
      <sheetName val="攤銷費(勞保局9009)"/>
      <sheetName val="職災業務租用30台PC及相關設備(NEC報價)"/>
      <sheetName val="職災業務租用主機(NEC報價)"/>
      <sheetName val="職災保護預算"/>
      <sheetName val="Sheet2"/>
      <sheetName val="(91)預算 (2)"/>
      <sheetName val="Sheet5"/>
      <sheetName val="Sheet3"/>
      <sheetName val="(91)預算分析 "/>
      <sheetName val="NEC費用明細"/>
      <sheetName val="NEC費用明細 (2)"/>
      <sheetName val="行契約金額"/>
      <sheetName val="經費分析"/>
      <sheetName val="經費分析 (2)"/>
      <sheetName val="預算及支用"/>
      <sheetName val="預算及支用分析"/>
      <sheetName val="攤銷費(勞保局91)"/>
      <sheetName val="(88)9台SERVER增租契約價_3"/>
      <sheetName val="(89)增租契約價_(130)3"/>
      <sheetName val="(89)增租契約價_(162)3"/>
      <sheetName val="(89)增租契約價_(78)3"/>
      <sheetName val="(90)120台(報價)_3"/>
      <sheetName val="攤銷費(勞保局9002)_3"/>
      <sheetName val="(91)預算_(2)3"/>
      <sheetName val="(91)預算分析_3"/>
      <sheetName val="NEC費用明細_(2)3"/>
      <sheetName val="經費分析_(2)3"/>
      <sheetName val="(88)9台SERVER增租契約價_"/>
      <sheetName val="(89)增租契約價_(130)"/>
      <sheetName val="(89)增租契約價_(162)"/>
      <sheetName val="(89)增租契約價_(78)"/>
      <sheetName val="(90)120台(報價)_"/>
      <sheetName val="攤銷費(勞保局9002)_"/>
      <sheetName val="(91)預算_(2)"/>
      <sheetName val="(91)預算分析_"/>
      <sheetName val="NEC費用明細_(2)"/>
      <sheetName val="經費分析_(2)"/>
      <sheetName val="(88)9台SERVER增租契約價_2"/>
      <sheetName val="(89)增租契約價_(130)2"/>
      <sheetName val="(89)增租契約價_(162)2"/>
      <sheetName val="(89)增租契約價_(78)2"/>
      <sheetName val="(90)120台(報價)_2"/>
      <sheetName val="攤銷費(勞保局9002)_2"/>
      <sheetName val="(91)預算_(2)2"/>
      <sheetName val="(91)預算分析_2"/>
      <sheetName val="NEC費用明細_(2)2"/>
      <sheetName val="經費分析_(2)2"/>
      <sheetName val="(88)9台SERVER增租契約價_1"/>
      <sheetName val="(89)增租契約價_(130)1"/>
      <sheetName val="(89)增租契約價_(162)1"/>
      <sheetName val="(89)增租契約價_(78)1"/>
      <sheetName val="(90)120台(報價)_1"/>
      <sheetName val="攤銷費(勞保局9002)_1"/>
      <sheetName val="(91)預算_(2)1"/>
      <sheetName val="(91)預算分析_1"/>
      <sheetName val="NEC費用明細_(2)1"/>
      <sheetName val="經費分析_(2)1"/>
      <sheetName val="(88)9台SERVER增租契約價_4"/>
      <sheetName val="(89)增租契約價_(130)4"/>
      <sheetName val="(89)增租契約價_(162)4"/>
      <sheetName val="(89)增租契約價_(78)4"/>
      <sheetName val="(90)120台(報價)_4"/>
      <sheetName val="攤銷費(勞保局9002)_4"/>
      <sheetName val="(91)預算_(2)4"/>
      <sheetName val="(91)預算分析_4"/>
      <sheetName val="NEC費用明細_(2)4"/>
      <sheetName val="經費分析_(2)4"/>
      <sheetName val="(88)9台SERVER增租契約價_5"/>
      <sheetName val="(89)增租契約價_(130)5"/>
      <sheetName val="(89)增租契約價_(162)5"/>
      <sheetName val="(89)增租契約價_(78)5"/>
      <sheetName val="(90)120台(報價)_5"/>
      <sheetName val="攤銷費(勞保局9002)_5"/>
      <sheetName val="(91)預算_(2)5"/>
      <sheetName val="(91)預算分析_5"/>
      <sheetName val="NEC費用明細_(2)5"/>
      <sheetName val="經費分析_(2)5"/>
      <sheetName val="(88)9台SERVER增租契約價_7"/>
      <sheetName val="(89)增租契約價_(130)7"/>
      <sheetName val="(89)增租契約價_(162)7"/>
      <sheetName val="(89)增租契約價_(78)7"/>
      <sheetName val="(90)120台(報價)_7"/>
      <sheetName val="攤銷費(勞保局9002)_7"/>
      <sheetName val="(91)預算_(2)7"/>
      <sheetName val="(91)預算分析_7"/>
      <sheetName val="NEC費用明細_(2)7"/>
      <sheetName val="經費分析_(2)7"/>
      <sheetName val="(88)9台SERVER增租契約價_6"/>
      <sheetName val="(89)增租契約價_(130)6"/>
      <sheetName val="(89)增租契約價_(162)6"/>
      <sheetName val="(89)增租契約價_(78)6"/>
      <sheetName val="(90)120台(報價)_6"/>
      <sheetName val="攤銷費(勞保局9002)_6"/>
      <sheetName val="(91)預算_(2)6"/>
      <sheetName val="(91)預算分析_6"/>
      <sheetName val="NEC費用明細_(2)6"/>
      <sheetName val="經費分析_(2)6"/>
    </sheetNames>
    <sheetDataSet>
      <sheetData sheetId="0"/>
      <sheetData sheetId="1"/>
      <sheetData sheetId="2"/>
      <sheetData sheetId="3"/>
      <sheetData sheetId="4"/>
      <sheetData sheetId="5">
        <row r="15">
          <cell r="C15">
            <v>0.8</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9)起租PX7800主機及其週邊設備 "/>
      <sheetName val="印表頁數"/>
      <sheetName val="(89)租用電腦主機週邊設備"/>
      <sheetName val="(90)年租用電腦主機週邊設備"/>
      <sheetName val="(91)租用磁碟陣列(敬老)"/>
      <sheetName val="(92)租用磁碟陣列(就保)"/>
      <sheetName val="(92)增租磁碟陣列"/>
      <sheetName val="(88)250台(契約價)"/>
      <sheetName val="(88)600台(契約價)"/>
      <sheetName val="(89)部分設備增租"/>
      <sheetName val="(88)租用伺服器主機9台(契約價) "/>
      <sheetName val="(89)增租伺服器相關設備(契約價)"/>
      <sheetName val="租用伺服器主機及相關設備(契約價) "/>
      <sheetName val="(89)增租契約價 (162)"/>
      <sheetName val="(89)增租契約價 (78)"/>
      <sheetName val="(90)汰換120台PC工作站 (報價) "/>
      <sheetName val="(90)90台PC及網路設備"/>
      <sheetName val="(89)增租契約價 (130)"/>
      <sheetName val="(92)租用磁碟陣列設備(契約價)"/>
      <sheetName val="(91)主機增租(NEC報價)"/>
      <sheetName val="光碟櫃設備二套(報價) "/>
      <sheetName val="Rate"/>
      <sheetName val="網路監控"/>
      <sheetName val="線路租金"/>
      <sheetName val="(91)370契約價"/>
      <sheetName val="(91)52(敬老)契約價"/>
      <sheetName val="(92)35(就保)契約價"/>
      <sheetName val="(92)10(行政執行處)契約價"/>
      <sheetName val="(92)9台SERVER重新招租"/>
      <sheetName val="(92)勞農保給付委鍵案"/>
      <sheetName val="(92)勞農保承保委鍵案"/>
      <sheetName val="(92)網路安全防護系統"/>
      <sheetName val="微縮軟片"/>
      <sheetName val="(92)PC移機工程"/>
      <sheetName val="(92)擬增修軟體"/>
      <sheetName val="(92)預算 "/>
      <sheetName val="(92)預算(含就保)"/>
      <sheetName val="(92)預算(含就保) 調整後"/>
      <sheetName val="預算及支用分析 (調整項目) "/>
      <sheetName val="會計室"/>
      <sheetName val="主計處"/>
      <sheetName val="攤銷費(會局)"/>
      <sheetName val="攤銷費(勞保局89)"/>
      <sheetName val="(91)擬增租主機(報主計處)"/>
      <sheetName val="報主計處(非計劃型資本支出) "/>
      <sheetName val="攤銷費(勞保局91)"/>
      <sheetName val="就業保險預算"/>
      <sheetName val="預算及支用分析"/>
      <sheetName val="主計處修正後 (含就保)"/>
      <sheetName val="報主計處調整項目"/>
      <sheetName val="(92)電腦軟體服務費"/>
      <sheetName val="調整項目統計"/>
      <sheetName val="經費分析 (NEC)"/>
      <sheetName val="目前契約(92)"/>
      <sheetName val="預算與支用分析(調整項目)"/>
      <sheetName val="預算及支用分析 (調整後)"/>
      <sheetName val="非計劃型資本支出總表"/>
      <sheetName val="(92)無形資產預定時程"/>
      <sheetName val="非計劃型資本支出預定時程"/>
      <sheetName val="電腦租金及使用費預定時程"/>
      <sheetName val="調整項目預定時程"/>
      <sheetName val="電腦租金及使用費預定時程 (新)"/>
      <sheetName val="92預定採購時程"/>
      <sheetName val="(91)新增契約"/>
      <sheetName val="Sheet1"/>
      <sheetName val="(89)起租PX7800主機及其週邊設備_3"/>
      <sheetName val="(88)租用伺服器主機9台(契約價)_3"/>
      <sheetName val="租用伺服器主機及相關設備(契約價)_3"/>
      <sheetName val="(89)增租契約價_(162)3"/>
      <sheetName val="(89)增租契約價_(78)3"/>
      <sheetName val="(90)汰換120台PC工作站_(報價)_3"/>
      <sheetName val="(89)增租契約價_(130)3"/>
      <sheetName val="光碟櫃設備二套(報價)_3"/>
      <sheetName val="(92)預算_3"/>
      <sheetName val="(92)預算(含就保)_調整後3"/>
      <sheetName val="預算及支用分析_(調整項目)_3"/>
      <sheetName val="報主計處(非計劃型資本支出)_3"/>
      <sheetName val="主計處修正後_(含就保)3"/>
      <sheetName val="經費分析_(NEC)3"/>
      <sheetName val="預算及支用分析_(調整後)3"/>
      <sheetName val="電腦租金及使用費預定時程_(新)3"/>
      <sheetName val="(89)起租PX7800主機及其週邊設備_"/>
      <sheetName val="(88)租用伺服器主機9台(契約價)_"/>
      <sheetName val="租用伺服器主機及相關設備(契約價)_"/>
      <sheetName val="(89)增租契約價_(162)"/>
      <sheetName val="(89)增租契約價_(78)"/>
      <sheetName val="(90)汰換120台PC工作站_(報價)_"/>
      <sheetName val="(89)增租契約價_(130)"/>
      <sheetName val="光碟櫃設備二套(報價)_"/>
      <sheetName val="(92)預算_"/>
      <sheetName val="(92)預算(含就保)_調整後"/>
      <sheetName val="預算及支用分析_(調整項目)_"/>
      <sheetName val="報主計處(非計劃型資本支出)_"/>
      <sheetName val="主計處修正後_(含就保)"/>
      <sheetName val="經費分析_(NEC)"/>
      <sheetName val="預算及支用分析_(調整後)"/>
      <sheetName val="電腦租金及使用費預定時程_(新)"/>
      <sheetName val="(89)起租PX7800主機及其週邊設備_2"/>
      <sheetName val="(88)租用伺服器主機9台(契約價)_2"/>
      <sheetName val="租用伺服器主機及相關設備(契約價)_2"/>
      <sheetName val="(89)增租契約價_(162)2"/>
      <sheetName val="(89)增租契約價_(78)2"/>
      <sheetName val="(90)汰換120台PC工作站_(報價)_2"/>
      <sheetName val="(89)增租契約價_(130)2"/>
      <sheetName val="光碟櫃設備二套(報價)_2"/>
      <sheetName val="(92)預算_2"/>
      <sheetName val="(92)預算(含就保)_調整後2"/>
      <sheetName val="預算及支用分析_(調整項目)_2"/>
      <sheetName val="報主計處(非計劃型資本支出)_2"/>
      <sheetName val="主計處修正後_(含就保)2"/>
      <sheetName val="經費分析_(NEC)2"/>
      <sheetName val="預算及支用分析_(調整後)2"/>
      <sheetName val="電腦租金及使用費預定時程_(新)2"/>
      <sheetName val="(89)起租PX7800主機及其週邊設備_1"/>
      <sheetName val="(88)租用伺服器主機9台(契約價)_1"/>
      <sheetName val="租用伺服器主機及相關設備(契約價)_1"/>
      <sheetName val="(89)增租契約價_(162)1"/>
      <sheetName val="(89)增租契約價_(78)1"/>
      <sheetName val="(90)汰換120台PC工作站_(報價)_1"/>
      <sheetName val="(89)增租契約價_(130)1"/>
      <sheetName val="光碟櫃設備二套(報價)_1"/>
      <sheetName val="(92)預算_1"/>
      <sheetName val="(92)預算(含就保)_調整後1"/>
      <sheetName val="預算及支用分析_(調整項目)_1"/>
      <sheetName val="報主計處(非計劃型資本支出)_1"/>
      <sheetName val="主計處修正後_(含就保)1"/>
      <sheetName val="經費分析_(NEC)1"/>
      <sheetName val="預算及支用分析_(調整後)1"/>
      <sheetName val="電腦租金及使用費預定時程_(新)1"/>
      <sheetName val="(89)起租PX7800主機及其週邊設備_4"/>
      <sheetName val="(88)租用伺服器主機9台(契約價)_4"/>
      <sheetName val="租用伺服器主機及相關設備(契約價)_4"/>
      <sheetName val="(89)增租契約價_(162)4"/>
      <sheetName val="(89)增租契約價_(78)4"/>
      <sheetName val="(90)汰換120台PC工作站_(報價)_4"/>
      <sheetName val="(89)增租契約價_(130)4"/>
      <sheetName val="光碟櫃設備二套(報價)_4"/>
      <sheetName val="(92)預算_4"/>
      <sheetName val="(92)預算(含就保)_調整後4"/>
      <sheetName val="預算及支用分析_(調整項目)_4"/>
      <sheetName val="報主計處(非計劃型資本支出)_4"/>
      <sheetName val="主計處修正後_(含就保)4"/>
      <sheetName val="經費分析_(NEC)4"/>
      <sheetName val="預算及支用分析_(調整後)4"/>
      <sheetName val="電腦租金及使用費預定時程_(新)4"/>
      <sheetName val="(89)起租PX7800主機及其週邊設備_5"/>
      <sheetName val="(88)租用伺服器主機9台(契約價)_5"/>
      <sheetName val="租用伺服器主機及相關設備(契約價)_5"/>
      <sheetName val="(89)增租契約價_(162)5"/>
      <sheetName val="(89)增租契約價_(78)5"/>
      <sheetName val="(90)汰換120台PC工作站_(報價)_5"/>
      <sheetName val="(89)增租契約價_(130)5"/>
      <sheetName val="光碟櫃設備二套(報價)_5"/>
      <sheetName val="(92)預算_5"/>
      <sheetName val="(92)預算(含就保)_調整後5"/>
      <sheetName val="預算及支用分析_(調整項目)_5"/>
      <sheetName val="報主計處(非計劃型資本支出)_5"/>
      <sheetName val="主計處修正後_(含就保)5"/>
      <sheetName val="經費分析_(NEC)5"/>
      <sheetName val="預算及支用分析_(調整後)5"/>
      <sheetName val="電腦租金及使用費預定時程_(新)5"/>
      <sheetName val="(89)起租PX7800主機及其週邊設備_7"/>
      <sheetName val="(88)租用伺服器主機9台(契約價)_7"/>
      <sheetName val="租用伺服器主機及相關設備(契約價)_7"/>
      <sheetName val="(89)增租契約價_(162)7"/>
      <sheetName val="(89)增租契約價_(78)7"/>
      <sheetName val="(90)汰換120台PC工作站_(報價)_7"/>
      <sheetName val="(89)增租契約價_(130)7"/>
      <sheetName val="光碟櫃設備二套(報價)_7"/>
      <sheetName val="(92)預算_7"/>
      <sheetName val="(92)預算(含就保)_調整後7"/>
      <sheetName val="預算及支用分析_(調整項目)_7"/>
      <sheetName val="報主計處(非計劃型資本支出)_7"/>
      <sheetName val="主計處修正後_(含就保)7"/>
      <sheetName val="經費分析_(NEC)7"/>
      <sheetName val="預算及支用分析_(調整後)7"/>
      <sheetName val="電腦租金及使用費預定時程_(新)7"/>
      <sheetName val="(89)起租PX7800主機及其週邊設備_6"/>
      <sheetName val="(88)租用伺服器主機9台(契約價)_6"/>
      <sheetName val="租用伺服器主機及相關設備(契約價)_6"/>
      <sheetName val="(89)增租契約價_(162)6"/>
      <sheetName val="(89)增租契約價_(78)6"/>
      <sheetName val="(90)汰換120台PC工作站_(報價)_6"/>
      <sheetName val="(89)增租契約價_(130)6"/>
      <sheetName val="光碟櫃設備二套(報價)_6"/>
      <sheetName val="(92)預算_6"/>
      <sheetName val="(92)預算(含就保)_調整後6"/>
      <sheetName val="預算及支用分析_(調整項目)_6"/>
      <sheetName val="報主計處(非計劃型資本支出)_6"/>
      <sheetName val="主計處修正後_(含就保)6"/>
      <sheetName val="經費分析_(NEC)6"/>
      <sheetName val="預算及支用分析_(調整後)6"/>
      <sheetName val="電腦租金及使用費預定時程_(新)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15">
          <cell r="C15">
            <v>0.8</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9)起租PX7800主機及其週邊設備 "/>
      <sheetName val="印表頁數"/>
      <sheetName val="(89)租用電腦主機週邊設備"/>
      <sheetName val="(90)年租用電腦主機週邊設備"/>
      <sheetName val="(91)租用磁碟陣列(敬老)"/>
      <sheetName val="(92)租用磁碟陣列(就保)"/>
      <sheetName val="(92)增租磁碟陣列"/>
      <sheetName val="(88)250台(契約價)"/>
      <sheetName val="(88)600台(契約價)"/>
      <sheetName val="(89)部分設備增租"/>
      <sheetName val="(88)租用伺服器主機9台(契約價) "/>
      <sheetName val="(89)增租伺服器相關設備(契約價)"/>
      <sheetName val="租用伺服器主機及相關設備(契約價) "/>
      <sheetName val="(89)增租契約價 (162)"/>
      <sheetName val="(89)增租契約價 (78)"/>
      <sheetName val="(90)汰換120台PC工作站 (報價) "/>
      <sheetName val="(90)90台PC及網路設備"/>
      <sheetName val="(89)增租契約價 (130)"/>
      <sheetName val="(92)租用磁碟陣列設備(契約價)"/>
      <sheetName val="(91)主機增租(NEC報價)"/>
      <sheetName val="光碟櫃設備二套(報價) "/>
      <sheetName val="Rate"/>
      <sheetName val="網路監控"/>
      <sheetName val="線路租金"/>
      <sheetName val="(91)370契約價"/>
      <sheetName val="(91)52(敬老)契約價"/>
      <sheetName val="(92)35(就保)契約價"/>
      <sheetName val="(92)10(行政執行處)契約價"/>
      <sheetName val="(92)9台SERVER重新招租"/>
      <sheetName val="(92)勞農保給付委鍵案"/>
      <sheetName val="(92)勞農保承保委鍵案"/>
      <sheetName val="(92)網路安全防護系統"/>
      <sheetName val="微縮軟片"/>
      <sheetName val="(92)PC移機工程"/>
      <sheetName val="(92)擬增修軟體"/>
      <sheetName val="(92)預算 "/>
      <sheetName val="(92)預算(含就保)"/>
      <sheetName val="(92)預算(含就保) 調整後"/>
      <sheetName val="預算及支用分析 (調整項目) "/>
      <sheetName val="會計室"/>
      <sheetName val="主計處"/>
      <sheetName val="攤銷費(會局)"/>
      <sheetName val="攤銷費(勞保局89)"/>
      <sheetName val="(91)擬增租主機(報主計處)"/>
      <sheetName val="報主計處(非計劃型資本支出) "/>
      <sheetName val="攤銷費(勞保局91)"/>
      <sheetName val="就業保險預算"/>
      <sheetName val="預算及支用分析"/>
      <sheetName val="主計處修正後 (含就保)"/>
      <sheetName val="報主計處調整項目"/>
      <sheetName val="(92)電腦軟體服務費"/>
      <sheetName val="調整項目統計"/>
      <sheetName val="經費分析 (NEC)"/>
      <sheetName val="目前契約(92)"/>
      <sheetName val="預算與支用分析(調整項目)"/>
      <sheetName val="預算及支用分析 (調整後)"/>
      <sheetName val="非計劃型資本支出總表"/>
      <sheetName val="(92)無形資產預定時程"/>
      <sheetName val="非計劃型資本支出預定時程"/>
      <sheetName val="電腦租金及使用費預定時程"/>
      <sheetName val="調整項目預定時程"/>
      <sheetName val="電腦租金及使用費預定時程 (新)"/>
      <sheetName val="92預定採購時程"/>
      <sheetName val="(91)新增契約"/>
      <sheetName val="Sheet1"/>
      <sheetName val="(89)起租PX7800主機及其週邊設備_3"/>
      <sheetName val="(88)租用伺服器主機9台(契約價)_3"/>
      <sheetName val="租用伺服器主機及相關設備(契約價)_3"/>
      <sheetName val="(89)增租契約價_(162)3"/>
      <sheetName val="(89)增租契約價_(78)3"/>
      <sheetName val="(90)汰換120台PC工作站_(報價)_3"/>
      <sheetName val="(89)增租契約價_(130)3"/>
      <sheetName val="光碟櫃設備二套(報價)_3"/>
      <sheetName val="(92)預算_3"/>
      <sheetName val="(92)預算(含就保)_調整後3"/>
      <sheetName val="預算及支用分析_(調整項目)_3"/>
      <sheetName val="報主計處(非計劃型資本支出)_3"/>
      <sheetName val="主計處修正後_(含就保)3"/>
      <sheetName val="經費分析_(NEC)3"/>
      <sheetName val="預算及支用分析_(調整後)3"/>
      <sheetName val="電腦租金及使用費預定時程_(新)3"/>
      <sheetName val="(89)起租PX7800主機及其週邊設備_"/>
      <sheetName val="(88)租用伺服器主機9台(契約價)_"/>
      <sheetName val="租用伺服器主機及相關設備(契約價)_"/>
      <sheetName val="(89)增租契約價_(162)"/>
      <sheetName val="(89)增租契約價_(78)"/>
      <sheetName val="(90)汰換120台PC工作站_(報價)_"/>
      <sheetName val="(89)增租契約價_(130)"/>
      <sheetName val="光碟櫃設備二套(報價)_"/>
      <sheetName val="(92)預算_"/>
      <sheetName val="(92)預算(含就保)_調整後"/>
      <sheetName val="預算及支用分析_(調整項目)_"/>
      <sheetName val="報主計處(非計劃型資本支出)_"/>
      <sheetName val="主計處修正後_(含就保)"/>
      <sheetName val="經費分析_(NEC)"/>
      <sheetName val="預算及支用分析_(調整後)"/>
      <sheetName val="電腦租金及使用費預定時程_(新)"/>
      <sheetName val="(89)起租PX7800主機及其週邊設備_2"/>
      <sheetName val="(88)租用伺服器主機9台(契約價)_2"/>
      <sheetName val="租用伺服器主機及相關設備(契約價)_2"/>
      <sheetName val="(89)增租契約價_(162)2"/>
      <sheetName val="(89)增租契約價_(78)2"/>
      <sheetName val="(90)汰換120台PC工作站_(報價)_2"/>
      <sheetName val="(89)增租契約價_(130)2"/>
      <sheetName val="光碟櫃設備二套(報價)_2"/>
      <sheetName val="(92)預算_2"/>
      <sheetName val="(92)預算(含就保)_調整後2"/>
      <sheetName val="預算及支用分析_(調整項目)_2"/>
      <sheetName val="報主計處(非計劃型資本支出)_2"/>
      <sheetName val="主計處修正後_(含就保)2"/>
      <sheetName val="經費分析_(NEC)2"/>
      <sheetName val="預算及支用分析_(調整後)2"/>
      <sheetName val="電腦租金及使用費預定時程_(新)2"/>
      <sheetName val="(89)起租PX7800主機及其週邊設備_1"/>
      <sheetName val="(88)租用伺服器主機9台(契約價)_1"/>
      <sheetName val="租用伺服器主機及相關設備(契約價)_1"/>
      <sheetName val="(89)增租契約價_(162)1"/>
      <sheetName val="(89)增租契約價_(78)1"/>
      <sheetName val="(90)汰換120台PC工作站_(報價)_1"/>
      <sheetName val="(89)增租契約價_(130)1"/>
      <sheetName val="光碟櫃設備二套(報價)_1"/>
      <sheetName val="(92)預算_1"/>
      <sheetName val="(92)預算(含就保)_調整後1"/>
      <sheetName val="預算及支用分析_(調整項目)_1"/>
      <sheetName val="報主計處(非計劃型資本支出)_1"/>
      <sheetName val="主計處修正後_(含就保)1"/>
      <sheetName val="經費分析_(NEC)1"/>
      <sheetName val="預算及支用分析_(調整後)1"/>
      <sheetName val="電腦租金及使用費預定時程_(新)1"/>
      <sheetName val="(89)起租PX7800主機及其週邊設備_4"/>
      <sheetName val="(88)租用伺服器主機9台(契約價)_4"/>
      <sheetName val="租用伺服器主機及相關設備(契約價)_4"/>
      <sheetName val="(89)增租契約價_(162)4"/>
      <sheetName val="(89)增租契約價_(78)4"/>
      <sheetName val="(90)汰換120台PC工作站_(報價)_4"/>
      <sheetName val="(89)增租契約價_(130)4"/>
      <sheetName val="光碟櫃設備二套(報價)_4"/>
      <sheetName val="(92)預算_4"/>
      <sheetName val="(92)預算(含就保)_調整後4"/>
      <sheetName val="預算及支用分析_(調整項目)_4"/>
      <sheetName val="報主計處(非計劃型資本支出)_4"/>
      <sheetName val="主計處修正後_(含就保)4"/>
      <sheetName val="經費分析_(NEC)4"/>
      <sheetName val="預算及支用分析_(調整後)4"/>
      <sheetName val="電腦租金及使用費預定時程_(新)4"/>
      <sheetName val="(89)起租PX7800主機及其週邊設備_5"/>
      <sheetName val="(88)租用伺服器主機9台(契約價)_5"/>
      <sheetName val="租用伺服器主機及相關設備(契約價)_5"/>
      <sheetName val="(89)增租契約價_(162)5"/>
      <sheetName val="(89)增租契約價_(78)5"/>
      <sheetName val="(90)汰換120台PC工作站_(報價)_5"/>
      <sheetName val="(89)增租契約價_(130)5"/>
      <sheetName val="光碟櫃設備二套(報價)_5"/>
      <sheetName val="(92)預算_5"/>
      <sheetName val="(92)預算(含就保)_調整後5"/>
      <sheetName val="預算及支用分析_(調整項目)_5"/>
      <sheetName val="報主計處(非計劃型資本支出)_5"/>
      <sheetName val="主計處修正後_(含就保)5"/>
      <sheetName val="經費分析_(NEC)5"/>
      <sheetName val="預算及支用分析_(調整後)5"/>
      <sheetName val="電腦租金及使用費預定時程_(新)5"/>
      <sheetName val="(89)起租PX7800主機及其週邊設備_7"/>
      <sheetName val="(88)租用伺服器主機9台(契約價)_7"/>
      <sheetName val="租用伺服器主機及相關設備(契約價)_7"/>
      <sheetName val="(89)增租契約價_(162)7"/>
      <sheetName val="(89)增租契約價_(78)7"/>
      <sheetName val="(90)汰換120台PC工作站_(報價)_7"/>
      <sheetName val="(89)增租契約價_(130)7"/>
      <sheetName val="光碟櫃設備二套(報價)_7"/>
      <sheetName val="(92)預算_7"/>
      <sheetName val="(92)預算(含就保)_調整後7"/>
      <sheetName val="預算及支用分析_(調整項目)_7"/>
      <sheetName val="報主計處(非計劃型資本支出)_7"/>
      <sheetName val="主計處修正後_(含就保)7"/>
      <sheetName val="經費分析_(NEC)7"/>
      <sheetName val="預算及支用分析_(調整後)7"/>
      <sheetName val="電腦租金及使用費預定時程_(新)7"/>
      <sheetName val="(89)起租PX7800主機及其週邊設備_6"/>
      <sheetName val="(88)租用伺服器主機9台(契約價)_6"/>
      <sheetName val="租用伺服器主機及相關設備(契約價)_6"/>
      <sheetName val="(89)增租契約價_(162)6"/>
      <sheetName val="(89)增租契約價_(78)6"/>
      <sheetName val="(90)汰換120台PC工作站_(報價)_6"/>
      <sheetName val="(89)增租契約價_(130)6"/>
      <sheetName val="光碟櫃設備二套(報價)_6"/>
      <sheetName val="(92)預算_6"/>
      <sheetName val="(92)預算(含就保)_調整後6"/>
      <sheetName val="預算及支用分析_(調整項目)_6"/>
      <sheetName val="報主計處(非計劃型資本支出)_6"/>
      <sheetName val="主計處修正後_(含就保)6"/>
      <sheetName val="經費分析_(NEC)6"/>
      <sheetName val="預算及支用分析_(調整後)6"/>
      <sheetName val="電腦租金及使用費預定時程_(新)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15">
          <cell r="C15">
            <v>0.8</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91)主機增租"/>
      <sheetName val="60個月_(公式)"/>
      <sheetName val="24個月_(公式)"/>
      <sheetName val="60個月_(公式)1"/>
      <sheetName val="24個月_(公式)1"/>
      <sheetName val="60個月_(公式)3"/>
      <sheetName val="24個月_(公式)3"/>
      <sheetName val="60個月_(公式)2"/>
      <sheetName val="24個月_(公式)2"/>
      <sheetName val="60個月_(公式)4"/>
      <sheetName val="24個月_(公式)4"/>
      <sheetName val="60個月_(公式)7"/>
      <sheetName val="24個月_(公式)7"/>
      <sheetName val="60個月_(公式)5"/>
      <sheetName val="24個月_(公式)5"/>
      <sheetName val="60個月_(公式)6"/>
      <sheetName val="24個月_(公式)6"/>
      <sheetName val="麥寮"/>
      <sheetName val="(91)主機增租(NEC報價)"/>
      <sheetName val="機關明細"/>
      <sheetName val="銷貨收入"/>
      <sheetName val="60個月_(公式)11"/>
      <sheetName val="24個月_(公式)11"/>
      <sheetName val="60個月_(公式)8"/>
      <sheetName val="24個月_(公式)8"/>
      <sheetName val="60個月_(公式)10"/>
      <sheetName val="24個月_(公式)10"/>
      <sheetName val="60個月_(公式)9"/>
      <sheetName val="24個月_(公式)9"/>
      <sheetName val="60個月_(公式)12"/>
      <sheetName val="24個月_(公式)12"/>
      <sheetName val="60個月_(公式)13"/>
      <sheetName val="24個月_(公式)13"/>
      <sheetName val="60個月_(公式)15"/>
      <sheetName val="24個月_(公式)15"/>
      <sheetName val="60個月_(公式)14"/>
      <sheetName val="24個月_(公式)14"/>
      <sheetName val="exp彙計"/>
      <sheetName val="外幣收支彙計"/>
      <sheetName val="什項修護 "/>
      <sheetName val="機械修護"/>
      <sheetName val="60個月_(公式)16"/>
      <sheetName val="24個月_(公式)16"/>
      <sheetName val="什項修護_"/>
    </sheetNames>
    <sheetDataSet>
      <sheetData sheetId="0" refreshError="1"/>
      <sheetData sheetId="1" refreshError="1"/>
      <sheetData sheetId="2" refreshError="1">
        <row r="3">
          <cell r="B3">
            <v>1.4</v>
          </cell>
        </row>
      </sheetData>
      <sheetData sheetId="3" refreshError="1"/>
      <sheetData sheetId="4" refreshError="1"/>
      <sheetData sheetId="5" refreshError="1"/>
      <sheetData sheetId="6" refreshError="1"/>
      <sheetData sheetId="7"/>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圖1"/>
      <sheetName val="圖2"/>
      <sheetName val="收支餘絀預計表-總"/>
      <sheetName val="收支餘絀預計表說明"/>
      <sheetName val="餘絀撥補預計表"/>
      <sheetName val="現金流量預計表-總"/>
      <sheetName val="租金及權利金收入明細表"/>
      <sheetName val="投融資業務收入明細表 "/>
      <sheetName val="保險收入明細表"/>
      <sheetName val="其他業務收入明細表"/>
      <sheetName val="業務外收入明細表"/>
      <sheetName val="出租資產成本明細表"/>
      <sheetName val="出租資產成本說明"/>
      <sheetName val="投融資業務成本明細表"/>
      <sheetName val="投融資業務成本說明"/>
      <sheetName val="保險成本明細表"/>
      <sheetName val="保險成本說明"/>
      <sheetName val="其他業務成本明細表"/>
      <sheetName val="其他業務成本說明"/>
      <sheetName val="業務外費用明細表"/>
      <sheetName val="業務外費用說明"/>
      <sheetName val="資產折舊明細表(新增)"/>
      <sheetName val="基金數額增減明細表"/>
      <sheetName val="無形資產明細表"/>
      <sheetName val="貸出款明細表 "/>
      <sheetName val="平衡表-總"/>
      <sheetName val="5年來主要營運項目分析表"/>
      <sheetName val="員工人數彙計表"/>
      <sheetName val="用人費用彙計表"/>
      <sheetName val="媒體政策及業務宣導彙計表"/>
      <sheetName val="各項費用彙計表"/>
      <sheetName val="不動產投資收入分析表"/>
      <sheetName val="保費收入分析表"/>
      <sheetName val="保費收入分析表(附表)"/>
      <sheetName val="保險給付分析表"/>
      <sheetName val="雜項業務成本分析-職災保護"/>
      <sheetName val="雜項業務成本分析-勞職保及保護"/>
      <sheetName val="收支餘絀預計表-勞"/>
      <sheetName val="現金流量預計表-勞"/>
      <sheetName val="預計平衡表-勞"/>
      <sheetName val="收支餘絀預計表-就"/>
      <sheetName val="現金流量預計表-就"/>
      <sheetName val="預計平衡表-就"/>
      <sheetName val="收支餘絀預計表-農"/>
      <sheetName val="現金流量預計表-農"/>
      <sheetName val="預計平衡表-農"/>
      <sheetName val="收支餘絀預計表-職護"/>
      <sheetName val="現金流量預計表-職護"/>
      <sheetName val="預計平衡表-職護"/>
      <sheetName val="收支餘絀預計表-職"/>
      <sheetName val="現金流量預計表-職"/>
      <sheetName val="預計平衡表-職"/>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ow r="42">
          <cell r="G42">
            <v>558597726</v>
          </cell>
        </row>
        <row r="43">
          <cell r="G43">
            <v>4976632</v>
          </cell>
        </row>
      </sheetData>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7E5A4D-9A8C-4618-8B20-DF4748DAF324}">
  <dimension ref="A1:H1"/>
  <sheetViews>
    <sheetView workbookViewId="0">
      <selection activeCell="L13" sqref="L13"/>
    </sheetView>
  </sheetViews>
  <sheetFormatPr defaultColWidth="9" defaultRowHeight="80.2" customHeight="1"/>
  <cols>
    <col min="1" max="16384" width="9" style="1251"/>
  </cols>
  <sheetData>
    <row r="1" spans="1:8" ht="80.2" customHeight="1">
      <c r="A1" s="1252" t="s">
        <v>1796</v>
      </c>
      <c r="B1" s="1252"/>
      <c r="C1" s="1252"/>
      <c r="D1" s="1252"/>
      <c r="E1" s="1252"/>
      <c r="F1" s="1252"/>
      <c r="G1" s="1252"/>
      <c r="H1" s="1252"/>
    </row>
  </sheetData>
  <mergeCells count="1">
    <mergeCell ref="A1:H1"/>
  </mergeCells>
  <phoneticPr fontId="5" type="noConversion"/>
  <printOptions horizontalCentered="1" verticalCentered="1"/>
  <pageMargins left="0.98425196850393704" right="0.59055118110236227" top="0.98425196850393704"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2"/>
  <sheetViews>
    <sheetView showGridLines="0" view="pageBreakPreview" zoomScaleNormal="100" zoomScaleSheetLayoutView="100" workbookViewId="0">
      <selection activeCell="H7" sqref="H7"/>
    </sheetView>
  </sheetViews>
  <sheetFormatPr defaultColWidth="12" defaultRowHeight="20.3"/>
  <cols>
    <col min="1" max="2" width="21.125" style="481" customWidth="1"/>
    <col min="3" max="3" width="23.625" style="481" customWidth="1"/>
    <col min="4" max="4" width="21.125" style="481" customWidth="1"/>
    <col min="5" max="5" width="13.75" style="481" hidden="1" customWidth="1"/>
    <col min="6" max="16384" width="12" style="481"/>
  </cols>
  <sheetData>
    <row r="1" spans="1:2" s="480" customFormat="1" ht="29.95" customHeight="1">
      <c r="A1" s="478" t="s">
        <v>257</v>
      </c>
      <c r="B1" s="479" t="s">
        <v>898</v>
      </c>
    </row>
    <row r="2" spans="1:2" s="480" customFormat="1" ht="24.05" customHeight="1">
      <c r="A2" s="478"/>
    </row>
    <row r="3" spans="1:2" ht="29.95" customHeight="1"/>
    <row r="4" spans="1:2" ht="29.95" customHeight="1"/>
    <row r="5" spans="1:2" ht="29.95" customHeight="1"/>
    <row r="6" spans="1:2" ht="29.95" customHeight="1"/>
    <row r="7" spans="1:2" ht="29.95" customHeight="1"/>
    <row r="8" spans="1:2" ht="29.95" customHeight="1"/>
    <row r="9" spans="1:2" ht="29.95" customHeight="1"/>
    <row r="10" spans="1:2" ht="29.95" customHeight="1"/>
    <row r="11" spans="1:2" ht="29.95" customHeight="1"/>
    <row r="12" spans="1:2" ht="29.95" customHeight="1"/>
    <row r="13" spans="1:2" ht="29.95" customHeight="1"/>
    <row r="14" spans="1:2" ht="29.95" customHeight="1"/>
    <row r="15" spans="1:2" ht="29.95" customHeight="1"/>
    <row r="16" spans="1:2" ht="29.95" customHeight="1"/>
    <row r="17" spans="1:6" ht="29.95" customHeight="1"/>
    <row r="19" spans="1:6">
      <c r="D19" s="482" t="s">
        <v>258</v>
      </c>
    </row>
    <row r="20" spans="1:6" ht="24.05" customHeight="1">
      <c r="A20" s="483" t="s">
        <v>259</v>
      </c>
      <c r="B20" s="484" t="s">
        <v>899</v>
      </c>
      <c r="C20" s="483" t="s">
        <v>260</v>
      </c>
      <c r="D20" s="484" t="s">
        <v>899</v>
      </c>
    </row>
    <row r="21" spans="1:6" ht="24.05" customHeight="1">
      <c r="A21" s="485" t="s">
        <v>16</v>
      </c>
      <c r="B21" s="486">
        <f>SUM(B22:B25)</f>
        <v>569991416</v>
      </c>
      <c r="C21" s="487" t="s">
        <v>261</v>
      </c>
      <c r="D21" s="488">
        <f>SUM(D22:D25)</f>
        <v>570248391</v>
      </c>
    </row>
    <row r="22" spans="1:6" ht="24.05" customHeight="1">
      <c r="A22" s="489" t="s">
        <v>359</v>
      </c>
      <c r="B22" s="490">
        <f>'收支餘絀預計表-總'!D9</f>
        <v>280944</v>
      </c>
      <c r="C22" s="491" t="s">
        <v>360</v>
      </c>
      <c r="D22" s="492">
        <f>'收支餘絀預計表-總'!D61</f>
        <v>39738</v>
      </c>
    </row>
    <row r="23" spans="1:6" ht="24.05" customHeight="1">
      <c r="A23" s="489" t="s">
        <v>262</v>
      </c>
      <c r="B23" s="490">
        <f>'收支餘絀預計表-總'!D12</f>
        <v>36562385</v>
      </c>
      <c r="C23" s="491" t="s">
        <v>263</v>
      </c>
      <c r="D23" s="492">
        <f>'收支餘絀預計表-總'!D64</f>
        <v>1003916</v>
      </c>
    </row>
    <row r="24" spans="1:6" ht="24.05" customHeight="1">
      <c r="A24" s="489" t="s">
        <v>264</v>
      </c>
      <c r="B24" s="490">
        <f>'收支餘絀預計表-總'!D34</f>
        <v>499649073</v>
      </c>
      <c r="C24" s="491" t="s">
        <v>265</v>
      </c>
      <c r="D24" s="492">
        <f>'收支餘絀預計表-總'!D76</f>
        <v>564491226</v>
      </c>
    </row>
    <row r="25" spans="1:6" ht="24.05" customHeight="1">
      <c r="A25" s="489" t="s">
        <v>266</v>
      </c>
      <c r="B25" s="490">
        <f>'收支餘絀預計表-總'!D50</f>
        <v>33499014</v>
      </c>
      <c r="C25" s="491" t="s">
        <v>267</v>
      </c>
      <c r="D25" s="492">
        <f>'收支餘絀預計表-總'!D99</f>
        <v>4713511</v>
      </c>
    </row>
    <row r="26" spans="1:6" ht="24.05" customHeight="1">
      <c r="A26" s="493" t="s">
        <v>656</v>
      </c>
      <c r="B26" s="494">
        <f>'收支餘絀預計表-總'!D107</f>
        <v>257048</v>
      </c>
      <c r="C26" s="495" t="s">
        <v>268</v>
      </c>
      <c r="D26" s="496">
        <f>'收支餘絀預計表-總'!D137</f>
        <v>73</v>
      </c>
    </row>
    <row r="27" spans="1:6" ht="24.05" customHeight="1">
      <c r="A27" s="497"/>
      <c r="B27" s="498"/>
      <c r="C27" s="499" t="s">
        <v>269</v>
      </c>
      <c r="D27" s="500" t="s">
        <v>9</v>
      </c>
    </row>
    <row r="28" spans="1:6" ht="29.95" customHeight="1">
      <c r="A28" s="501" t="s">
        <v>270</v>
      </c>
      <c r="B28" s="502">
        <f>B21+B26</f>
        <v>570248464</v>
      </c>
      <c r="C28" s="501" t="s">
        <v>271</v>
      </c>
      <c r="D28" s="503">
        <f>D21+D26</f>
        <v>570248464</v>
      </c>
      <c r="E28" s="504">
        <f>B28-D28</f>
        <v>0</v>
      </c>
    </row>
    <row r="29" spans="1:6" ht="22.25">
      <c r="A29" s="766" t="s">
        <v>894</v>
      </c>
      <c r="B29" s="505">
        <f>B22/$B$28</f>
        <v>4.9266945504652861E-4</v>
      </c>
      <c r="C29" s="506">
        <f>+B29*100</f>
        <v>4.9266945504652861E-2</v>
      </c>
      <c r="D29" s="505">
        <f>D22/$D$28</f>
        <v>6.9685413479693295E-5</v>
      </c>
      <c r="E29" s="506">
        <v>0.26</v>
      </c>
      <c r="F29" s="767">
        <f>+D29*100</f>
        <v>6.9685413479693295E-3</v>
      </c>
    </row>
    <row r="30" spans="1:6">
      <c r="B30" s="505">
        <f>B23/$B$28</f>
        <v>6.4116586555154662E-2</v>
      </c>
      <c r="C30" s="769">
        <f>+B30*100</f>
        <v>6.411658655515466</v>
      </c>
      <c r="D30" s="505">
        <f>D23/$D$28</f>
        <v>1.7604887402204383E-3</v>
      </c>
      <c r="E30" s="506">
        <v>0.26</v>
      </c>
      <c r="F30" s="1157">
        <f t="shared" ref="F30:F33" si="0">+D30*100</f>
        <v>0.17604887402204383</v>
      </c>
    </row>
    <row r="31" spans="1:6">
      <c r="B31" s="505">
        <f>B24/$B$28</f>
        <v>0.87619538594671253</v>
      </c>
      <c r="C31" s="506">
        <f>+B31*100</f>
        <v>87.619538594671255</v>
      </c>
      <c r="D31" s="505">
        <f>D24/$D$28</f>
        <v>0.98990398332752016</v>
      </c>
      <c r="E31" s="506">
        <v>99.14</v>
      </c>
      <c r="F31" s="767">
        <f t="shared" si="0"/>
        <v>98.990398332752022</v>
      </c>
    </row>
    <row r="32" spans="1:6">
      <c r="B32" s="505">
        <f>B25/$B$28</f>
        <v>5.8744593128794466E-2</v>
      </c>
      <c r="C32" s="506">
        <f t="shared" ref="C32:C33" si="1">+B32*100</f>
        <v>5.8744593128794467</v>
      </c>
      <c r="D32" s="505">
        <f>D25/$D$28</f>
        <v>8.2657145044059254E-3</v>
      </c>
      <c r="E32" s="506">
        <v>0.6</v>
      </c>
      <c r="F32" s="767">
        <f t="shared" si="0"/>
        <v>0.82657145044059255</v>
      </c>
    </row>
    <row r="33" spans="1:6">
      <c r="B33" s="505">
        <f>B26/$B$28</f>
        <v>4.507649142918165E-4</v>
      </c>
      <c r="C33" s="506">
        <f t="shared" si="1"/>
        <v>4.5076491429181652E-2</v>
      </c>
      <c r="D33" s="505">
        <f>D26/$D$28</f>
        <v>1.2801437374849289E-7</v>
      </c>
      <c r="E33" s="506">
        <v>0</v>
      </c>
      <c r="F33" s="767">
        <f t="shared" si="0"/>
        <v>1.280143737484929E-5</v>
      </c>
    </row>
    <row r="34" spans="1:6">
      <c r="B34" s="505">
        <f>SUM(B29:B33)</f>
        <v>1</v>
      </c>
      <c r="C34" s="506">
        <f>SUM(C29:C33)</f>
        <v>100.00000000000001</v>
      </c>
      <c r="D34" s="505">
        <f>SUM(D29:D33)</f>
        <v>1</v>
      </c>
      <c r="E34" s="506">
        <f>SUM(E30:E33)</f>
        <v>100</v>
      </c>
      <c r="F34" s="481">
        <f>SUM(F29:F33)</f>
        <v>100.00000000000001</v>
      </c>
    </row>
    <row r="35" spans="1:6" ht="22.25">
      <c r="C35" s="766"/>
    </row>
    <row r="36" spans="1:6" ht="22.25">
      <c r="A36" s="813" t="s">
        <v>662</v>
      </c>
      <c r="B36" s="863" t="s">
        <v>652</v>
      </c>
      <c r="C36" s="863">
        <v>0.05</v>
      </c>
      <c r="D36" s="863" t="s">
        <v>657</v>
      </c>
      <c r="E36" s="863"/>
      <c r="F36" s="863">
        <v>0.01</v>
      </c>
    </row>
    <row r="37" spans="1:6">
      <c r="A37" s="863"/>
      <c r="B37" s="863" t="s">
        <v>653</v>
      </c>
      <c r="C37" s="863">
        <v>6.41</v>
      </c>
      <c r="D37" s="863" t="s">
        <v>658</v>
      </c>
      <c r="E37" s="863"/>
      <c r="F37" s="1156">
        <v>0.17</v>
      </c>
    </row>
    <row r="38" spans="1:6">
      <c r="A38" s="863"/>
      <c r="B38" s="863" t="s">
        <v>654</v>
      </c>
      <c r="C38" s="1155">
        <v>87.62</v>
      </c>
      <c r="D38" s="863" t="s">
        <v>659</v>
      </c>
      <c r="E38" s="863"/>
      <c r="F38" s="863">
        <v>98.99</v>
      </c>
    </row>
    <row r="39" spans="1:6">
      <c r="A39" s="863"/>
      <c r="B39" s="863" t="s">
        <v>655</v>
      </c>
      <c r="C39" s="863">
        <v>5.87</v>
      </c>
      <c r="D39" s="863" t="s">
        <v>660</v>
      </c>
      <c r="E39" s="863"/>
      <c r="F39" s="863">
        <v>0.83</v>
      </c>
    </row>
    <row r="40" spans="1:6" ht="22.25">
      <c r="A40" s="863"/>
      <c r="B40" s="813" t="s">
        <v>656</v>
      </c>
      <c r="C40" s="863">
        <v>0.05</v>
      </c>
      <c r="D40" s="863" t="s">
        <v>268</v>
      </c>
      <c r="E40" s="863"/>
      <c r="F40" s="863">
        <v>0</v>
      </c>
    </row>
    <row r="41" spans="1:6">
      <c r="A41" s="863"/>
      <c r="B41" s="863"/>
      <c r="C41" s="1155">
        <f>SUM(C36:C40)</f>
        <v>100</v>
      </c>
      <c r="D41" s="863"/>
      <c r="E41" s="863"/>
      <c r="F41" s="1155">
        <f>SUM(F36:F40)</f>
        <v>100</v>
      </c>
    </row>
    <row r="42" spans="1:6" ht="22.25">
      <c r="A42" s="863"/>
      <c r="B42" s="863"/>
      <c r="C42" s="813" t="s">
        <v>661</v>
      </c>
      <c r="D42" s="863"/>
      <c r="E42" s="863"/>
      <c r="F42" s="863"/>
    </row>
  </sheetData>
  <phoneticPr fontId="5" type="noConversion"/>
  <printOptions horizontalCentered="1"/>
  <pageMargins left="0.59055118110236227" right="0.59055118110236227" top="0.59055118110236227" bottom="0.78740157480314965" header="0.51181102362204722" footer="0.51181102362204722"/>
  <pageSetup paperSize="9" firstPageNumber="8" orientation="portrait" useFirstPageNumber="1" r:id="rId1"/>
  <headerFooter alignWithMargins="0">
    <oddFooter xml:space="preserve">&amp;C&amp;"Times New Roman,標準"&amp;12 &amp;P </oddFoot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38"/>
  <sheetViews>
    <sheetView showGridLines="0" view="pageBreakPreview" topLeftCell="A4" zoomScaleNormal="100" zoomScaleSheetLayoutView="100" workbookViewId="0">
      <selection activeCell="F22" sqref="F22"/>
    </sheetView>
  </sheetViews>
  <sheetFormatPr defaultColWidth="12" defaultRowHeight="20.3"/>
  <cols>
    <col min="1" max="1" width="17.875" style="481" bestFit="1" customWidth="1"/>
    <col min="2" max="6" width="13.5" style="481" customWidth="1"/>
    <col min="7" max="8" width="12" style="481"/>
    <col min="9" max="9" width="14.5" style="481" customWidth="1"/>
    <col min="10" max="10" width="14.75" style="481" customWidth="1"/>
    <col min="11" max="11" width="14.5" style="481" customWidth="1"/>
    <col min="12" max="12" width="14.125" style="481" customWidth="1"/>
    <col min="13" max="13" width="14.875" style="481" customWidth="1"/>
    <col min="14" max="16384" width="12" style="481"/>
  </cols>
  <sheetData>
    <row r="1" spans="1:13" s="480" customFormat="1" ht="29.95" customHeight="1">
      <c r="A1" s="478" t="s">
        <v>272</v>
      </c>
    </row>
    <row r="2" spans="1:13" s="480" customFormat="1" ht="29.95" customHeight="1">
      <c r="A2" s="478"/>
      <c r="C2" s="479"/>
    </row>
    <row r="3" spans="1:13" ht="29.95" customHeight="1"/>
    <row r="4" spans="1:13" ht="29.95" customHeight="1"/>
    <row r="5" spans="1:13" ht="29.95" customHeight="1"/>
    <row r="6" spans="1:13" ht="29.95" customHeight="1"/>
    <row r="7" spans="1:13" ht="29.95" customHeight="1"/>
    <row r="8" spans="1:13" ht="29.95" customHeight="1"/>
    <row r="9" spans="1:13" ht="29.95" customHeight="1"/>
    <row r="10" spans="1:13" ht="29.95" customHeight="1"/>
    <row r="11" spans="1:13" ht="29.95" customHeight="1"/>
    <row r="12" spans="1:13" ht="59.4" customHeight="1"/>
    <row r="13" spans="1:13" ht="20.95" thickBot="1">
      <c r="F13" s="507" t="s">
        <v>273</v>
      </c>
    </row>
    <row r="14" spans="1:13" s="509" customFormat="1" ht="41.25" customHeight="1">
      <c r="A14" s="508" t="s">
        <v>274</v>
      </c>
      <c r="B14" s="869" t="s">
        <v>900</v>
      </c>
      <c r="C14" s="869" t="s">
        <v>901</v>
      </c>
      <c r="D14" s="869" t="s">
        <v>904</v>
      </c>
      <c r="E14" s="869" t="s">
        <v>902</v>
      </c>
      <c r="F14" s="869" t="s">
        <v>903</v>
      </c>
      <c r="G14" s="770" t="s">
        <v>663</v>
      </c>
      <c r="H14" s="523" t="s">
        <v>284</v>
      </c>
      <c r="I14" s="524">
        <v>107</v>
      </c>
      <c r="J14" s="524">
        <v>108</v>
      </c>
      <c r="K14" s="524">
        <v>109</v>
      </c>
      <c r="L14" s="524">
        <v>110</v>
      </c>
      <c r="M14" s="524">
        <v>111</v>
      </c>
    </row>
    <row r="15" spans="1:13" s="512" customFormat="1" ht="29.95" customHeight="1">
      <c r="A15" s="510" t="s">
        <v>275</v>
      </c>
      <c r="B15" s="511"/>
      <c r="C15" s="511"/>
      <c r="D15" s="511"/>
      <c r="E15" s="511"/>
      <c r="F15" s="511"/>
      <c r="H15" s="525" t="s">
        <v>285</v>
      </c>
      <c r="I15" s="526"/>
      <c r="J15" s="526"/>
      <c r="K15" s="526"/>
      <c r="L15" s="526"/>
      <c r="M15" s="722"/>
    </row>
    <row r="16" spans="1:13" s="515" customFormat="1" ht="29.95" customHeight="1">
      <c r="A16" s="513" t="s">
        <v>276</v>
      </c>
      <c r="B16" s="514">
        <v>564735881</v>
      </c>
      <c r="C16" s="514">
        <v>606140396</v>
      </c>
      <c r="D16" s="1160">
        <v>694431339</v>
      </c>
      <c r="E16" s="514">
        <f>533731249-300</f>
        <v>533730949</v>
      </c>
      <c r="F16" s="514">
        <f>圖1!B21</f>
        <v>569991416</v>
      </c>
      <c r="H16" s="527" t="s">
        <v>286</v>
      </c>
      <c r="I16" s="528">
        <f>+B16*1000</f>
        <v>564735881000</v>
      </c>
      <c r="J16" s="528">
        <f t="shared" ref="I16:M17" si="0">+C16*1000</f>
        <v>606140396000</v>
      </c>
      <c r="K16" s="528">
        <f t="shared" si="0"/>
        <v>694431339000</v>
      </c>
      <c r="L16" s="528">
        <f>+E16*1000</f>
        <v>533730949000</v>
      </c>
      <c r="M16" s="723">
        <f>+F16*1000</f>
        <v>569991416000</v>
      </c>
    </row>
    <row r="17" spans="1:13" s="515" customFormat="1" ht="29.95" customHeight="1">
      <c r="A17" s="513" t="s">
        <v>277</v>
      </c>
      <c r="B17" s="514">
        <v>241919</v>
      </c>
      <c r="C17" s="514">
        <v>309485</v>
      </c>
      <c r="D17" s="1160">
        <v>332594</v>
      </c>
      <c r="E17" s="514">
        <v>233631</v>
      </c>
      <c r="F17" s="514">
        <f>圖1!B26</f>
        <v>257048</v>
      </c>
      <c r="H17" s="527" t="s">
        <v>287</v>
      </c>
      <c r="I17" s="528">
        <f t="shared" si="0"/>
        <v>241919000</v>
      </c>
      <c r="J17" s="528">
        <f t="shared" si="0"/>
        <v>309485000</v>
      </c>
      <c r="K17" s="528">
        <f t="shared" si="0"/>
        <v>332594000</v>
      </c>
      <c r="L17" s="528">
        <f t="shared" si="0"/>
        <v>233631000</v>
      </c>
      <c r="M17" s="723">
        <f t="shared" si="0"/>
        <v>257048000</v>
      </c>
    </row>
    <row r="18" spans="1:13" s="518" customFormat="1" ht="29.95" customHeight="1">
      <c r="A18" s="516" t="s">
        <v>278</v>
      </c>
      <c r="B18" s="517">
        <f>SUM(B16:B17)</f>
        <v>564977800</v>
      </c>
      <c r="C18" s="517">
        <f>SUM(C16:C17)</f>
        <v>606449881</v>
      </c>
      <c r="D18" s="1158">
        <f>SUM(D16:D17)</f>
        <v>694763933</v>
      </c>
      <c r="E18" s="517">
        <f t="shared" ref="E18:F18" si="1">SUM(E16:E17)</f>
        <v>533964580</v>
      </c>
      <c r="F18" s="517">
        <f t="shared" si="1"/>
        <v>570248464</v>
      </c>
      <c r="H18" s="529" t="s">
        <v>288</v>
      </c>
      <c r="I18" s="530">
        <f>SUM(I16:I17)</f>
        <v>564977800000</v>
      </c>
      <c r="J18" s="530">
        <f>SUM(J16:J17)</f>
        <v>606449881000</v>
      </c>
      <c r="K18" s="530">
        <f>SUM(K16:K17)</f>
        <v>694763933000</v>
      </c>
      <c r="L18" s="530">
        <f>SUM(L16:L17)</f>
        <v>533964580000</v>
      </c>
      <c r="M18" s="724">
        <f>SUM(M16:M17)</f>
        <v>570248464000</v>
      </c>
    </row>
    <row r="19" spans="1:13" s="518" customFormat="1" ht="29.95" customHeight="1">
      <c r="A19" s="519" t="s">
        <v>279</v>
      </c>
      <c r="B19" s="520"/>
      <c r="C19" s="520"/>
      <c r="D19" s="1159"/>
      <c r="E19" s="520"/>
      <c r="F19" s="520"/>
      <c r="H19" s="531" t="str">
        <f>A19</f>
        <v>費用</v>
      </c>
      <c r="I19" s="532"/>
      <c r="J19" s="532"/>
      <c r="K19" s="532"/>
      <c r="L19" s="532"/>
      <c r="M19" s="725"/>
    </row>
    <row r="20" spans="1:13" s="515" customFormat="1" ht="29.95" customHeight="1">
      <c r="A20" s="513" t="s">
        <v>280</v>
      </c>
      <c r="B20" s="514">
        <v>564974986</v>
      </c>
      <c r="C20" s="514">
        <v>606448125</v>
      </c>
      <c r="D20" s="1168">
        <v>694763793</v>
      </c>
      <c r="E20" s="514">
        <f>533964843-300</f>
        <v>533964543</v>
      </c>
      <c r="F20" s="514">
        <f>圖1!D21</f>
        <v>570248391</v>
      </c>
      <c r="H20" s="527" t="s">
        <v>289</v>
      </c>
      <c r="I20" s="528">
        <f t="shared" ref="I20:M21" si="2">+B20*1000</f>
        <v>564974986000</v>
      </c>
      <c r="J20" s="528">
        <f t="shared" si="2"/>
        <v>606448125000</v>
      </c>
      <c r="K20" s="528">
        <f t="shared" si="2"/>
        <v>694763793000</v>
      </c>
      <c r="L20" s="528">
        <f t="shared" si="2"/>
        <v>533964543000</v>
      </c>
      <c r="M20" s="723">
        <f t="shared" si="2"/>
        <v>570248391000</v>
      </c>
    </row>
    <row r="21" spans="1:13" s="515" customFormat="1" ht="29.95" customHeight="1">
      <c r="A21" s="513" t="s">
        <v>281</v>
      </c>
      <c r="B21" s="514">
        <v>2814</v>
      </c>
      <c r="C21" s="514">
        <v>1756</v>
      </c>
      <c r="D21" s="1168">
        <v>140</v>
      </c>
      <c r="E21" s="514">
        <v>37</v>
      </c>
      <c r="F21" s="514">
        <f>圖1!D26</f>
        <v>73</v>
      </c>
      <c r="H21" s="527" t="s">
        <v>290</v>
      </c>
      <c r="I21" s="528">
        <f t="shared" si="2"/>
        <v>2814000</v>
      </c>
      <c r="J21" s="528">
        <f t="shared" si="2"/>
        <v>1756000</v>
      </c>
      <c r="K21" s="528">
        <f t="shared" si="2"/>
        <v>140000</v>
      </c>
      <c r="L21" s="528">
        <f t="shared" si="2"/>
        <v>37000</v>
      </c>
      <c r="M21" s="723">
        <f t="shared" si="2"/>
        <v>73000</v>
      </c>
    </row>
    <row r="22" spans="1:13" s="512" customFormat="1" ht="29.95" customHeight="1">
      <c r="A22" s="516" t="s">
        <v>282</v>
      </c>
      <c r="B22" s="517">
        <f>SUM(B20:B21)</f>
        <v>564977800</v>
      </c>
      <c r="C22" s="517">
        <f>SUM(C20:C21)</f>
        <v>606449881</v>
      </c>
      <c r="D22" s="1158">
        <f t="shared" ref="D22" si="3">SUM(D20:D21)</f>
        <v>694763933</v>
      </c>
      <c r="E22" s="517">
        <f t="shared" ref="E22:F22" si="4">SUM(E20:E21)</f>
        <v>533964580</v>
      </c>
      <c r="F22" s="517">
        <f t="shared" si="4"/>
        <v>570248464</v>
      </c>
      <c r="H22" s="529" t="str">
        <f>A22</f>
        <v>費用合計</v>
      </c>
      <c r="I22" s="530">
        <f>SUM(I20:I21)</f>
        <v>564977800000</v>
      </c>
      <c r="J22" s="530">
        <f>+C22*1000</f>
        <v>606449881000</v>
      </c>
      <c r="K22" s="530">
        <f>SUM(K20:K21)</f>
        <v>694763933000</v>
      </c>
      <c r="L22" s="530">
        <f>SUM(L20:L21)</f>
        <v>533964580000</v>
      </c>
      <c r="M22" s="724">
        <f>SUM(M20:M21)</f>
        <v>570248464000</v>
      </c>
    </row>
    <row r="23" spans="1:13" s="512" customFormat="1" ht="29.95" customHeight="1" thickBot="1">
      <c r="A23" s="521" t="s">
        <v>283</v>
      </c>
      <c r="B23" s="522">
        <f>B18-B22</f>
        <v>0</v>
      </c>
      <c r="C23" s="522">
        <f>C18-C22</f>
        <v>0</v>
      </c>
      <c r="D23" s="522">
        <f>D18-D22</f>
        <v>0</v>
      </c>
      <c r="E23" s="522">
        <f>E18-E22</f>
        <v>0</v>
      </c>
      <c r="F23" s="522">
        <f>F18-F22</f>
        <v>0</v>
      </c>
      <c r="H23" s="533" t="s">
        <v>291</v>
      </c>
      <c r="I23" s="534">
        <f>I18-I22</f>
        <v>0</v>
      </c>
      <c r="J23" s="534">
        <f>J18-J22</f>
        <v>0</v>
      </c>
      <c r="K23" s="534">
        <f>K18-K22</f>
        <v>0</v>
      </c>
      <c r="L23" s="535">
        <f>L18-L22</f>
        <v>0</v>
      </c>
      <c r="M23" s="536">
        <f>M18-M22</f>
        <v>0</v>
      </c>
    </row>
    <row r="24" spans="1:13" s="512" customFormat="1" ht="49.25" customHeight="1">
      <c r="A24" s="1253" t="s">
        <v>1773</v>
      </c>
      <c r="B24" s="1254"/>
      <c r="C24" s="1254"/>
      <c r="D24" s="1254"/>
      <c r="E24" s="1254"/>
      <c r="F24" s="1254"/>
      <c r="G24" s="772"/>
    </row>
    <row r="25" spans="1:13" ht="29.95" customHeight="1"/>
    <row r="26" spans="1:13" ht="29.95" customHeight="1"/>
    <row r="27" spans="1:13" ht="29.95" customHeight="1"/>
    <row r="28" spans="1:13" ht="29.95" customHeight="1"/>
    <row r="29" spans="1:13" ht="29.95" customHeight="1"/>
    <row r="30" spans="1:13" ht="29.95" customHeight="1"/>
    <row r="31" spans="1:13" ht="29.95" customHeight="1"/>
    <row r="32" spans="1:13" ht="29.95" customHeight="1"/>
    <row r="33" ht="29.95" customHeight="1"/>
    <row r="34" ht="29.95" customHeight="1"/>
    <row r="35" ht="29.95" customHeight="1"/>
    <row r="36" ht="29.95" customHeight="1"/>
    <row r="37" ht="29.95" customHeight="1"/>
    <row r="38" ht="29.95" customHeight="1"/>
  </sheetData>
  <mergeCells count="1">
    <mergeCell ref="A24:F24"/>
  </mergeCells>
  <phoneticPr fontId="5" type="noConversion"/>
  <printOptions horizontalCentered="1"/>
  <pageMargins left="0.59055118110236227" right="0.59055118110236227" top="0.59055118110236227" bottom="0.78740157480314965" header="0.51181102362204722" footer="0.51181102362204722"/>
  <pageSetup paperSize="9" firstPageNumber="9" orientation="portrait" useFirstPageNumber="1" r:id="rId1"/>
  <headerFooter alignWithMargins="0">
    <oddFooter xml:space="preserve">&amp;C&amp;"Times New Roman,標準"&amp;12 &amp;P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3E0790-C851-4E73-91A7-9EC47E291223}">
  <sheetPr>
    <tabColor rgb="FFFFFF00"/>
  </sheetPr>
  <dimension ref="A1:H1"/>
  <sheetViews>
    <sheetView workbookViewId="0">
      <selection activeCell="F22" sqref="F22"/>
    </sheetView>
  </sheetViews>
  <sheetFormatPr defaultRowHeight="16.399999999999999"/>
  <sheetData>
    <row r="1" spans="1:8" ht="50.25" customHeight="1">
      <c r="A1" s="1252" t="s">
        <v>1797</v>
      </c>
      <c r="B1" s="1252"/>
      <c r="C1" s="1252"/>
      <c r="D1" s="1252"/>
      <c r="E1" s="1252"/>
      <c r="F1" s="1252"/>
      <c r="G1" s="1252"/>
      <c r="H1" s="1252"/>
    </row>
  </sheetData>
  <mergeCells count="1">
    <mergeCell ref="A1:H1"/>
  </mergeCells>
  <phoneticPr fontId="5" type="noConversion"/>
  <printOptions horizontalCentered="1" verticalCentered="1"/>
  <pageMargins left="0.74803149606299213" right="0.74803149606299213" top="0.98425196850393704" bottom="0.98425196850393704" header="0.51181102362204722" footer="0.51181102362204722"/>
  <pageSetup paperSize="9" firstPageNumber="10" orientation="portrait" useFirstPageNumber="1" r:id="rId1"/>
  <headerFooter alignWithMargins="0">
    <oddFooter>&amp;C&amp;"Times New Roman,標準"&amp;P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C000"/>
  </sheetPr>
  <dimension ref="A1:P172"/>
  <sheetViews>
    <sheetView view="pageBreakPreview" topLeftCell="A72" zoomScale="125" zoomScaleNormal="100" zoomScaleSheetLayoutView="125" workbookViewId="0">
      <selection activeCell="E84" sqref="E84"/>
    </sheetView>
  </sheetViews>
  <sheetFormatPr defaultColWidth="9" defaultRowHeight="16.399999999999999"/>
  <cols>
    <col min="1" max="1" width="10.5" customWidth="1"/>
    <col min="2" max="2" width="6.5" customWidth="1"/>
    <col min="3" max="3" width="20.125" customWidth="1"/>
    <col min="4" max="4" width="10.5" customWidth="1"/>
    <col min="5" max="5" width="6.5" customWidth="1"/>
    <col min="6" max="6" width="10.5" customWidth="1"/>
    <col min="7" max="7" width="6.5" customWidth="1"/>
    <col min="8" max="8" width="10.375" customWidth="1"/>
    <col min="9" max="9" width="8.375" customWidth="1"/>
    <col min="10" max="10" width="9.5" customWidth="1"/>
    <col min="11" max="11" width="11.75" hidden="1" customWidth="1"/>
    <col min="12" max="12" width="13.625" hidden="1" customWidth="1"/>
    <col min="13" max="13" width="10.875" hidden="1" customWidth="1"/>
    <col min="14" max="14" width="9.75" customWidth="1"/>
  </cols>
  <sheetData>
    <row r="1" spans="1:13" ht="20.95" customHeight="1">
      <c r="A1" s="1265" t="s">
        <v>791</v>
      </c>
      <c r="B1" s="1266"/>
      <c r="C1" s="1266"/>
      <c r="D1" s="1266"/>
      <c r="E1" s="1266"/>
      <c r="F1" s="1266"/>
      <c r="G1" s="1266"/>
      <c r="H1" s="1266"/>
      <c r="I1" s="1266"/>
      <c r="J1" s="2"/>
      <c r="K1" s="2"/>
      <c r="L1" s="2"/>
      <c r="M1" s="2"/>
    </row>
    <row r="2" spans="1:13" ht="20.95" customHeight="1">
      <c r="A2" s="1265" t="s">
        <v>792</v>
      </c>
      <c r="B2" s="1266"/>
      <c r="C2" s="1266"/>
      <c r="D2" s="1266"/>
      <c r="E2" s="1266"/>
      <c r="F2" s="1266"/>
      <c r="G2" s="1266"/>
      <c r="H2" s="1266"/>
      <c r="I2" s="1266"/>
      <c r="J2" s="2"/>
      <c r="K2" s="2"/>
      <c r="L2" s="2"/>
      <c r="M2" s="2"/>
    </row>
    <row r="3" spans="1:13" ht="24.9" customHeight="1">
      <c r="A3" s="1267" t="s">
        <v>793</v>
      </c>
      <c r="B3" s="1268"/>
      <c r="C3" s="1268"/>
      <c r="D3" s="1268"/>
      <c r="E3" s="1268"/>
      <c r="F3" s="1268"/>
      <c r="G3" s="1268"/>
      <c r="H3" s="1268"/>
      <c r="I3" s="1268"/>
      <c r="J3" s="2"/>
      <c r="K3" s="2"/>
      <c r="L3" s="2"/>
      <c r="M3" s="2"/>
    </row>
    <row r="4" spans="1:13" ht="24.9" customHeight="1" thickBot="1">
      <c r="A4" s="1269" t="s">
        <v>1688</v>
      </c>
      <c r="B4" s="1270"/>
      <c r="C4" s="1270"/>
      <c r="D4" s="1270"/>
      <c r="E4" s="1270"/>
      <c r="F4" s="1270"/>
      <c r="G4" s="1270"/>
      <c r="H4" s="1270"/>
      <c r="I4" s="1270"/>
      <c r="J4" s="2"/>
      <c r="K4" s="2"/>
      <c r="L4" s="2"/>
      <c r="M4" s="2"/>
    </row>
    <row r="5" spans="1:13" ht="20.95" customHeight="1">
      <c r="A5" s="1271" t="s">
        <v>794</v>
      </c>
      <c r="B5" s="1272"/>
      <c r="C5" s="1273" t="s">
        <v>15</v>
      </c>
      <c r="D5" s="1275" t="s">
        <v>795</v>
      </c>
      <c r="E5" s="1276"/>
      <c r="F5" s="1273" t="s">
        <v>796</v>
      </c>
      <c r="G5" s="1272"/>
      <c r="H5" s="1275" t="s">
        <v>1601</v>
      </c>
      <c r="I5" s="1277"/>
      <c r="J5" s="2"/>
      <c r="K5" s="2"/>
      <c r="L5" s="2"/>
      <c r="M5" s="2"/>
    </row>
    <row r="6" spans="1:13" ht="19.5" customHeight="1">
      <c r="A6" s="155" t="s">
        <v>798</v>
      </c>
      <c r="B6" s="923" t="s">
        <v>8</v>
      </c>
      <c r="C6" s="1274"/>
      <c r="D6" s="278" t="s">
        <v>798</v>
      </c>
      <c r="E6" s="279" t="s">
        <v>8</v>
      </c>
      <c r="F6" s="923" t="s">
        <v>798</v>
      </c>
      <c r="G6" s="923" t="s">
        <v>8</v>
      </c>
      <c r="H6" s="923" t="s">
        <v>798</v>
      </c>
      <c r="I6" s="280" t="s">
        <v>8</v>
      </c>
      <c r="J6" s="2"/>
      <c r="K6" s="2"/>
      <c r="L6" s="2"/>
      <c r="M6" s="2"/>
    </row>
    <row r="7" spans="1:13" ht="9" customHeight="1">
      <c r="A7" s="164"/>
      <c r="B7" s="165"/>
      <c r="C7" s="166"/>
      <c r="D7" s="167"/>
      <c r="E7" s="281"/>
      <c r="F7" s="165"/>
      <c r="G7" s="165"/>
      <c r="H7" s="910"/>
      <c r="I7" s="911"/>
      <c r="J7" s="2"/>
      <c r="K7" s="2"/>
      <c r="L7" s="2"/>
      <c r="M7" s="2"/>
    </row>
    <row r="8" spans="1:13" s="30" customFormat="1" ht="26.05" customHeight="1">
      <c r="A8" s="298">
        <v>694431339</v>
      </c>
      <c r="B8" s="299">
        <v>100</v>
      </c>
      <c r="C8" s="262" t="s">
        <v>16</v>
      </c>
      <c r="D8" s="309">
        <f>SUM(D9,D12,D34,D50)</f>
        <v>569991416</v>
      </c>
      <c r="E8" s="310">
        <v>100</v>
      </c>
      <c r="F8" s="309">
        <f>SUM(F9,F12,F34,F50)</f>
        <v>533730949</v>
      </c>
      <c r="G8" s="299">
        <v>100</v>
      </c>
      <c r="H8" s="309">
        <f>D8-F8</f>
        <v>36260467</v>
      </c>
      <c r="I8" s="311">
        <f>ROUND(H8/F8*100,2)</f>
        <v>6.79</v>
      </c>
      <c r="K8" s="216">
        <f t="shared" ref="K8:K77" si="0">ROUND(A8/$A$8*100,5)</f>
        <v>100</v>
      </c>
      <c r="L8" s="216">
        <f t="shared" ref="L8:L77" si="1">ROUND(D8/$D$8*100,5)</f>
        <v>100</v>
      </c>
      <c r="M8" s="216">
        <f>ROUND(F8/$F$8*100,5)</f>
        <v>100</v>
      </c>
    </row>
    <row r="9" spans="1:13" s="30" customFormat="1" ht="26.05" customHeight="1">
      <c r="A9" s="298">
        <v>275588</v>
      </c>
      <c r="B9" s="299">
        <f t="shared" ref="B9:B78" si="2">ROUND(A9/$A$8*100,2)</f>
        <v>0.04</v>
      </c>
      <c r="C9" s="262" t="s">
        <v>799</v>
      </c>
      <c r="D9" s="309">
        <f>+D10</f>
        <v>280944</v>
      </c>
      <c r="E9" s="310">
        <f>ROUND(D9/$D$8*100,2)</f>
        <v>0.05</v>
      </c>
      <c r="F9" s="309">
        <f>+F10</f>
        <v>281663</v>
      </c>
      <c r="G9" s="299">
        <f t="shared" ref="G9" si="3">ROUND(F9/$F$8*100,2)</f>
        <v>0.05</v>
      </c>
      <c r="H9" s="319">
        <f>D9-F9</f>
        <v>-719</v>
      </c>
      <c r="I9" s="320">
        <f>ROUND(H9/F9*100,2)</f>
        <v>-0.26</v>
      </c>
      <c r="K9" s="216">
        <f t="shared" si="0"/>
        <v>3.9690000000000003E-2</v>
      </c>
      <c r="L9" s="216">
        <f t="shared" si="1"/>
        <v>4.929E-2</v>
      </c>
      <c r="M9" s="216">
        <f t="shared" ref="M9" si="4">ROUND(F9/$F$8*100,5)</f>
        <v>5.2769999999999997E-2</v>
      </c>
    </row>
    <row r="10" spans="1:13" s="922" customFormat="1" ht="26.05" customHeight="1">
      <c r="A10" s="300">
        <v>275588</v>
      </c>
      <c r="B10" s="301">
        <f t="shared" si="2"/>
        <v>0.04</v>
      </c>
      <c r="C10" s="263" t="s">
        <v>800</v>
      </c>
      <c r="D10" s="312">
        <f>D11</f>
        <v>280944</v>
      </c>
      <c r="E10" s="313">
        <f>ROUND(D10/$D$8*100,2)</f>
        <v>0.05</v>
      </c>
      <c r="F10" s="312">
        <f>F11</f>
        <v>281663</v>
      </c>
      <c r="G10" s="301">
        <f>ROUND(F10/$F$8*100,2)</f>
        <v>0.05</v>
      </c>
      <c r="H10" s="315">
        <f t="shared" ref="H10:H72" si="5">D10-F10</f>
        <v>-719</v>
      </c>
      <c r="I10" s="316">
        <f t="shared" ref="I10:I72" si="6">ROUND(H10/F10*100,2)</f>
        <v>-0.26</v>
      </c>
      <c r="K10" s="217">
        <f t="shared" si="0"/>
        <v>3.9690000000000003E-2</v>
      </c>
      <c r="L10" s="217">
        <f t="shared" si="1"/>
        <v>4.929E-2</v>
      </c>
      <c r="M10" s="217">
        <f>ROUND(F10/$F$8*100,5)</f>
        <v>5.2769999999999997E-2</v>
      </c>
    </row>
    <row r="11" spans="1:13" s="922" customFormat="1" ht="26.05" customHeight="1">
      <c r="A11" s="300">
        <v>275588</v>
      </c>
      <c r="B11" s="301">
        <f t="shared" si="2"/>
        <v>0.04</v>
      </c>
      <c r="C11" s="263" t="s">
        <v>801</v>
      </c>
      <c r="D11" s="312">
        <v>280944</v>
      </c>
      <c r="E11" s="313">
        <f>ROUND(D11/$D$8*100,2)</f>
        <v>0.05</v>
      </c>
      <c r="F11" s="312">
        <v>281663</v>
      </c>
      <c r="G11" s="301">
        <f>ROUND(F11/$F$8*100,2)</f>
        <v>0.05</v>
      </c>
      <c r="H11" s="315">
        <f t="shared" si="5"/>
        <v>-719</v>
      </c>
      <c r="I11" s="316">
        <f t="shared" si="6"/>
        <v>-0.26</v>
      </c>
      <c r="K11" s="217">
        <f t="shared" si="0"/>
        <v>3.9690000000000003E-2</v>
      </c>
      <c r="L11" s="217">
        <f t="shared" si="1"/>
        <v>4.929E-2</v>
      </c>
      <c r="M11" s="217">
        <f>ROUND(F11/$F$8*100,5)</f>
        <v>5.2769999999999997E-2</v>
      </c>
    </row>
    <row r="12" spans="1:13" s="30" customFormat="1" ht="26.05" customHeight="1">
      <c r="A12" s="298">
        <v>228703531</v>
      </c>
      <c r="B12" s="299">
        <f t="shared" si="2"/>
        <v>32.93</v>
      </c>
      <c r="C12" s="262" t="s">
        <v>802</v>
      </c>
      <c r="D12" s="309">
        <f>D13+D18+D20+D23+D25</f>
        <v>36562385</v>
      </c>
      <c r="E12" s="310">
        <f t="shared" ref="E12" si="7">ROUND(D12/$D$8*100,2)</f>
        <v>6.41</v>
      </c>
      <c r="F12" s="309">
        <f>F13+F18+F20+F23+F25</f>
        <v>30203924</v>
      </c>
      <c r="G12" s="299">
        <f t="shared" ref="G12:G83" si="8">ROUND(F12/$F$8*100,2)</f>
        <v>5.66</v>
      </c>
      <c r="H12" s="319">
        <f>D12-F12</f>
        <v>6358461</v>
      </c>
      <c r="I12" s="320">
        <f>ROUND(H12/F12*100,2)</f>
        <v>21.05</v>
      </c>
      <c r="K12" s="216">
        <f t="shared" si="0"/>
        <v>32.933929999999997</v>
      </c>
      <c r="L12" s="216">
        <f t="shared" si="1"/>
        <v>6.4145500000000002</v>
      </c>
      <c r="M12" s="216">
        <f t="shared" ref="M12:M144" si="9">ROUND(F12/$F$8*100,5)</f>
        <v>5.6590199999999999</v>
      </c>
    </row>
    <row r="13" spans="1:13" s="922" customFormat="1" ht="26.05" customHeight="1">
      <c r="A13" s="300">
        <v>211446037</v>
      </c>
      <c r="B13" s="301">
        <f t="shared" si="2"/>
        <v>30.45</v>
      </c>
      <c r="C13" s="263" t="s">
        <v>803</v>
      </c>
      <c r="D13" s="312">
        <f>SUM(D14:D17)</f>
        <v>34903178</v>
      </c>
      <c r="E13" s="313">
        <f>ROUND(D13/$D$8*100,2)</f>
        <v>6.12</v>
      </c>
      <c r="F13" s="312">
        <f>SUM(F14:F17)</f>
        <v>28315665</v>
      </c>
      <c r="G13" s="301">
        <f>ROUND(F13/$F$8*100,2)</f>
        <v>5.31</v>
      </c>
      <c r="H13" s="315">
        <f>D13-F13</f>
        <v>6587513</v>
      </c>
      <c r="I13" s="316">
        <f t="shared" si="6"/>
        <v>23.26</v>
      </c>
      <c r="K13" s="217">
        <f t="shared" si="0"/>
        <v>30.448799999999999</v>
      </c>
      <c r="L13" s="217">
        <f t="shared" si="1"/>
        <v>6.1234599999999997</v>
      </c>
      <c r="M13" s="217">
        <f>ROUND(F13/$F$8*100,5)</f>
        <v>5.3052299999999999</v>
      </c>
    </row>
    <row r="14" spans="1:13" s="922" customFormat="1" ht="26.05" customHeight="1">
      <c r="A14" s="300">
        <v>209646164</v>
      </c>
      <c r="B14" s="301">
        <f t="shared" si="2"/>
        <v>30.19</v>
      </c>
      <c r="C14" s="263" t="s">
        <v>801</v>
      </c>
      <c r="D14" s="312">
        <f>28037117+417417+5000000</f>
        <v>33454534</v>
      </c>
      <c r="E14" s="313">
        <f>ROUND(D14/$D$8*100,2)</f>
        <v>5.87</v>
      </c>
      <c r="F14" s="312">
        <v>26579869</v>
      </c>
      <c r="G14" s="301">
        <f>ROUND(F14/$F$8*100,2)</f>
        <v>4.9800000000000004</v>
      </c>
      <c r="H14" s="315">
        <f>D14-F14</f>
        <v>6874665</v>
      </c>
      <c r="I14" s="316">
        <f t="shared" si="6"/>
        <v>25.86</v>
      </c>
      <c r="K14" s="217">
        <f t="shared" si="0"/>
        <v>30.189620000000001</v>
      </c>
      <c r="L14" s="217">
        <f t="shared" si="1"/>
        <v>5.8693</v>
      </c>
      <c r="M14" s="217">
        <f>ROUND(F14/$F$8*100,5)</f>
        <v>4.98001</v>
      </c>
    </row>
    <row r="15" spans="1:13" s="922" customFormat="1" ht="26.05" customHeight="1">
      <c r="A15" s="300">
        <v>39698</v>
      </c>
      <c r="B15" s="301">
        <f t="shared" si="2"/>
        <v>0.01</v>
      </c>
      <c r="C15" s="263" t="s">
        <v>804</v>
      </c>
      <c r="D15" s="312">
        <v>15540</v>
      </c>
      <c r="E15" s="313">
        <f>ROUND(D15/$D$8*100,2)</f>
        <v>0</v>
      </c>
      <c r="F15" s="312">
        <v>40005</v>
      </c>
      <c r="G15" s="301">
        <f>ROUND(F15/$F$8*100,2)</f>
        <v>0.01</v>
      </c>
      <c r="H15" s="315">
        <f t="shared" si="5"/>
        <v>-24465</v>
      </c>
      <c r="I15" s="316">
        <f t="shared" si="6"/>
        <v>-61.15</v>
      </c>
      <c r="K15" s="217">
        <f t="shared" si="0"/>
        <v>5.7200000000000003E-3</v>
      </c>
      <c r="L15" s="217">
        <f t="shared" si="1"/>
        <v>2.7299999999999998E-3</v>
      </c>
      <c r="M15" s="217">
        <f>ROUND(F15/$F$8*100,5)</f>
        <v>7.4999999999999997E-3</v>
      </c>
    </row>
    <row r="16" spans="1:13" s="922" customFormat="1" ht="26.05" customHeight="1">
      <c r="A16" s="300">
        <v>1760176</v>
      </c>
      <c r="B16" s="355">
        <f t="shared" si="2"/>
        <v>0.25</v>
      </c>
      <c r="C16" s="263" t="s">
        <v>805</v>
      </c>
      <c r="D16" s="312">
        <v>1401654</v>
      </c>
      <c r="E16" s="313">
        <f>ROUND(D16/$D$8*100,2)</f>
        <v>0.25</v>
      </c>
      <c r="F16" s="312">
        <v>1695791</v>
      </c>
      <c r="G16" s="301">
        <f>ROUND(F16/$F$8*100,2)</f>
        <v>0.32</v>
      </c>
      <c r="H16" s="315">
        <f t="shared" si="5"/>
        <v>-294137</v>
      </c>
      <c r="I16" s="316">
        <f t="shared" si="6"/>
        <v>-17.350000000000001</v>
      </c>
      <c r="K16" s="217">
        <f t="shared" si="0"/>
        <v>0.25346999999999997</v>
      </c>
      <c r="L16" s="217">
        <f t="shared" si="1"/>
        <v>0.24590999999999999</v>
      </c>
      <c r="M16" s="217">
        <f>ROUND(F16/$F$8*100,5)</f>
        <v>0.31772</v>
      </c>
    </row>
    <row r="17" spans="1:13" s="968" customFormat="1" ht="26.05" customHeight="1">
      <c r="A17" s="300">
        <v>0</v>
      </c>
      <c r="B17" s="301">
        <f t="shared" si="2"/>
        <v>0</v>
      </c>
      <c r="C17" s="263" t="s">
        <v>999</v>
      </c>
      <c r="D17" s="312">
        <v>31450</v>
      </c>
      <c r="E17" s="313">
        <f>ROUND(D17/$D$8*100,2)</f>
        <v>0.01</v>
      </c>
      <c r="F17" s="312">
        <v>0</v>
      </c>
      <c r="G17" s="301">
        <f>ROUND(F17/$F$8*100,2)</f>
        <v>0</v>
      </c>
      <c r="H17" s="312">
        <f t="shared" ref="H17" si="10">D17-F17</f>
        <v>31450</v>
      </c>
      <c r="I17" s="314">
        <v>0</v>
      </c>
      <c r="K17" s="217">
        <f t="shared" si="0"/>
        <v>0</v>
      </c>
      <c r="L17" s="217">
        <f t="shared" si="1"/>
        <v>5.5199999999999997E-3</v>
      </c>
      <c r="M17" s="217">
        <f>ROUND(F17/$F$8*100,5)</f>
        <v>0</v>
      </c>
    </row>
    <row r="18" spans="1:13" s="922" customFormat="1" ht="26.05" customHeight="1">
      <c r="A18" s="300">
        <v>608541</v>
      </c>
      <c r="B18" s="301">
        <f t="shared" si="2"/>
        <v>0.09</v>
      </c>
      <c r="C18" s="263" t="s">
        <v>806</v>
      </c>
      <c r="D18" s="312">
        <f>D19</f>
        <v>534618</v>
      </c>
      <c r="E18" s="313">
        <f t="shared" ref="E18:E87" si="11">ROUND(D18/$D$8*100,2)</f>
        <v>0.09</v>
      </c>
      <c r="F18" s="312">
        <f>F19</f>
        <v>550450</v>
      </c>
      <c r="G18" s="301">
        <f t="shared" si="8"/>
        <v>0.1</v>
      </c>
      <c r="H18" s="315">
        <f t="shared" si="5"/>
        <v>-15832</v>
      </c>
      <c r="I18" s="316">
        <f t="shared" si="6"/>
        <v>-2.88</v>
      </c>
      <c r="K18" s="217">
        <f t="shared" si="0"/>
        <v>8.763E-2</v>
      </c>
      <c r="L18" s="217">
        <f t="shared" si="1"/>
        <v>9.3789999999999998E-2</v>
      </c>
      <c r="M18" s="217">
        <f t="shared" si="9"/>
        <v>0.10313</v>
      </c>
    </row>
    <row r="19" spans="1:13" s="922" customFormat="1" ht="26.05" customHeight="1">
      <c r="A19" s="300">
        <v>608541</v>
      </c>
      <c r="B19" s="301">
        <f t="shared" si="2"/>
        <v>0.09</v>
      </c>
      <c r="C19" s="263" t="s">
        <v>801</v>
      </c>
      <c r="D19" s="312">
        <v>534618</v>
      </c>
      <c r="E19" s="313">
        <f t="shared" si="11"/>
        <v>0.09</v>
      </c>
      <c r="F19" s="312">
        <v>550450</v>
      </c>
      <c r="G19" s="301">
        <f t="shared" si="8"/>
        <v>0.1</v>
      </c>
      <c r="H19" s="315">
        <f t="shared" si="5"/>
        <v>-15832</v>
      </c>
      <c r="I19" s="316">
        <f t="shared" si="6"/>
        <v>-2.88</v>
      </c>
      <c r="K19" s="217">
        <f t="shared" si="0"/>
        <v>8.763E-2</v>
      </c>
      <c r="L19" s="217">
        <f>ROUND(D19/$D$8*100,5)</f>
        <v>9.3789999999999998E-2</v>
      </c>
      <c r="M19" s="217">
        <f>ROUND(F19/$F$8*100,5)</f>
        <v>0.10313</v>
      </c>
    </row>
    <row r="20" spans="1:13" s="922" customFormat="1" ht="26.05" customHeight="1">
      <c r="A20" s="300">
        <v>15135767</v>
      </c>
      <c r="B20" s="301">
        <f t="shared" si="2"/>
        <v>2.1800000000000002</v>
      </c>
      <c r="C20" s="263" t="s">
        <v>807</v>
      </c>
      <c r="D20" s="312">
        <f>SUM(D21:D22)</f>
        <v>0</v>
      </c>
      <c r="E20" s="313">
        <f t="shared" si="11"/>
        <v>0</v>
      </c>
      <c r="F20" s="312">
        <f>SUM(F21:F22)</f>
        <v>0</v>
      </c>
      <c r="G20" s="301">
        <f t="shared" si="8"/>
        <v>0</v>
      </c>
      <c r="H20" s="312">
        <f>H21</f>
        <v>0</v>
      </c>
      <c r="I20" s="314">
        <v>0</v>
      </c>
      <c r="K20" s="217">
        <f t="shared" si="0"/>
        <v>2.1795900000000001</v>
      </c>
      <c r="L20" s="217">
        <f t="shared" si="1"/>
        <v>0</v>
      </c>
      <c r="M20" s="217">
        <f t="shared" si="9"/>
        <v>0</v>
      </c>
    </row>
    <row r="21" spans="1:13" s="922" customFormat="1" ht="26.05" customHeight="1">
      <c r="A21" s="300">
        <v>14628318</v>
      </c>
      <c r="B21" s="301">
        <f t="shared" si="2"/>
        <v>2.11</v>
      </c>
      <c r="C21" s="263" t="s">
        <v>808</v>
      </c>
      <c r="D21" s="312">
        <v>0</v>
      </c>
      <c r="E21" s="313">
        <f t="shared" si="11"/>
        <v>0</v>
      </c>
      <c r="F21" s="312">
        <v>0</v>
      </c>
      <c r="G21" s="301">
        <f t="shared" si="8"/>
        <v>0</v>
      </c>
      <c r="H21" s="312">
        <v>0</v>
      </c>
      <c r="I21" s="314">
        <v>0</v>
      </c>
      <c r="K21" s="217">
        <f t="shared" si="0"/>
        <v>2.1065200000000002</v>
      </c>
      <c r="L21" s="217">
        <f t="shared" si="1"/>
        <v>0</v>
      </c>
      <c r="M21" s="217">
        <f t="shared" si="9"/>
        <v>0</v>
      </c>
    </row>
    <row r="22" spans="1:13" s="922" customFormat="1" ht="26.05" customHeight="1">
      <c r="A22" s="300">
        <v>507449</v>
      </c>
      <c r="B22" s="301">
        <f t="shared" si="2"/>
        <v>7.0000000000000007E-2</v>
      </c>
      <c r="C22" s="263" t="s">
        <v>809</v>
      </c>
      <c r="D22" s="312">
        <v>0</v>
      </c>
      <c r="E22" s="313">
        <f t="shared" si="11"/>
        <v>0</v>
      </c>
      <c r="F22" s="312">
        <v>0</v>
      </c>
      <c r="G22" s="301">
        <f t="shared" si="8"/>
        <v>0</v>
      </c>
      <c r="H22" s="312">
        <v>0</v>
      </c>
      <c r="I22" s="314">
        <v>0</v>
      </c>
      <c r="K22" s="217">
        <f t="shared" si="0"/>
        <v>7.3069999999999996E-2</v>
      </c>
      <c r="L22" s="217">
        <f t="shared" si="1"/>
        <v>0</v>
      </c>
      <c r="M22" s="217">
        <f t="shared" si="9"/>
        <v>0</v>
      </c>
    </row>
    <row r="23" spans="1:13" s="922" customFormat="1" ht="26.05" customHeight="1">
      <c r="A23" s="300">
        <v>175326</v>
      </c>
      <c r="B23" s="301">
        <f t="shared" si="2"/>
        <v>0.03</v>
      </c>
      <c r="C23" s="263" t="s">
        <v>810</v>
      </c>
      <c r="D23" s="312">
        <f>D24</f>
        <v>0</v>
      </c>
      <c r="E23" s="313">
        <f t="shared" si="11"/>
        <v>0</v>
      </c>
      <c r="F23" s="312">
        <f>F24</f>
        <v>0</v>
      </c>
      <c r="G23" s="301">
        <f t="shared" si="8"/>
        <v>0</v>
      </c>
      <c r="H23" s="312">
        <f t="shared" ref="H23:H24" si="12">D23-F23</f>
        <v>0</v>
      </c>
      <c r="I23" s="314">
        <v>0</v>
      </c>
      <c r="K23" s="217">
        <f t="shared" si="0"/>
        <v>2.5250000000000002E-2</v>
      </c>
      <c r="L23" s="217">
        <f t="shared" si="1"/>
        <v>0</v>
      </c>
      <c r="M23" s="217">
        <f t="shared" si="9"/>
        <v>0</v>
      </c>
    </row>
    <row r="24" spans="1:13" s="922" customFormat="1" ht="26.05" customHeight="1">
      <c r="A24" s="300">
        <v>175326</v>
      </c>
      <c r="B24" s="301">
        <f>ROUND(A24/$A$8*100,2)</f>
        <v>0.03</v>
      </c>
      <c r="C24" s="263" t="s">
        <v>808</v>
      </c>
      <c r="D24" s="312">
        <v>0</v>
      </c>
      <c r="E24" s="313">
        <f t="shared" si="11"/>
        <v>0</v>
      </c>
      <c r="F24" s="312">
        <v>0</v>
      </c>
      <c r="G24" s="301">
        <f t="shared" si="8"/>
        <v>0</v>
      </c>
      <c r="H24" s="312">
        <f t="shared" si="12"/>
        <v>0</v>
      </c>
      <c r="I24" s="314">
        <v>0</v>
      </c>
      <c r="K24" s="217">
        <f t="shared" si="0"/>
        <v>2.5250000000000002E-2</v>
      </c>
      <c r="L24" s="217">
        <f t="shared" si="1"/>
        <v>0</v>
      </c>
      <c r="M24" s="217">
        <f t="shared" si="9"/>
        <v>0</v>
      </c>
    </row>
    <row r="25" spans="1:13" s="922" customFormat="1" ht="26.05" customHeight="1">
      <c r="A25" s="300">
        <v>1337860</v>
      </c>
      <c r="B25" s="301">
        <f t="shared" si="2"/>
        <v>0.19</v>
      </c>
      <c r="C25" s="263" t="s">
        <v>811</v>
      </c>
      <c r="D25" s="312">
        <f>SUM(D26:D33)</f>
        <v>1124589</v>
      </c>
      <c r="E25" s="313">
        <f t="shared" si="11"/>
        <v>0.2</v>
      </c>
      <c r="F25" s="312">
        <f>SUM(F26:F33)</f>
        <v>1337809</v>
      </c>
      <c r="G25" s="301">
        <f t="shared" si="8"/>
        <v>0.25</v>
      </c>
      <c r="H25" s="315">
        <f t="shared" si="5"/>
        <v>-213220</v>
      </c>
      <c r="I25" s="316">
        <f t="shared" si="6"/>
        <v>-15.94</v>
      </c>
      <c r="K25" s="217">
        <f t="shared" si="0"/>
        <v>0.19266</v>
      </c>
      <c r="L25" s="217">
        <f t="shared" si="1"/>
        <v>0.1973</v>
      </c>
      <c r="M25" s="217">
        <f t="shared" si="9"/>
        <v>0.25064999999999998</v>
      </c>
    </row>
    <row r="26" spans="1:13" s="922" customFormat="1" ht="26.05" customHeight="1">
      <c r="A26" s="300">
        <v>687895</v>
      </c>
      <c r="B26" s="301">
        <f t="shared" si="2"/>
        <v>0.1</v>
      </c>
      <c r="C26" s="263" t="s">
        <v>808</v>
      </c>
      <c r="D26" s="312">
        <f>652376+13565</f>
        <v>665941</v>
      </c>
      <c r="E26" s="313">
        <f t="shared" si="11"/>
        <v>0.12</v>
      </c>
      <c r="F26" s="312">
        <v>821264</v>
      </c>
      <c r="G26" s="301">
        <f t="shared" si="8"/>
        <v>0.15</v>
      </c>
      <c r="H26" s="315">
        <f t="shared" si="5"/>
        <v>-155323</v>
      </c>
      <c r="I26" s="316">
        <f t="shared" si="6"/>
        <v>-18.91</v>
      </c>
      <c r="K26" s="217">
        <f t="shared" si="0"/>
        <v>9.9059999999999995E-2</v>
      </c>
      <c r="L26" s="217">
        <f t="shared" si="1"/>
        <v>0.11683</v>
      </c>
      <c r="M26" s="217">
        <f t="shared" si="9"/>
        <v>0.15387000000000001</v>
      </c>
    </row>
    <row r="27" spans="1:13" s="922" customFormat="1" ht="26.05" customHeight="1">
      <c r="A27" s="300">
        <v>136301</v>
      </c>
      <c r="B27" s="301">
        <f t="shared" si="2"/>
        <v>0.02</v>
      </c>
      <c r="C27" s="263" t="s">
        <v>812</v>
      </c>
      <c r="D27" s="312">
        <v>31507</v>
      </c>
      <c r="E27" s="313">
        <f t="shared" si="11"/>
        <v>0.01</v>
      </c>
      <c r="F27" s="312">
        <v>135350</v>
      </c>
      <c r="G27" s="301">
        <f t="shared" si="8"/>
        <v>0.03</v>
      </c>
      <c r="H27" s="315">
        <f t="shared" si="5"/>
        <v>-103843</v>
      </c>
      <c r="I27" s="316">
        <f t="shared" si="6"/>
        <v>-76.72</v>
      </c>
      <c r="K27" s="217">
        <f t="shared" si="0"/>
        <v>1.9630000000000002E-2</v>
      </c>
      <c r="L27" s="217">
        <f t="shared" si="1"/>
        <v>5.5300000000000002E-3</v>
      </c>
      <c r="M27" s="217">
        <f t="shared" si="9"/>
        <v>2.5360000000000001E-2</v>
      </c>
    </row>
    <row r="28" spans="1:13" s="922" customFormat="1" ht="26.05" customHeight="1">
      <c r="A28" s="300">
        <v>425431</v>
      </c>
      <c r="B28" s="301">
        <f t="shared" si="2"/>
        <v>0.06</v>
      </c>
      <c r="C28" s="263" t="s">
        <v>809</v>
      </c>
      <c r="D28" s="312">
        <v>294798</v>
      </c>
      <c r="E28" s="313">
        <f t="shared" si="11"/>
        <v>0.05</v>
      </c>
      <c r="F28" s="312">
        <v>308466</v>
      </c>
      <c r="G28" s="301">
        <f t="shared" si="8"/>
        <v>0.06</v>
      </c>
      <c r="H28" s="315">
        <f t="shared" si="5"/>
        <v>-13668</v>
      </c>
      <c r="I28" s="316">
        <f t="shared" si="6"/>
        <v>-4.43</v>
      </c>
      <c r="K28" s="217">
        <f t="shared" si="0"/>
        <v>6.1260000000000002E-2</v>
      </c>
      <c r="L28" s="217">
        <f t="shared" si="1"/>
        <v>5.1720000000000002E-2</v>
      </c>
      <c r="M28" s="217">
        <f t="shared" si="9"/>
        <v>5.7790000000000001E-2</v>
      </c>
    </row>
    <row r="29" spans="1:13" s="922" customFormat="1" ht="26.05" customHeight="1">
      <c r="A29" s="300">
        <v>124</v>
      </c>
      <c r="B29" s="301">
        <f>ROUND(A29/$A$8*100,2)</f>
        <v>0</v>
      </c>
      <c r="C29" s="263" t="s">
        <v>813</v>
      </c>
      <c r="D29" s="312">
        <v>92</v>
      </c>
      <c r="E29" s="313">
        <f>ROUND(D29/$D$8*100,2)</f>
        <v>0</v>
      </c>
      <c r="F29" s="312">
        <v>184</v>
      </c>
      <c r="G29" s="301">
        <f>ROUND(F29/$F$8*100,2)</f>
        <v>0</v>
      </c>
      <c r="H29" s="315">
        <f t="shared" si="5"/>
        <v>-92</v>
      </c>
      <c r="I29" s="316">
        <f t="shared" si="6"/>
        <v>-50</v>
      </c>
      <c r="K29" s="217">
        <f t="shared" si="0"/>
        <v>2.0000000000000002E-5</v>
      </c>
      <c r="L29" s="217">
        <f t="shared" si="1"/>
        <v>2.0000000000000002E-5</v>
      </c>
      <c r="M29" s="217">
        <f t="shared" si="9"/>
        <v>3.0000000000000001E-5</v>
      </c>
    </row>
    <row r="30" spans="1:13" s="922" customFormat="1" ht="26.05" customHeight="1">
      <c r="A30" s="300">
        <v>123</v>
      </c>
      <c r="B30" s="301">
        <f>ROUND(A30/$A$8*100,2)</f>
        <v>0</v>
      </c>
      <c r="C30" s="263" t="s">
        <v>814</v>
      </c>
      <c r="D30" s="312">
        <v>92</v>
      </c>
      <c r="E30" s="313">
        <f>ROUND(D30/$D$8*100,2)</f>
        <v>0</v>
      </c>
      <c r="F30" s="312">
        <v>20</v>
      </c>
      <c r="G30" s="301">
        <f>ROUND(F30/$F$8*100,2)</f>
        <v>0</v>
      </c>
      <c r="H30" s="312">
        <f t="shared" si="5"/>
        <v>72</v>
      </c>
      <c r="I30" s="314">
        <f t="shared" si="6"/>
        <v>360</v>
      </c>
      <c r="K30" s="217">
        <f t="shared" si="0"/>
        <v>2.0000000000000002E-5</v>
      </c>
      <c r="L30" s="217">
        <f t="shared" si="1"/>
        <v>2.0000000000000002E-5</v>
      </c>
      <c r="M30" s="217">
        <f t="shared" si="9"/>
        <v>0</v>
      </c>
    </row>
    <row r="31" spans="1:13" s="922" customFormat="1" ht="27.65" customHeight="1" thickBot="1">
      <c r="A31" s="302">
        <v>87353</v>
      </c>
      <c r="B31" s="303">
        <f t="shared" si="2"/>
        <v>0.01</v>
      </c>
      <c r="C31" s="1030" t="s">
        <v>815</v>
      </c>
      <c r="D31" s="317">
        <v>20484</v>
      </c>
      <c r="E31" s="318">
        <f t="shared" si="11"/>
        <v>0</v>
      </c>
      <c r="F31" s="317">
        <v>72194</v>
      </c>
      <c r="G31" s="303">
        <f t="shared" si="8"/>
        <v>0.01</v>
      </c>
      <c r="H31" s="331">
        <f t="shared" si="5"/>
        <v>-51710</v>
      </c>
      <c r="I31" s="332">
        <f t="shared" si="6"/>
        <v>-71.63</v>
      </c>
      <c r="K31" s="217">
        <f t="shared" si="0"/>
        <v>1.2579999999999999E-2</v>
      </c>
      <c r="L31" s="217">
        <f t="shared" si="1"/>
        <v>3.5899999999999999E-3</v>
      </c>
      <c r="M31" s="217">
        <f t="shared" si="9"/>
        <v>1.353E-2</v>
      </c>
    </row>
    <row r="32" spans="1:13" s="922" customFormat="1" ht="22.95" customHeight="1">
      <c r="A32" s="300">
        <v>632</v>
      </c>
      <c r="B32" s="301">
        <f t="shared" si="2"/>
        <v>0</v>
      </c>
      <c r="C32" s="738" t="s">
        <v>816</v>
      </c>
      <c r="D32" s="312">
        <v>116</v>
      </c>
      <c r="E32" s="313">
        <f t="shared" si="11"/>
        <v>0</v>
      </c>
      <c r="F32" s="312">
        <v>331</v>
      </c>
      <c r="G32" s="301">
        <f t="shared" si="8"/>
        <v>0</v>
      </c>
      <c r="H32" s="315">
        <f t="shared" si="5"/>
        <v>-215</v>
      </c>
      <c r="I32" s="316">
        <f t="shared" si="6"/>
        <v>-64.95</v>
      </c>
      <c r="K32" s="217">
        <f t="shared" si="0"/>
        <v>9.0000000000000006E-5</v>
      </c>
      <c r="L32" s="217">
        <f t="shared" si="1"/>
        <v>2.0000000000000002E-5</v>
      </c>
      <c r="M32" s="217">
        <f t="shared" si="9"/>
        <v>6.0000000000000002E-5</v>
      </c>
    </row>
    <row r="33" spans="1:13" s="968" customFormat="1" ht="22.95" customHeight="1">
      <c r="A33" s="300">
        <v>0</v>
      </c>
      <c r="B33" s="301">
        <f t="shared" si="2"/>
        <v>0</v>
      </c>
      <c r="C33" s="263" t="s">
        <v>999</v>
      </c>
      <c r="D33" s="312">
        <v>111559</v>
      </c>
      <c r="E33" s="313">
        <f t="shared" si="11"/>
        <v>0.02</v>
      </c>
      <c r="F33" s="312">
        <v>0</v>
      </c>
      <c r="G33" s="301">
        <f t="shared" si="8"/>
        <v>0</v>
      </c>
      <c r="H33" s="312">
        <f t="shared" ref="H33" si="13">D33-F33</f>
        <v>111559</v>
      </c>
      <c r="I33" s="314">
        <v>0</v>
      </c>
      <c r="K33" s="217">
        <f t="shared" si="0"/>
        <v>0</v>
      </c>
      <c r="L33" s="217">
        <f t="shared" si="1"/>
        <v>1.9570000000000001E-2</v>
      </c>
      <c r="M33" s="217">
        <f t="shared" si="9"/>
        <v>0</v>
      </c>
    </row>
    <row r="34" spans="1:13" s="30" customFormat="1" ht="22.95" customHeight="1">
      <c r="A34" s="298">
        <v>441507016</v>
      </c>
      <c r="B34" s="299">
        <f t="shared" si="2"/>
        <v>63.58</v>
      </c>
      <c r="C34" s="262" t="s">
        <v>817</v>
      </c>
      <c r="D34" s="309">
        <f>D35+D42</f>
        <v>499649073</v>
      </c>
      <c r="E34" s="310">
        <f t="shared" si="11"/>
        <v>87.66</v>
      </c>
      <c r="F34" s="309">
        <f>F35+F42</f>
        <v>477611869</v>
      </c>
      <c r="G34" s="299">
        <f t="shared" si="8"/>
        <v>89.49</v>
      </c>
      <c r="H34" s="309">
        <f t="shared" si="5"/>
        <v>22037204</v>
      </c>
      <c r="I34" s="311">
        <f t="shared" si="6"/>
        <v>4.6100000000000003</v>
      </c>
      <c r="K34" s="216">
        <f t="shared" si="0"/>
        <v>63.578209999999999</v>
      </c>
      <c r="L34" s="216">
        <f t="shared" si="1"/>
        <v>87.659049999999993</v>
      </c>
      <c r="M34" s="216">
        <f t="shared" si="9"/>
        <v>89.485510000000005</v>
      </c>
    </row>
    <row r="35" spans="1:13" s="922" customFormat="1" ht="22.95" customHeight="1">
      <c r="A35" s="300">
        <v>441051718</v>
      </c>
      <c r="B35" s="301">
        <f t="shared" si="2"/>
        <v>63.51</v>
      </c>
      <c r="C35" s="263" t="s">
        <v>818</v>
      </c>
      <c r="D35" s="312">
        <f>SUM(D36:D41)</f>
        <v>479888341</v>
      </c>
      <c r="E35" s="313">
        <f t="shared" si="11"/>
        <v>84.19</v>
      </c>
      <c r="F35" s="312">
        <f>SUM(F36:F41)</f>
        <v>466231821</v>
      </c>
      <c r="G35" s="301">
        <f t="shared" si="8"/>
        <v>87.35</v>
      </c>
      <c r="H35" s="312">
        <f t="shared" si="5"/>
        <v>13656520</v>
      </c>
      <c r="I35" s="314">
        <f t="shared" si="6"/>
        <v>2.93</v>
      </c>
      <c r="K35" s="217">
        <f t="shared" si="0"/>
        <v>63.512650000000001</v>
      </c>
      <c r="L35" s="217">
        <f t="shared" si="1"/>
        <v>84.1922</v>
      </c>
      <c r="M35" s="217">
        <f t="shared" si="9"/>
        <v>87.353340000000003</v>
      </c>
    </row>
    <row r="36" spans="1:13" s="922" customFormat="1" ht="22.95" customHeight="1">
      <c r="A36" s="300">
        <v>400600454</v>
      </c>
      <c r="B36" s="301">
        <f t="shared" si="2"/>
        <v>57.69</v>
      </c>
      <c r="C36" s="263" t="s">
        <v>801</v>
      </c>
      <c r="D36" s="312">
        <v>436584448</v>
      </c>
      <c r="E36" s="313">
        <f t="shared" si="11"/>
        <v>76.59</v>
      </c>
      <c r="F36" s="312">
        <v>424680213</v>
      </c>
      <c r="G36" s="301">
        <f t="shared" si="8"/>
        <v>79.569999999999993</v>
      </c>
      <c r="H36" s="312">
        <f t="shared" si="5"/>
        <v>11904235</v>
      </c>
      <c r="I36" s="314">
        <f t="shared" si="6"/>
        <v>2.8</v>
      </c>
      <c r="K36" s="217">
        <f t="shared" si="0"/>
        <v>57.687550000000002</v>
      </c>
      <c r="L36" s="217">
        <f t="shared" si="1"/>
        <v>76.594920000000002</v>
      </c>
      <c r="M36" s="217">
        <f t="shared" si="9"/>
        <v>79.568219999999997</v>
      </c>
    </row>
    <row r="37" spans="1:13" s="922" customFormat="1" ht="22.95" customHeight="1">
      <c r="A37" s="300">
        <v>8026727</v>
      </c>
      <c r="B37" s="301">
        <f t="shared" si="2"/>
        <v>1.1599999999999999</v>
      </c>
      <c r="C37" s="263" t="s">
        <v>804</v>
      </c>
      <c r="D37" s="312">
        <v>2881067</v>
      </c>
      <c r="E37" s="313">
        <f t="shared" si="11"/>
        <v>0.51</v>
      </c>
      <c r="F37" s="312">
        <v>8385038</v>
      </c>
      <c r="G37" s="301">
        <f t="shared" si="8"/>
        <v>1.57</v>
      </c>
      <c r="H37" s="315">
        <f t="shared" si="5"/>
        <v>-5503971</v>
      </c>
      <c r="I37" s="316">
        <f t="shared" si="6"/>
        <v>-65.64</v>
      </c>
      <c r="K37" s="217">
        <f t="shared" si="0"/>
        <v>1.15587</v>
      </c>
      <c r="L37" s="217">
        <f t="shared" si="1"/>
        <v>0.50546000000000002</v>
      </c>
      <c r="M37" s="217">
        <f t="shared" si="9"/>
        <v>1.5710200000000001</v>
      </c>
    </row>
    <row r="38" spans="1:13" s="922" customFormat="1" ht="22.95" customHeight="1">
      <c r="A38" s="300">
        <v>29065026</v>
      </c>
      <c r="B38" s="301">
        <f t="shared" si="2"/>
        <v>4.1900000000000004</v>
      </c>
      <c r="C38" s="263" t="s">
        <v>805</v>
      </c>
      <c r="D38" s="312">
        <v>30396889</v>
      </c>
      <c r="E38" s="313">
        <f t="shared" si="11"/>
        <v>5.33</v>
      </c>
      <c r="F38" s="312">
        <v>29807684</v>
      </c>
      <c r="G38" s="301">
        <f t="shared" si="8"/>
        <v>5.58</v>
      </c>
      <c r="H38" s="312">
        <f t="shared" si="5"/>
        <v>589205</v>
      </c>
      <c r="I38" s="314">
        <f t="shared" si="6"/>
        <v>1.98</v>
      </c>
      <c r="K38" s="217">
        <f t="shared" si="0"/>
        <v>4.1854399999999998</v>
      </c>
      <c r="L38" s="217">
        <f t="shared" si="1"/>
        <v>5.3328699999999998</v>
      </c>
      <c r="M38" s="217">
        <f t="shared" si="9"/>
        <v>5.5847800000000003</v>
      </c>
    </row>
    <row r="39" spans="1:13" s="922" customFormat="1" ht="22.95" customHeight="1">
      <c r="A39" s="300">
        <v>3281172</v>
      </c>
      <c r="B39" s="301">
        <f t="shared" si="2"/>
        <v>0.47</v>
      </c>
      <c r="C39" s="263" t="s">
        <v>695</v>
      </c>
      <c r="D39" s="312">
        <v>3169722</v>
      </c>
      <c r="E39" s="313">
        <f t="shared" si="11"/>
        <v>0.56000000000000005</v>
      </c>
      <c r="F39" s="312">
        <v>3250886</v>
      </c>
      <c r="G39" s="301">
        <f t="shared" si="8"/>
        <v>0.61</v>
      </c>
      <c r="H39" s="315">
        <f t="shared" si="5"/>
        <v>-81164</v>
      </c>
      <c r="I39" s="316">
        <f t="shared" si="6"/>
        <v>-2.5</v>
      </c>
      <c r="K39" s="217">
        <f t="shared" si="0"/>
        <v>0.47249999999999998</v>
      </c>
      <c r="L39" s="217">
        <f t="shared" si="1"/>
        <v>0.55610000000000004</v>
      </c>
      <c r="M39" s="217">
        <f t="shared" si="9"/>
        <v>0.60909000000000002</v>
      </c>
    </row>
    <row r="40" spans="1:13" s="922" customFormat="1" ht="22.95" customHeight="1">
      <c r="A40" s="300">
        <v>78338</v>
      </c>
      <c r="B40" s="301">
        <f t="shared" si="2"/>
        <v>0.01</v>
      </c>
      <c r="C40" s="263" t="s">
        <v>697</v>
      </c>
      <c r="D40" s="312">
        <v>96000</v>
      </c>
      <c r="E40" s="313">
        <f t="shared" si="11"/>
        <v>0.02</v>
      </c>
      <c r="F40" s="312">
        <v>108000</v>
      </c>
      <c r="G40" s="301">
        <f t="shared" si="8"/>
        <v>0.02</v>
      </c>
      <c r="H40" s="315">
        <f t="shared" si="5"/>
        <v>-12000</v>
      </c>
      <c r="I40" s="316">
        <f t="shared" si="6"/>
        <v>-11.11</v>
      </c>
      <c r="K40" s="217">
        <f t="shared" si="0"/>
        <v>1.128E-2</v>
      </c>
      <c r="L40" s="217">
        <f t="shared" si="1"/>
        <v>1.6840000000000001E-2</v>
      </c>
      <c r="M40" s="217">
        <f t="shared" si="9"/>
        <v>2.0230000000000001E-2</v>
      </c>
    </row>
    <row r="41" spans="1:13" s="968" customFormat="1" ht="22.95" customHeight="1">
      <c r="A41" s="300">
        <v>0</v>
      </c>
      <c r="B41" s="301">
        <f t="shared" ref="B41" si="14">ROUND(A41/$A$8*100,2)</f>
        <v>0</v>
      </c>
      <c r="C41" s="263" t="s">
        <v>999</v>
      </c>
      <c r="D41" s="312">
        <v>6760215</v>
      </c>
      <c r="E41" s="313">
        <f>ROUND(D41/$D$8*100,2)</f>
        <v>1.19</v>
      </c>
      <c r="F41" s="312">
        <v>0</v>
      </c>
      <c r="G41" s="301">
        <f t="shared" ref="G41" si="15">ROUND(F41/$F$8*100,2)</f>
        <v>0</v>
      </c>
      <c r="H41" s="312">
        <f>D41-F41</f>
        <v>6760215</v>
      </c>
      <c r="I41" s="314">
        <v>0</v>
      </c>
      <c r="K41" s="217"/>
      <c r="L41" s="217">
        <f t="shared" si="1"/>
        <v>1.1860200000000001</v>
      </c>
      <c r="M41" s="217"/>
    </row>
    <row r="42" spans="1:13" s="922" customFormat="1" ht="22.95" customHeight="1">
      <c r="A42" s="300">
        <v>455298</v>
      </c>
      <c r="B42" s="301">
        <f t="shared" si="2"/>
        <v>7.0000000000000007E-2</v>
      </c>
      <c r="C42" s="264" t="s">
        <v>819</v>
      </c>
      <c r="D42" s="312">
        <f>SUM(D43:D49)</f>
        <v>19760732</v>
      </c>
      <c r="E42" s="313">
        <f t="shared" si="11"/>
        <v>3.47</v>
      </c>
      <c r="F42" s="312">
        <f>SUM(F43:F48)</f>
        <v>11380048</v>
      </c>
      <c r="G42" s="301">
        <f t="shared" si="8"/>
        <v>2.13</v>
      </c>
      <c r="H42" s="315">
        <f>D42-F42</f>
        <v>8380684</v>
      </c>
      <c r="I42" s="316">
        <f>ROUND(H42/F42*100,2)</f>
        <v>73.64</v>
      </c>
      <c r="K42" s="217">
        <f t="shared" si="0"/>
        <v>6.5559999999999993E-2</v>
      </c>
      <c r="L42" s="217">
        <f t="shared" si="1"/>
        <v>3.46685</v>
      </c>
      <c r="M42" s="217">
        <f t="shared" si="9"/>
        <v>2.1321699999999999</v>
      </c>
    </row>
    <row r="43" spans="1:13" s="922" customFormat="1" ht="22.95" customHeight="1">
      <c r="A43" s="300">
        <v>0</v>
      </c>
      <c r="B43" s="301">
        <f t="shared" si="2"/>
        <v>0</v>
      </c>
      <c r="C43" s="263" t="s">
        <v>801</v>
      </c>
      <c r="D43" s="312">
        <f>23569189-5000000</f>
        <v>18569189</v>
      </c>
      <c r="E43" s="313">
        <f t="shared" si="11"/>
        <v>3.26</v>
      </c>
      <c r="F43" s="312">
        <v>10816936</v>
      </c>
      <c r="G43" s="301">
        <f t="shared" si="8"/>
        <v>2.0299999999999998</v>
      </c>
      <c r="H43" s="315">
        <f>D43-F43</f>
        <v>7752253</v>
      </c>
      <c r="I43" s="316">
        <f>ROUND(H43/F43*100,2)</f>
        <v>71.67</v>
      </c>
      <c r="K43" s="217">
        <f t="shared" si="0"/>
        <v>0</v>
      </c>
      <c r="L43" s="217">
        <f t="shared" si="1"/>
        <v>3.2578</v>
      </c>
      <c r="M43" s="217">
        <f t="shared" si="9"/>
        <v>2.0266600000000001</v>
      </c>
    </row>
    <row r="44" spans="1:13" s="922" customFormat="1" ht="22.6" hidden="1" customHeight="1">
      <c r="A44" s="300">
        <v>0</v>
      </c>
      <c r="B44" s="301">
        <f t="shared" si="2"/>
        <v>0</v>
      </c>
      <c r="C44" s="263" t="s">
        <v>804</v>
      </c>
      <c r="D44" s="312">
        <v>0</v>
      </c>
      <c r="E44" s="313">
        <f t="shared" si="11"/>
        <v>0</v>
      </c>
      <c r="F44" s="312">
        <v>0</v>
      </c>
      <c r="G44" s="301">
        <f t="shared" si="8"/>
        <v>0</v>
      </c>
      <c r="H44" s="355">
        <f t="shared" si="5"/>
        <v>0</v>
      </c>
      <c r="I44" s="314">
        <v>0</v>
      </c>
      <c r="K44" s="217">
        <f t="shared" si="0"/>
        <v>0</v>
      </c>
      <c r="L44" s="217">
        <f t="shared" si="1"/>
        <v>0</v>
      </c>
      <c r="M44" s="217">
        <f t="shared" si="9"/>
        <v>0</v>
      </c>
    </row>
    <row r="45" spans="1:13" s="922" customFormat="1" ht="22.6" hidden="1" customHeight="1">
      <c r="A45" s="300">
        <v>0</v>
      </c>
      <c r="B45" s="301">
        <f t="shared" si="2"/>
        <v>0</v>
      </c>
      <c r="C45" s="263" t="s">
        <v>805</v>
      </c>
      <c r="D45" s="312">
        <v>0</v>
      </c>
      <c r="E45" s="313">
        <f t="shared" si="11"/>
        <v>0</v>
      </c>
      <c r="F45" s="312">
        <v>0</v>
      </c>
      <c r="G45" s="301">
        <f t="shared" si="8"/>
        <v>0</v>
      </c>
      <c r="H45" s="312">
        <v>0</v>
      </c>
      <c r="I45" s="314">
        <v>0</v>
      </c>
      <c r="K45" s="217">
        <f t="shared" si="0"/>
        <v>0</v>
      </c>
      <c r="L45" s="217">
        <f t="shared" si="1"/>
        <v>0</v>
      </c>
      <c r="M45" s="217">
        <f t="shared" si="9"/>
        <v>0</v>
      </c>
    </row>
    <row r="46" spans="1:13" s="944" customFormat="1" ht="20.95" customHeight="1">
      <c r="A46" s="300">
        <v>0</v>
      </c>
      <c r="B46" s="301">
        <f t="shared" si="2"/>
        <v>0</v>
      </c>
      <c r="C46" s="263" t="s">
        <v>697</v>
      </c>
      <c r="D46" s="312">
        <v>33176</v>
      </c>
      <c r="E46" s="313">
        <f>ROUND(D46/$D$8*100,2)</f>
        <v>0.01</v>
      </c>
      <c r="F46" s="312">
        <v>0</v>
      </c>
      <c r="G46" s="301">
        <f t="shared" si="8"/>
        <v>0</v>
      </c>
      <c r="H46" s="312">
        <f t="shared" ref="H46" si="16">D46-F46</f>
        <v>33176</v>
      </c>
      <c r="I46" s="314">
        <v>0</v>
      </c>
      <c r="K46" s="217"/>
      <c r="L46" s="217"/>
      <c r="M46" s="217"/>
    </row>
    <row r="47" spans="1:13" s="922" customFormat="1" ht="23.4" customHeight="1">
      <c r="A47" s="300">
        <v>437779</v>
      </c>
      <c r="B47" s="301">
        <f t="shared" si="2"/>
        <v>0.06</v>
      </c>
      <c r="C47" s="738" t="s">
        <v>815</v>
      </c>
      <c r="D47" s="312">
        <f>151725-1000</f>
        <v>150725</v>
      </c>
      <c r="E47" s="313">
        <f t="shared" si="11"/>
        <v>0.03</v>
      </c>
      <c r="F47" s="312">
        <v>555233</v>
      </c>
      <c r="G47" s="301">
        <f t="shared" si="8"/>
        <v>0.1</v>
      </c>
      <c r="H47" s="315">
        <f t="shared" si="5"/>
        <v>-404508</v>
      </c>
      <c r="I47" s="316">
        <f t="shared" si="6"/>
        <v>-72.849999999999994</v>
      </c>
      <c r="K47" s="217">
        <f t="shared" si="0"/>
        <v>6.3039999999999999E-2</v>
      </c>
      <c r="L47" s="217">
        <f t="shared" si="1"/>
        <v>2.6440000000000002E-2</v>
      </c>
      <c r="M47" s="217">
        <f t="shared" si="9"/>
        <v>0.10403</v>
      </c>
    </row>
    <row r="48" spans="1:13" s="922" customFormat="1" ht="22.25" customHeight="1">
      <c r="A48" s="300">
        <v>17519</v>
      </c>
      <c r="B48" s="301">
        <f t="shared" si="2"/>
        <v>0</v>
      </c>
      <c r="C48" s="738" t="s">
        <v>816</v>
      </c>
      <c r="D48" s="312">
        <v>0</v>
      </c>
      <c r="E48" s="313">
        <f t="shared" si="11"/>
        <v>0</v>
      </c>
      <c r="F48" s="312">
        <v>7879</v>
      </c>
      <c r="G48" s="301">
        <f t="shared" si="8"/>
        <v>0</v>
      </c>
      <c r="H48" s="315">
        <f t="shared" si="5"/>
        <v>-7879</v>
      </c>
      <c r="I48" s="316">
        <f t="shared" si="6"/>
        <v>-100</v>
      </c>
      <c r="K48" s="217">
        <f t="shared" si="0"/>
        <v>2.5200000000000001E-3</v>
      </c>
      <c r="L48" s="217">
        <f t="shared" si="1"/>
        <v>0</v>
      </c>
      <c r="M48" s="217">
        <f t="shared" si="9"/>
        <v>1.48E-3</v>
      </c>
    </row>
    <row r="49" spans="1:13" s="1029" customFormat="1" ht="22.95" customHeight="1">
      <c r="A49" s="300">
        <v>0</v>
      </c>
      <c r="B49" s="301">
        <f t="shared" ref="B49" si="17">ROUND(A49/$A$8*100,2)</f>
        <v>0</v>
      </c>
      <c r="C49" s="263" t="s">
        <v>999</v>
      </c>
      <c r="D49" s="312">
        <f>950096+9546-1000+50000-1000</f>
        <v>1007642</v>
      </c>
      <c r="E49" s="313">
        <f>ROUND(D49/$D$8*100,2)</f>
        <v>0.18</v>
      </c>
      <c r="F49" s="312">
        <v>0</v>
      </c>
      <c r="G49" s="301">
        <f t="shared" ref="G49" si="18">ROUND(F49/$F$8*100,2)</f>
        <v>0</v>
      </c>
      <c r="H49" s="312">
        <f t="shared" si="5"/>
        <v>1007642</v>
      </c>
      <c r="I49" s="314">
        <v>0</v>
      </c>
      <c r="K49" s="217"/>
      <c r="L49" s="217">
        <f t="shared" si="1"/>
        <v>0.17677999999999999</v>
      </c>
      <c r="M49" s="217"/>
    </row>
    <row r="50" spans="1:13" s="30" customFormat="1" ht="22.6" customHeight="1">
      <c r="A50" s="298">
        <v>23945205</v>
      </c>
      <c r="B50" s="299">
        <f t="shared" si="2"/>
        <v>3.45</v>
      </c>
      <c r="C50" s="262" t="s">
        <v>820</v>
      </c>
      <c r="D50" s="309">
        <f>D51+D56</f>
        <v>33499014</v>
      </c>
      <c r="E50" s="310">
        <f t="shared" si="11"/>
        <v>5.88</v>
      </c>
      <c r="F50" s="309">
        <f>F51+F56</f>
        <v>25633493</v>
      </c>
      <c r="G50" s="299">
        <f t="shared" si="8"/>
        <v>4.8</v>
      </c>
      <c r="H50" s="319">
        <f t="shared" si="5"/>
        <v>7865521</v>
      </c>
      <c r="I50" s="320">
        <f t="shared" si="6"/>
        <v>30.68</v>
      </c>
      <c r="K50" s="216">
        <f t="shared" si="0"/>
        <v>3.4481700000000002</v>
      </c>
      <c r="L50" s="216">
        <f t="shared" si="1"/>
        <v>5.8771100000000001</v>
      </c>
      <c r="M50" s="216">
        <f t="shared" si="9"/>
        <v>4.8026999999999997</v>
      </c>
    </row>
    <row r="51" spans="1:13" s="922" customFormat="1" ht="22.25" customHeight="1">
      <c r="A51" s="300">
        <v>23882324</v>
      </c>
      <c r="B51" s="301">
        <f t="shared" si="2"/>
        <v>3.44</v>
      </c>
      <c r="C51" s="265" t="s">
        <v>821</v>
      </c>
      <c r="D51" s="312">
        <f>SUM(D52:D55)</f>
        <v>33499014</v>
      </c>
      <c r="E51" s="313">
        <f t="shared" si="11"/>
        <v>5.88</v>
      </c>
      <c r="F51" s="312">
        <f>SUM(F52:F55)</f>
        <v>25633493</v>
      </c>
      <c r="G51" s="301">
        <f t="shared" si="8"/>
        <v>4.8</v>
      </c>
      <c r="H51" s="315">
        <f>D51-F51</f>
        <v>7865521</v>
      </c>
      <c r="I51" s="316">
        <f t="shared" si="6"/>
        <v>30.68</v>
      </c>
      <c r="K51" s="217">
        <f t="shared" si="0"/>
        <v>3.43912</v>
      </c>
      <c r="L51" s="217">
        <f t="shared" si="1"/>
        <v>5.8771100000000001</v>
      </c>
      <c r="M51" s="217">
        <f t="shared" si="9"/>
        <v>4.8026999999999997</v>
      </c>
    </row>
    <row r="52" spans="1:13" s="922" customFormat="1" ht="20" customHeight="1">
      <c r="A52" s="300">
        <v>20000000</v>
      </c>
      <c r="B52" s="301">
        <f t="shared" si="2"/>
        <v>2.88</v>
      </c>
      <c r="C52" s="263" t="s">
        <v>801</v>
      </c>
      <c r="D52" s="312">
        <v>30000000</v>
      </c>
      <c r="E52" s="313">
        <f t="shared" si="11"/>
        <v>5.26</v>
      </c>
      <c r="F52" s="312">
        <v>22000000</v>
      </c>
      <c r="G52" s="301">
        <f t="shared" si="8"/>
        <v>4.12</v>
      </c>
      <c r="H52" s="312">
        <f t="shared" ref="H52" si="19">D52-F52</f>
        <v>8000000</v>
      </c>
      <c r="I52" s="314">
        <f t="shared" si="6"/>
        <v>36.36</v>
      </c>
      <c r="K52" s="217">
        <f t="shared" si="0"/>
        <v>2.8800500000000002</v>
      </c>
      <c r="L52" s="217">
        <f t="shared" si="1"/>
        <v>5.2632399999999997</v>
      </c>
      <c r="M52" s="217">
        <f t="shared" si="9"/>
        <v>4.1219299999999999</v>
      </c>
    </row>
    <row r="53" spans="1:13" s="922" customFormat="1" ht="22.25" customHeight="1">
      <c r="A53" s="300">
        <v>3662324</v>
      </c>
      <c r="B53" s="301">
        <f t="shared" si="2"/>
        <v>0.53</v>
      </c>
      <c r="C53" s="263" t="s">
        <v>695</v>
      </c>
      <c r="D53" s="312">
        <v>3468014</v>
      </c>
      <c r="E53" s="313">
        <f t="shared" si="11"/>
        <v>0.61</v>
      </c>
      <c r="F53" s="312">
        <v>3579664</v>
      </c>
      <c r="G53" s="301">
        <f t="shared" si="8"/>
        <v>0.67</v>
      </c>
      <c r="H53" s="315">
        <f t="shared" si="5"/>
        <v>-111650</v>
      </c>
      <c r="I53" s="316">
        <f t="shared" si="6"/>
        <v>-3.12</v>
      </c>
      <c r="K53" s="217">
        <f t="shared" si="0"/>
        <v>0.52737999999999996</v>
      </c>
      <c r="L53" s="217">
        <f t="shared" si="1"/>
        <v>0.60843000000000003</v>
      </c>
      <c r="M53" s="217">
        <f t="shared" si="9"/>
        <v>0.67069000000000001</v>
      </c>
    </row>
    <row r="54" spans="1:13" s="922" customFormat="1" ht="22.25" customHeight="1">
      <c r="A54" s="300">
        <v>200000</v>
      </c>
      <c r="B54" s="301">
        <f t="shared" si="2"/>
        <v>0.03</v>
      </c>
      <c r="C54" s="263" t="s">
        <v>697</v>
      </c>
      <c r="D54" s="312">
        <v>0</v>
      </c>
      <c r="E54" s="313">
        <f t="shared" si="11"/>
        <v>0</v>
      </c>
      <c r="F54" s="312">
        <v>13829</v>
      </c>
      <c r="G54" s="301">
        <f t="shared" si="8"/>
        <v>0</v>
      </c>
      <c r="H54" s="315">
        <f t="shared" si="5"/>
        <v>-13829</v>
      </c>
      <c r="I54" s="316">
        <f t="shared" si="6"/>
        <v>-100</v>
      </c>
      <c r="K54" s="217">
        <f t="shared" si="0"/>
        <v>2.8799999999999999E-2</v>
      </c>
      <c r="L54" s="217">
        <f t="shared" si="1"/>
        <v>0</v>
      </c>
      <c r="M54" s="217">
        <f t="shared" si="9"/>
        <v>2.5899999999999999E-3</v>
      </c>
    </row>
    <row r="55" spans="1:13" s="922" customFormat="1" ht="22.95" customHeight="1">
      <c r="A55" s="300">
        <v>20000</v>
      </c>
      <c r="B55" s="301">
        <f t="shared" si="2"/>
        <v>0</v>
      </c>
      <c r="C55" s="738" t="s">
        <v>816</v>
      </c>
      <c r="D55" s="312">
        <v>31000</v>
      </c>
      <c r="E55" s="313">
        <f t="shared" si="11"/>
        <v>0.01</v>
      </c>
      <c r="F55" s="312">
        <v>40000</v>
      </c>
      <c r="G55" s="301">
        <f t="shared" si="8"/>
        <v>0.01</v>
      </c>
      <c r="H55" s="315">
        <f t="shared" si="5"/>
        <v>-9000</v>
      </c>
      <c r="I55" s="316">
        <f t="shared" si="6"/>
        <v>-22.5</v>
      </c>
      <c r="K55" s="217">
        <f t="shared" si="0"/>
        <v>2.8800000000000002E-3</v>
      </c>
      <c r="L55" s="217">
        <f t="shared" si="1"/>
        <v>5.4400000000000004E-3</v>
      </c>
      <c r="M55" s="217">
        <f t="shared" si="9"/>
        <v>7.4900000000000001E-3</v>
      </c>
    </row>
    <row r="56" spans="1:13" s="922" customFormat="1" ht="20.95" customHeight="1">
      <c r="A56" s="300">
        <v>62881</v>
      </c>
      <c r="B56" s="301">
        <f t="shared" si="2"/>
        <v>0.01</v>
      </c>
      <c r="C56" s="265" t="s">
        <v>822</v>
      </c>
      <c r="D56" s="312">
        <f>SUM(D57:D59)</f>
        <v>0</v>
      </c>
      <c r="E56" s="313">
        <f t="shared" si="11"/>
        <v>0</v>
      </c>
      <c r="F56" s="312">
        <f>SUM(F57:F59)</f>
        <v>0</v>
      </c>
      <c r="G56" s="301">
        <f t="shared" si="8"/>
        <v>0</v>
      </c>
      <c r="H56" s="312">
        <f t="shared" si="5"/>
        <v>0</v>
      </c>
      <c r="I56" s="314">
        <v>0</v>
      </c>
      <c r="K56" s="217">
        <f t="shared" si="0"/>
        <v>9.0600000000000003E-3</v>
      </c>
      <c r="L56" s="217">
        <f t="shared" si="1"/>
        <v>0</v>
      </c>
      <c r="M56" s="217">
        <f t="shared" si="9"/>
        <v>0</v>
      </c>
    </row>
    <row r="57" spans="1:13" s="922" customFormat="1" ht="20.95" customHeight="1">
      <c r="A57" s="300">
        <v>62881</v>
      </c>
      <c r="B57" s="301">
        <f t="shared" si="2"/>
        <v>0.01</v>
      </c>
      <c r="C57" s="263" t="s">
        <v>801</v>
      </c>
      <c r="D57" s="312">
        <v>0</v>
      </c>
      <c r="E57" s="313">
        <f t="shared" si="11"/>
        <v>0</v>
      </c>
      <c r="F57" s="312">
        <v>0</v>
      </c>
      <c r="G57" s="301">
        <f t="shared" si="8"/>
        <v>0</v>
      </c>
      <c r="H57" s="312">
        <f t="shared" si="5"/>
        <v>0</v>
      </c>
      <c r="I57" s="314" t="s">
        <v>823</v>
      </c>
      <c r="K57" s="217">
        <f t="shared" si="0"/>
        <v>9.0600000000000003E-3</v>
      </c>
      <c r="L57" s="217">
        <f t="shared" si="1"/>
        <v>0</v>
      </c>
      <c r="M57" s="217">
        <f t="shared" si="9"/>
        <v>0</v>
      </c>
    </row>
    <row r="58" spans="1:13" s="922" customFormat="1" ht="2.4500000000000002" hidden="1" customHeight="1">
      <c r="A58" s="300">
        <v>0</v>
      </c>
      <c r="B58" s="301">
        <f t="shared" si="2"/>
        <v>0</v>
      </c>
      <c r="C58" s="738" t="s">
        <v>815</v>
      </c>
      <c r="D58" s="312">
        <v>0</v>
      </c>
      <c r="E58" s="313">
        <f t="shared" si="11"/>
        <v>0</v>
      </c>
      <c r="F58" s="312">
        <v>0</v>
      </c>
      <c r="G58" s="301">
        <f t="shared" si="8"/>
        <v>0</v>
      </c>
      <c r="H58" s="312">
        <f t="shared" si="5"/>
        <v>0</v>
      </c>
      <c r="I58" s="314" t="s">
        <v>823</v>
      </c>
      <c r="K58" s="217">
        <f t="shared" si="0"/>
        <v>0</v>
      </c>
      <c r="L58" s="217">
        <f t="shared" si="1"/>
        <v>0</v>
      </c>
      <c r="M58" s="217">
        <f t="shared" si="9"/>
        <v>0</v>
      </c>
    </row>
    <row r="59" spans="1:13" s="922" customFormat="1" ht="22.25" hidden="1" customHeight="1">
      <c r="A59" s="300">
        <v>0</v>
      </c>
      <c r="B59" s="301">
        <f t="shared" si="2"/>
        <v>0</v>
      </c>
      <c r="C59" s="738" t="s">
        <v>816</v>
      </c>
      <c r="D59" s="312">
        <v>0</v>
      </c>
      <c r="E59" s="313">
        <f t="shared" si="11"/>
        <v>0</v>
      </c>
      <c r="F59" s="312">
        <v>0</v>
      </c>
      <c r="G59" s="301">
        <f t="shared" si="8"/>
        <v>0</v>
      </c>
      <c r="H59" s="309">
        <f t="shared" si="5"/>
        <v>0</v>
      </c>
      <c r="I59" s="314">
        <v>0</v>
      </c>
      <c r="K59" s="217">
        <f t="shared" si="0"/>
        <v>0</v>
      </c>
      <c r="L59" s="217">
        <f t="shared" si="1"/>
        <v>0</v>
      </c>
      <c r="M59" s="217">
        <f t="shared" si="9"/>
        <v>0</v>
      </c>
    </row>
    <row r="60" spans="1:13" s="30" customFormat="1" ht="22.25" customHeight="1">
      <c r="A60" s="298">
        <v>694763793</v>
      </c>
      <c r="B60" s="299">
        <f t="shared" si="2"/>
        <v>100.05</v>
      </c>
      <c r="C60" s="262" t="s">
        <v>824</v>
      </c>
      <c r="D60" s="309">
        <f>D61+D64+D76+D99</f>
        <v>570248391</v>
      </c>
      <c r="E60" s="310">
        <f t="shared" si="11"/>
        <v>100.05</v>
      </c>
      <c r="F60" s="309">
        <f>F61+F64+F76+F99</f>
        <v>533964543</v>
      </c>
      <c r="G60" s="299">
        <f t="shared" si="8"/>
        <v>100.04</v>
      </c>
      <c r="H60" s="309">
        <f t="shared" si="5"/>
        <v>36283848</v>
      </c>
      <c r="I60" s="311">
        <f t="shared" si="6"/>
        <v>6.8</v>
      </c>
      <c r="K60" s="216">
        <f t="shared" si="0"/>
        <v>100.04787</v>
      </c>
      <c r="L60" s="216">
        <f t="shared" si="1"/>
        <v>100.04508</v>
      </c>
      <c r="M60" s="216">
        <f t="shared" si="9"/>
        <v>100.04376999999999</v>
      </c>
    </row>
    <row r="61" spans="1:13" s="30" customFormat="1" ht="22.95" customHeight="1">
      <c r="A61" s="298">
        <v>37228</v>
      </c>
      <c r="B61" s="299">
        <f t="shared" si="2"/>
        <v>0.01</v>
      </c>
      <c r="C61" s="262" t="s">
        <v>825</v>
      </c>
      <c r="D61" s="309">
        <f>+D62</f>
        <v>39738</v>
      </c>
      <c r="E61" s="310">
        <f t="shared" si="11"/>
        <v>0.01</v>
      </c>
      <c r="F61" s="309">
        <f>+F62</f>
        <v>21280</v>
      </c>
      <c r="G61" s="299">
        <f t="shared" si="8"/>
        <v>0</v>
      </c>
      <c r="H61" s="319">
        <f t="shared" si="5"/>
        <v>18458</v>
      </c>
      <c r="I61" s="320">
        <f t="shared" si="6"/>
        <v>86.74</v>
      </c>
      <c r="K61" s="216">
        <f t="shared" si="0"/>
        <v>5.3600000000000002E-3</v>
      </c>
      <c r="L61" s="216">
        <f t="shared" si="1"/>
        <v>6.9699999999999996E-3</v>
      </c>
      <c r="M61" s="216">
        <f t="shared" si="9"/>
        <v>3.9899999999999996E-3</v>
      </c>
    </row>
    <row r="62" spans="1:13" s="922" customFormat="1" ht="23.4" customHeight="1">
      <c r="A62" s="300">
        <v>37228</v>
      </c>
      <c r="B62" s="301">
        <f>ROUND(A62/$A$8*100,2)</f>
        <v>0.01</v>
      </c>
      <c r="C62" s="263" t="s">
        <v>826</v>
      </c>
      <c r="D62" s="312">
        <f>D63</f>
        <v>39738</v>
      </c>
      <c r="E62" s="313">
        <f>ROUND(D62/$D$8*100,2)</f>
        <v>0.01</v>
      </c>
      <c r="F62" s="312">
        <f>F63</f>
        <v>21280</v>
      </c>
      <c r="G62" s="301">
        <f>ROUND(F62/$F$8*100,2)</f>
        <v>0</v>
      </c>
      <c r="H62" s="315">
        <f>D62-F62</f>
        <v>18458</v>
      </c>
      <c r="I62" s="316">
        <f>ROUND(H62/F62*100,2)</f>
        <v>86.74</v>
      </c>
      <c r="K62" s="217">
        <f>ROUND(A62/$A$8*100,5)</f>
        <v>5.3600000000000002E-3</v>
      </c>
      <c r="L62" s="217">
        <f>ROUND(D62/$D$8*100,5)</f>
        <v>6.9699999999999996E-3</v>
      </c>
      <c r="M62" s="217">
        <f>ROUND(F62/$F$8*100,5)</f>
        <v>3.9899999999999996E-3</v>
      </c>
    </row>
    <row r="63" spans="1:13" s="922" customFormat="1" ht="22.25" customHeight="1" thickBot="1">
      <c r="A63" s="302">
        <v>37228</v>
      </c>
      <c r="B63" s="303">
        <f>ROUND(A63/$A$8*100,2)</f>
        <v>0.01</v>
      </c>
      <c r="C63" s="268" t="s">
        <v>801</v>
      </c>
      <c r="D63" s="317">
        <v>39738</v>
      </c>
      <c r="E63" s="318">
        <f>ROUND(D63/$D$8*100,2)</f>
        <v>0.01</v>
      </c>
      <c r="F63" s="317">
        <v>21280</v>
      </c>
      <c r="G63" s="303">
        <f>ROUND(F63/$F$8*100,2)</f>
        <v>0</v>
      </c>
      <c r="H63" s="331">
        <f>D63-F63</f>
        <v>18458</v>
      </c>
      <c r="I63" s="332">
        <f>ROUND(H63/F63*100,2)</f>
        <v>86.74</v>
      </c>
      <c r="K63" s="217">
        <f>ROUND(A63/$A$8*100,5)</f>
        <v>5.3600000000000002E-3</v>
      </c>
      <c r="L63" s="217">
        <f>ROUND(D63/$D$8*100,5)</f>
        <v>6.9699999999999996E-3</v>
      </c>
      <c r="M63" s="217">
        <f>ROUND(F63/$F$8*100,5)</f>
        <v>3.9899999999999996E-3</v>
      </c>
    </row>
    <row r="64" spans="1:13" s="30" customFormat="1" ht="20.3" customHeight="1">
      <c r="A64" s="298">
        <v>163640884</v>
      </c>
      <c r="B64" s="299">
        <f t="shared" si="2"/>
        <v>23.56</v>
      </c>
      <c r="C64" s="262" t="s">
        <v>827</v>
      </c>
      <c r="D64" s="309">
        <f>D65+D71+D73</f>
        <v>1003916</v>
      </c>
      <c r="E64" s="310">
        <f t="shared" si="11"/>
        <v>0.18</v>
      </c>
      <c r="F64" s="309">
        <f>F65+F71+F73</f>
        <v>973763</v>
      </c>
      <c r="G64" s="299">
        <f t="shared" si="8"/>
        <v>0.18</v>
      </c>
      <c r="H64" s="319">
        <f t="shared" si="5"/>
        <v>30153</v>
      </c>
      <c r="I64" s="320">
        <f t="shared" si="6"/>
        <v>3.1</v>
      </c>
      <c r="K64" s="216">
        <f t="shared" si="0"/>
        <v>23.564730000000001</v>
      </c>
      <c r="L64" s="216">
        <f t="shared" si="1"/>
        <v>0.17613000000000001</v>
      </c>
      <c r="M64" s="216">
        <f t="shared" si="9"/>
        <v>0.18243999999999999</v>
      </c>
    </row>
    <row r="65" spans="1:13" s="922" customFormat="1" ht="22.95" customHeight="1">
      <c r="A65" s="300">
        <v>131388751</v>
      </c>
      <c r="B65" s="301">
        <f>ROUND(A65/$A$8*100,2)</f>
        <v>18.920000000000002</v>
      </c>
      <c r="C65" s="263" t="s">
        <v>828</v>
      </c>
      <c r="D65" s="312">
        <f>SUM(D66:D70)</f>
        <v>935916</v>
      </c>
      <c r="E65" s="313">
        <f>ROUND(D65/$D$8*100,2)</f>
        <v>0.16</v>
      </c>
      <c r="F65" s="312">
        <f>SUM(F66:F70)</f>
        <v>905763</v>
      </c>
      <c r="G65" s="301">
        <f>ROUND(F65/$F$8*100,2)</f>
        <v>0.17</v>
      </c>
      <c r="H65" s="315">
        <f>D65-F65</f>
        <v>30153</v>
      </c>
      <c r="I65" s="316">
        <f>ROUND(H65/F65*100,2)</f>
        <v>3.33</v>
      </c>
      <c r="K65" s="217">
        <f>ROUND(A65/$A$8*100,5)</f>
        <v>18.920339999999999</v>
      </c>
      <c r="L65" s="217">
        <f>ROUND(D65/$D$8*100,5)</f>
        <v>0.16420000000000001</v>
      </c>
      <c r="M65" s="217">
        <f>ROUND(F65/$F$8*100,5)</f>
        <v>0.16969999999999999</v>
      </c>
    </row>
    <row r="66" spans="1:13" s="922" customFormat="1" ht="22.25" customHeight="1">
      <c r="A66" s="300">
        <v>131380419</v>
      </c>
      <c r="B66" s="301">
        <f>ROUND(A66/$A$8*100,2)</f>
        <v>18.920000000000002</v>
      </c>
      <c r="C66" s="263" t="s">
        <v>801</v>
      </c>
      <c r="D66" s="312">
        <f>923368+13091-1000</f>
        <v>935459</v>
      </c>
      <c r="E66" s="313">
        <f>ROUND(D66/$D$8*100,2)</f>
        <v>0.16</v>
      </c>
      <c r="F66" s="312">
        <v>904909</v>
      </c>
      <c r="G66" s="301">
        <f>ROUND(F66/$F$8*100,2)</f>
        <v>0.17</v>
      </c>
      <c r="H66" s="315">
        <f>D66-F66</f>
        <v>30550</v>
      </c>
      <c r="I66" s="316">
        <f>ROUND(H66/F66*100,2)</f>
        <v>3.38</v>
      </c>
      <c r="K66" s="217">
        <f>ROUND(A66/$A$8*100,5)</f>
        <v>18.919139999999999</v>
      </c>
      <c r="L66" s="217">
        <f>ROUND(D66/$D$8*100,5)</f>
        <v>0.16411999999999999</v>
      </c>
      <c r="M66" s="217">
        <f>ROUND(F66/$F$8*100,5)</f>
        <v>0.16954</v>
      </c>
    </row>
    <row r="67" spans="1:13" s="922" customFormat="1" ht="21.6" hidden="1" customHeight="1">
      <c r="A67" s="945">
        <v>0</v>
      </c>
      <c r="B67" s="946">
        <f>ROUND(A67/$A$8*100,2)</f>
        <v>0</v>
      </c>
      <c r="C67" s="943" t="s">
        <v>804</v>
      </c>
      <c r="D67" s="947">
        <v>0</v>
      </c>
      <c r="E67" s="948">
        <f>ROUND(D67/$D$8*100,2)</f>
        <v>0</v>
      </c>
      <c r="F67" s="947">
        <v>0</v>
      </c>
      <c r="G67" s="946">
        <f>ROUND(F67/$F$8*100,2)</f>
        <v>0</v>
      </c>
      <c r="H67" s="947">
        <f>D67-F67</f>
        <v>0</v>
      </c>
      <c r="I67" s="949">
        <v>0</v>
      </c>
      <c r="J67" s="942"/>
      <c r="K67" s="217">
        <f>ROUND(A67/$A$8*100,5)</f>
        <v>0</v>
      </c>
      <c r="L67" s="217">
        <f>ROUND(D67/$D$8*100,5)</f>
        <v>0</v>
      </c>
      <c r="M67" s="217">
        <f>ROUND(F67/$F$8*100,5)</f>
        <v>0</v>
      </c>
    </row>
    <row r="68" spans="1:13" s="922" customFormat="1" ht="20.95" customHeight="1">
      <c r="A68" s="300">
        <v>8306</v>
      </c>
      <c r="B68" s="301">
        <f>ROUND(A68/$A$8*100,2)</f>
        <v>0</v>
      </c>
      <c r="C68" s="263" t="s">
        <v>805</v>
      </c>
      <c r="D68" s="312">
        <v>450</v>
      </c>
      <c r="E68" s="313">
        <f>ROUND(D68/$D$8*100,2)</f>
        <v>0</v>
      </c>
      <c r="F68" s="312">
        <v>824</v>
      </c>
      <c r="G68" s="301">
        <f>ROUND(F68/$F$8*100,2)</f>
        <v>0</v>
      </c>
      <c r="H68" s="315">
        <f>D68-F68</f>
        <v>-374</v>
      </c>
      <c r="I68" s="316">
        <f>ROUND(H68/F68*100,2)</f>
        <v>-45.39</v>
      </c>
      <c r="K68" s="217">
        <f>ROUND(A68/$A$8*100,5)</f>
        <v>1.1999999999999999E-3</v>
      </c>
      <c r="L68" s="217">
        <f>ROUND(D68/$D$8*100,5)</f>
        <v>8.0000000000000007E-5</v>
      </c>
      <c r="M68" s="217">
        <f>ROUND(F68/$F$8*100,5)</f>
        <v>1.4999999999999999E-4</v>
      </c>
    </row>
    <row r="69" spans="1:13" s="922" customFormat="1" ht="22.25" customHeight="1">
      <c r="A69" s="300">
        <v>25</v>
      </c>
      <c r="B69" s="301">
        <f t="shared" ref="B69:B70" si="20">ROUND(A69/$A$8*100,2)</f>
        <v>0</v>
      </c>
      <c r="C69" s="738" t="s">
        <v>815</v>
      </c>
      <c r="D69" s="312">
        <v>2</v>
      </c>
      <c r="E69" s="313">
        <f t="shared" ref="E69" si="21">ROUND(D69/$D$8*100,2)</f>
        <v>0</v>
      </c>
      <c r="F69" s="312">
        <v>30</v>
      </c>
      <c r="G69" s="301">
        <f t="shared" ref="G69:G70" si="22">ROUND(F69/$F$8*100,2)</f>
        <v>0</v>
      </c>
      <c r="H69" s="315">
        <f t="shared" ref="H69" si="23">D69-F69</f>
        <v>-28</v>
      </c>
      <c r="I69" s="316">
        <f>ROUND(H69/F69*100,2)</f>
        <v>-93.33</v>
      </c>
      <c r="K69" s="217">
        <f t="shared" ref="K69" si="24">ROUND(A69/$A$8*100,5)</f>
        <v>0</v>
      </c>
      <c r="L69" s="217">
        <f t="shared" ref="L69:L70" si="25">ROUND(D69/$D$8*100,5)</f>
        <v>0</v>
      </c>
      <c r="M69" s="217">
        <f t="shared" ref="M69" si="26">ROUND(F69/$F$8*100,5)</f>
        <v>1.0000000000000001E-5</v>
      </c>
    </row>
    <row r="70" spans="1:13" s="968" customFormat="1" ht="22.25" customHeight="1">
      <c r="A70" s="300">
        <v>0</v>
      </c>
      <c r="B70" s="301">
        <f t="shared" si="20"/>
        <v>0</v>
      </c>
      <c r="C70" s="263" t="s">
        <v>999</v>
      </c>
      <c r="D70" s="312">
        <v>5</v>
      </c>
      <c r="E70" s="313">
        <f>ROUND(D70/$D$8*100,2)</f>
        <v>0</v>
      </c>
      <c r="F70" s="312">
        <v>0</v>
      </c>
      <c r="G70" s="301">
        <f t="shared" si="22"/>
        <v>0</v>
      </c>
      <c r="H70" s="312">
        <f>D70-F70</f>
        <v>5</v>
      </c>
      <c r="I70" s="314">
        <v>0</v>
      </c>
      <c r="K70" s="217"/>
      <c r="L70" s="217">
        <f t="shared" si="25"/>
        <v>0</v>
      </c>
      <c r="M70" s="217"/>
    </row>
    <row r="71" spans="1:13" s="922" customFormat="1" ht="24.05" customHeight="1">
      <c r="A71" s="300">
        <v>43990</v>
      </c>
      <c r="B71" s="301">
        <f t="shared" si="2"/>
        <v>0.01</v>
      </c>
      <c r="C71" s="263" t="s">
        <v>829</v>
      </c>
      <c r="D71" s="312">
        <f>D72</f>
        <v>68000</v>
      </c>
      <c r="E71" s="313">
        <f t="shared" si="11"/>
        <v>0.01</v>
      </c>
      <c r="F71" s="312">
        <f>F72</f>
        <v>68000</v>
      </c>
      <c r="G71" s="301">
        <f t="shared" si="8"/>
        <v>0.01</v>
      </c>
      <c r="H71" s="312">
        <f t="shared" si="5"/>
        <v>0</v>
      </c>
      <c r="I71" s="314">
        <f t="shared" si="6"/>
        <v>0</v>
      </c>
      <c r="K71" s="217">
        <f t="shared" si="0"/>
        <v>6.3299999999999997E-3</v>
      </c>
      <c r="L71" s="217">
        <f t="shared" si="1"/>
        <v>1.193E-2</v>
      </c>
      <c r="M71" s="217">
        <f t="shared" si="9"/>
        <v>1.274E-2</v>
      </c>
    </row>
    <row r="72" spans="1:13" s="922" customFormat="1" ht="25.2" customHeight="1">
      <c r="A72" s="300">
        <v>43990</v>
      </c>
      <c r="B72" s="355">
        <f t="shared" si="2"/>
        <v>0.01</v>
      </c>
      <c r="C72" s="263" t="s">
        <v>801</v>
      </c>
      <c r="D72" s="312">
        <v>68000</v>
      </c>
      <c r="E72" s="313">
        <f t="shared" si="11"/>
        <v>0.01</v>
      </c>
      <c r="F72" s="312">
        <v>68000</v>
      </c>
      <c r="G72" s="301">
        <f t="shared" si="8"/>
        <v>0.01</v>
      </c>
      <c r="H72" s="312">
        <f t="shared" si="5"/>
        <v>0</v>
      </c>
      <c r="I72" s="314">
        <f t="shared" si="6"/>
        <v>0</v>
      </c>
      <c r="K72" s="217">
        <f t="shared" si="0"/>
        <v>6.3299999999999997E-3</v>
      </c>
      <c r="L72" s="217">
        <f t="shared" si="1"/>
        <v>1.193E-2</v>
      </c>
      <c r="M72" s="217">
        <f t="shared" si="9"/>
        <v>1.274E-2</v>
      </c>
    </row>
    <row r="73" spans="1:13" s="922" customFormat="1" ht="22.25" customHeight="1">
      <c r="A73" s="300">
        <v>32208144</v>
      </c>
      <c r="B73" s="301">
        <f t="shared" si="2"/>
        <v>4.6399999999999997</v>
      </c>
      <c r="C73" s="263" t="s">
        <v>830</v>
      </c>
      <c r="D73" s="312">
        <f>D74+D75</f>
        <v>0</v>
      </c>
      <c r="E73" s="313">
        <f t="shared" si="11"/>
        <v>0</v>
      </c>
      <c r="F73" s="312">
        <f>F74+F75</f>
        <v>0</v>
      </c>
      <c r="G73" s="301">
        <f t="shared" si="8"/>
        <v>0</v>
      </c>
      <c r="H73" s="312">
        <f>H74</f>
        <v>0</v>
      </c>
      <c r="I73" s="314">
        <v>0</v>
      </c>
      <c r="K73" s="217">
        <f t="shared" si="0"/>
        <v>4.6380600000000003</v>
      </c>
      <c r="L73" s="217">
        <f t="shared" si="1"/>
        <v>0</v>
      </c>
      <c r="M73" s="217">
        <f t="shared" si="9"/>
        <v>0</v>
      </c>
    </row>
    <row r="74" spans="1:13" s="922" customFormat="1" ht="22.25" customHeight="1">
      <c r="A74" s="300">
        <v>30413269</v>
      </c>
      <c r="B74" s="301">
        <f t="shared" si="2"/>
        <v>4.38</v>
      </c>
      <c r="C74" s="263" t="s">
        <v>831</v>
      </c>
      <c r="D74" s="312">
        <v>0</v>
      </c>
      <c r="E74" s="313">
        <f t="shared" si="11"/>
        <v>0</v>
      </c>
      <c r="F74" s="312">
        <v>0</v>
      </c>
      <c r="G74" s="301">
        <f t="shared" si="8"/>
        <v>0</v>
      </c>
      <c r="H74" s="312">
        <v>0</v>
      </c>
      <c r="I74" s="314">
        <v>0</v>
      </c>
      <c r="K74" s="217">
        <f t="shared" si="0"/>
        <v>4.3795900000000003</v>
      </c>
      <c r="L74" s="217">
        <f t="shared" si="1"/>
        <v>0</v>
      </c>
      <c r="M74" s="217">
        <f t="shared" si="9"/>
        <v>0</v>
      </c>
    </row>
    <row r="75" spans="1:13" s="922" customFormat="1" ht="22.25" customHeight="1">
      <c r="A75" s="300">
        <v>1794875</v>
      </c>
      <c r="B75" s="301">
        <f t="shared" si="2"/>
        <v>0.26</v>
      </c>
      <c r="C75" s="263" t="s">
        <v>832</v>
      </c>
      <c r="D75" s="312">
        <v>0</v>
      </c>
      <c r="E75" s="313">
        <f t="shared" si="11"/>
        <v>0</v>
      </c>
      <c r="F75" s="312">
        <v>0</v>
      </c>
      <c r="G75" s="301">
        <f t="shared" si="8"/>
        <v>0</v>
      </c>
      <c r="H75" s="312">
        <v>0</v>
      </c>
      <c r="I75" s="314">
        <v>0</v>
      </c>
      <c r="K75" s="217">
        <f t="shared" si="0"/>
        <v>0.25846999999999998</v>
      </c>
      <c r="L75" s="217">
        <f t="shared" si="1"/>
        <v>0</v>
      </c>
      <c r="M75" s="217">
        <f t="shared" si="9"/>
        <v>0</v>
      </c>
    </row>
    <row r="76" spans="1:13" s="30" customFormat="1" ht="25.2" customHeight="1">
      <c r="A76" s="298">
        <v>528468804</v>
      </c>
      <c r="B76" s="299">
        <f t="shared" si="2"/>
        <v>76.099999999999994</v>
      </c>
      <c r="C76" s="262" t="s">
        <v>833</v>
      </c>
      <c r="D76" s="309">
        <f>D77+D85+D91</f>
        <v>564491226</v>
      </c>
      <c r="E76" s="310">
        <f t="shared" si="11"/>
        <v>99.04</v>
      </c>
      <c r="F76" s="309">
        <f>F77+F85+F91</f>
        <v>529456737</v>
      </c>
      <c r="G76" s="299">
        <f t="shared" si="8"/>
        <v>99.2</v>
      </c>
      <c r="H76" s="309">
        <f>D76-F76</f>
        <v>35034489</v>
      </c>
      <c r="I76" s="311">
        <f>ROUND(H76/F76*100,2)</f>
        <v>6.62</v>
      </c>
      <c r="K76" s="216">
        <f t="shared" si="0"/>
        <v>76.100939999999994</v>
      </c>
      <c r="L76" s="216">
        <f t="shared" si="1"/>
        <v>99.035039999999995</v>
      </c>
      <c r="M76" s="216">
        <f t="shared" si="9"/>
        <v>99.199179999999998</v>
      </c>
    </row>
    <row r="77" spans="1:13" s="922" customFormat="1" ht="25.2" customHeight="1">
      <c r="A77" s="300">
        <v>486815589</v>
      </c>
      <c r="B77" s="301">
        <f t="shared" si="2"/>
        <v>70.099999999999994</v>
      </c>
      <c r="C77" s="263" t="s">
        <v>834</v>
      </c>
      <c r="D77" s="312">
        <f>SUM(D78:D84)</f>
        <v>558596726</v>
      </c>
      <c r="E77" s="313">
        <f t="shared" si="11"/>
        <v>98</v>
      </c>
      <c r="F77" s="312">
        <f>SUM(F78:F84)</f>
        <v>522018918</v>
      </c>
      <c r="G77" s="301">
        <f t="shared" si="8"/>
        <v>97.81</v>
      </c>
      <c r="H77" s="312">
        <f>D77-F77</f>
        <v>36577808</v>
      </c>
      <c r="I77" s="314">
        <f>ROUND(H77/F77*100,2)</f>
        <v>7.01</v>
      </c>
      <c r="K77" s="217">
        <f t="shared" si="0"/>
        <v>70.102770000000007</v>
      </c>
      <c r="L77" s="217">
        <f t="shared" si="1"/>
        <v>98.000900000000001</v>
      </c>
      <c r="M77" s="217">
        <f t="shared" si="9"/>
        <v>97.805629999999994</v>
      </c>
    </row>
    <row r="78" spans="1:13" s="922" customFormat="1" ht="25.2" customHeight="1">
      <c r="A78" s="300">
        <v>448797088</v>
      </c>
      <c r="B78" s="301">
        <f t="shared" si="2"/>
        <v>64.63</v>
      </c>
      <c r="C78" s="263" t="s">
        <v>831</v>
      </c>
      <c r="D78" s="312">
        <v>518440489</v>
      </c>
      <c r="E78" s="313">
        <f t="shared" si="11"/>
        <v>90.96</v>
      </c>
      <c r="F78" s="312">
        <v>484271046</v>
      </c>
      <c r="G78" s="301">
        <f t="shared" si="8"/>
        <v>90.73</v>
      </c>
      <c r="H78" s="312">
        <f t="shared" ref="H78:H144" si="27">D78-F78</f>
        <v>34169443</v>
      </c>
      <c r="I78" s="314">
        <f t="shared" ref="I78:I144" si="28">ROUND(H78/F78*100,2)</f>
        <v>7.06</v>
      </c>
      <c r="K78" s="217">
        <f t="shared" ref="K78:K145" si="29">ROUND(A78/$A$8*100,5)</f>
        <v>64.628</v>
      </c>
      <c r="L78" s="217">
        <f t="shared" ref="L78:L145" si="30">ROUND(D78/$D$8*100,5)</f>
        <v>90.955839999999995</v>
      </c>
      <c r="M78" s="217">
        <f t="shared" si="9"/>
        <v>90.733180000000004</v>
      </c>
    </row>
    <row r="79" spans="1:13" s="922" customFormat="1" ht="25.2" customHeight="1">
      <c r="A79" s="300">
        <v>7444884</v>
      </c>
      <c r="B79" s="301">
        <f t="shared" ref="B79:B145" si="31">ROUND(A79/$A$8*100,2)</f>
        <v>1.07</v>
      </c>
      <c r="C79" s="263" t="s">
        <v>835</v>
      </c>
      <c r="D79" s="312">
        <v>2535367</v>
      </c>
      <c r="E79" s="313">
        <f t="shared" si="11"/>
        <v>0.44</v>
      </c>
      <c r="F79" s="312">
        <v>7380933</v>
      </c>
      <c r="G79" s="301">
        <f t="shared" si="8"/>
        <v>1.38</v>
      </c>
      <c r="H79" s="315">
        <f t="shared" si="27"/>
        <v>-4845566</v>
      </c>
      <c r="I79" s="316">
        <f t="shared" si="28"/>
        <v>-65.650000000000006</v>
      </c>
      <c r="K79" s="217">
        <f t="shared" si="29"/>
        <v>1.0720799999999999</v>
      </c>
      <c r="L79" s="217">
        <f t="shared" si="30"/>
        <v>0.44480999999999998</v>
      </c>
      <c r="M79" s="217">
        <f t="shared" si="9"/>
        <v>1.38289</v>
      </c>
    </row>
    <row r="80" spans="1:13" s="922" customFormat="1" ht="24.05" customHeight="1">
      <c r="A80" s="300">
        <v>23106476</v>
      </c>
      <c r="B80" s="301">
        <f t="shared" si="31"/>
        <v>3.33</v>
      </c>
      <c r="C80" s="263" t="s">
        <v>832</v>
      </c>
      <c r="D80" s="312">
        <v>23777464</v>
      </c>
      <c r="E80" s="313">
        <f t="shared" si="11"/>
        <v>4.17</v>
      </c>
      <c r="F80" s="312">
        <v>22823256</v>
      </c>
      <c r="G80" s="301">
        <f t="shared" si="8"/>
        <v>4.28</v>
      </c>
      <c r="H80" s="312">
        <f t="shared" si="27"/>
        <v>954208</v>
      </c>
      <c r="I80" s="314">
        <f t="shared" si="28"/>
        <v>4.18</v>
      </c>
      <c r="K80" s="217">
        <f t="shared" si="29"/>
        <v>3.3273999999999999</v>
      </c>
      <c r="L80" s="217">
        <f t="shared" si="30"/>
        <v>4.1715499999999999</v>
      </c>
      <c r="M80" s="217">
        <f t="shared" si="9"/>
        <v>4.2761699999999996</v>
      </c>
    </row>
    <row r="81" spans="1:13" s="922" customFormat="1" ht="24.05" customHeight="1">
      <c r="A81" s="300">
        <v>6868551</v>
      </c>
      <c r="B81" s="301">
        <f t="shared" si="31"/>
        <v>0.99</v>
      </c>
      <c r="C81" s="263" t="s">
        <v>695</v>
      </c>
      <c r="D81" s="312">
        <v>6623421</v>
      </c>
      <c r="E81" s="313">
        <f t="shared" si="11"/>
        <v>1.1599999999999999</v>
      </c>
      <c r="F81" s="312">
        <v>6794437</v>
      </c>
      <c r="G81" s="301">
        <f t="shared" si="8"/>
        <v>1.27</v>
      </c>
      <c r="H81" s="315">
        <f t="shared" si="27"/>
        <v>-171016</v>
      </c>
      <c r="I81" s="316">
        <f t="shared" si="28"/>
        <v>-2.52</v>
      </c>
      <c r="K81" s="217">
        <f t="shared" si="29"/>
        <v>0.98909000000000002</v>
      </c>
      <c r="L81" s="217">
        <f t="shared" si="30"/>
        <v>1.1620200000000001</v>
      </c>
      <c r="M81" s="217">
        <f t="shared" si="9"/>
        <v>1.27301</v>
      </c>
    </row>
    <row r="82" spans="1:13" s="922" customFormat="1" ht="24.05" customHeight="1">
      <c r="A82" s="300">
        <v>72288</v>
      </c>
      <c r="B82" s="301">
        <f t="shared" si="31"/>
        <v>0.01</v>
      </c>
      <c r="C82" s="263" t="s">
        <v>697</v>
      </c>
      <c r="D82" s="312">
        <v>129268</v>
      </c>
      <c r="E82" s="313">
        <f t="shared" si="11"/>
        <v>0.02</v>
      </c>
      <c r="F82" s="312">
        <v>121849</v>
      </c>
      <c r="G82" s="301">
        <f t="shared" si="8"/>
        <v>0.02</v>
      </c>
      <c r="H82" s="315">
        <f t="shared" si="27"/>
        <v>7419</v>
      </c>
      <c r="I82" s="316">
        <f t="shared" si="28"/>
        <v>6.09</v>
      </c>
      <c r="K82" s="217">
        <f t="shared" si="29"/>
        <v>1.0410000000000001E-2</v>
      </c>
      <c r="L82" s="217">
        <f t="shared" si="30"/>
        <v>2.2679999999999999E-2</v>
      </c>
      <c r="M82" s="217">
        <f t="shared" si="9"/>
        <v>2.283E-2</v>
      </c>
    </row>
    <row r="83" spans="1:13" s="922" customFormat="1" ht="23.4" customHeight="1">
      <c r="A83" s="300">
        <v>526300</v>
      </c>
      <c r="B83" s="301">
        <f t="shared" si="31"/>
        <v>0.08</v>
      </c>
      <c r="C83" s="738" t="s">
        <v>836</v>
      </c>
      <c r="D83" s="312">
        <f>172207-1000</f>
        <v>171207</v>
      </c>
      <c r="E83" s="313">
        <f t="shared" si="11"/>
        <v>0.03</v>
      </c>
      <c r="F83" s="312">
        <v>627397</v>
      </c>
      <c r="G83" s="301">
        <f t="shared" si="8"/>
        <v>0.12</v>
      </c>
      <c r="H83" s="315">
        <f>D83-F83</f>
        <v>-456190</v>
      </c>
      <c r="I83" s="316">
        <f>ROUND(H83/F83*100,2)</f>
        <v>-72.709999999999994</v>
      </c>
      <c r="K83" s="217">
        <f>ROUND(A83/$A$8*100,5)</f>
        <v>7.5789999999999996E-2</v>
      </c>
      <c r="L83" s="217">
        <f>ROUND(D83/$D$8*100,5)</f>
        <v>3.0040000000000001E-2</v>
      </c>
      <c r="M83" s="217">
        <f>ROUND(F83/$F$8*100,5)</f>
        <v>0.11755</v>
      </c>
    </row>
    <row r="84" spans="1:13" s="968" customFormat="1" ht="23.4" customHeight="1">
      <c r="A84" s="300">
        <v>0</v>
      </c>
      <c r="B84" s="301">
        <f t="shared" si="31"/>
        <v>0</v>
      </c>
      <c r="C84" s="263" t="s">
        <v>999</v>
      </c>
      <c r="D84" s="312">
        <f>6918744-7780+9546-1000</f>
        <v>6919510</v>
      </c>
      <c r="E84" s="313">
        <f>ROUND(D84/$D$8*100,2)</f>
        <v>1.21</v>
      </c>
      <c r="F84" s="312">
        <v>0</v>
      </c>
      <c r="G84" s="301">
        <f t="shared" ref="G84" si="32">ROUND(F84/$F$8*100,2)</f>
        <v>0</v>
      </c>
      <c r="H84" s="312">
        <f>D84-F84</f>
        <v>6919510</v>
      </c>
      <c r="I84" s="314">
        <v>0</v>
      </c>
      <c r="K84" s="217"/>
      <c r="L84" s="217">
        <f>ROUND(D84/$D$8*100,5)</f>
        <v>1.21397</v>
      </c>
      <c r="M84" s="217"/>
    </row>
    <row r="85" spans="1:13" s="922" customFormat="1" ht="22.95" customHeight="1">
      <c r="A85" s="300">
        <v>40852563</v>
      </c>
      <c r="B85" s="301">
        <f t="shared" si="31"/>
        <v>5.88</v>
      </c>
      <c r="C85" s="263" t="s">
        <v>837</v>
      </c>
      <c r="D85" s="312">
        <f>SUM(D86:D90)</f>
        <v>4976632</v>
      </c>
      <c r="E85" s="313">
        <f t="shared" si="11"/>
        <v>0.87</v>
      </c>
      <c r="F85" s="312">
        <f>SUM(F86:F90)</f>
        <v>6687325</v>
      </c>
      <c r="G85" s="301">
        <f t="shared" ref="G85:G145" si="33">ROUND(F85/$F$8*100,2)</f>
        <v>1.25</v>
      </c>
      <c r="H85" s="315">
        <f t="shared" si="27"/>
        <v>-1710693</v>
      </c>
      <c r="I85" s="316">
        <f t="shared" si="28"/>
        <v>-25.58</v>
      </c>
      <c r="K85" s="217">
        <f t="shared" si="29"/>
        <v>5.8828800000000001</v>
      </c>
      <c r="L85" s="217">
        <f t="shared" si="30"/>
        <v>0.87311000000000005</v>
      </c>
      <c r="M85" s="217">
        <f t="shared" si="9"/>
        <v>1.2529399999999999</v>
      </c>
    </row>
    <row r="86" spans="1:13" s="922" customFormat="1" ht="23.4" customHeight="1">
      <c r="A86" s="300">
        <v>35590076</v>
      </c>
      <c r="B86" s="301">
        <f t="shared" si="31"/>
        <v>5.13</v>
      </c>
      <c r="C86" s="263" t="s">
        <v>801</v>
      </c>
      <c r="D86" s="312">
        <v>0</v>
      </c>
      <c r="E86" s="313">
        <f t="shared" si="11"/>
        <v>0</v>
      </c>
      <c r="F86" s="312">
        <v>0</v>
      </c>
      <c r="G86" s="301">
        <f t="shared" si="33"/>
        <v>0</v>
      </c>
      <c r="H86" s="312">
        <f t="shared" si="27"/>
        <v>0</v>
      </c>
      <c r="I86" s="314">
        <v>0</v>
      </c>
      <c r="K86" s="217">
        <f t="shared" si="29"/>
        <v>5.12507</v>
      </c>
      <c r="L86" s="217">
        <f t="shared" si="30"/>
        <v>0</v>
      </c>
      <c r="M86" s="217">
        <f t="shared" si="9"/>
        <v>0</v>
      </c>
    </row>
    <row r="87" spans="1:13" s="922" customFormat="1" ht="23.4" customHeight="1">
      <c r="A87" s="300">
        <v>737091</v>
      </c>
      <c r="B87" s="301">
        <f t="shared" si="31"/>
        <v>0.11</v>
      </c>
      <c r="C87" s="263" t="s">
        <v>804</v>
      </c>
      <c r="D87" s="312">
        <v>387583</v>
      </c>
      <c r="E87" s="313">
        <f t="shared" si="11"/>
        <v>7.0000000000000007E-2</v>
      </c>
      <c r="F87" s="312">
        <v>1159558</v>
      </c>
      <c r="G87" s="301">
        <f t="shared" si="33"/>
        <v>0.22</v>
      </c>
      <c r="H87" s="315">
        <f t="shared" si="27"/>
        <v>-771975</v>
      </c>
      <c r="I87" s="316">
        <f t="shared" si="28"/>
        <v>-66.569999999999993</v>
      </c>
      <c r="K87" s="217">
        <f t="shared" si="29"/>
        <v>0.10614</v>
      </c>
      <c r="L87" s="217">
        <f t="shared" si="30"/>
        <v>6.8000000000000005E-2</v>
      </c>
      <c r="M87" s="217">
        <f t="shared" si="9"/>
        <v>0.21726000000000001</v>
      </c>
    </row>
    <row r="88" spans="1:13" s="922" customFormat="1" ht="22.25" customHeight="1">
      <c r="A88" s="300">
        <v>4319223</v>
      </c>
      <c r="B88" s="301">
        <f t="shared" si="31"/>
        <v>0.62</v>
      </c>
      <c r="C88" s="263" t="s">
        <v>805</v>
      </c>
      <c r="D88" s="312">
        <f>4571039+2000</f>
        <v>4573039</v>
      </c>
      <c r="E88" s="313">
        <f t="shared" ref="E88:E145" si="34">ROUND(D88/$D$8*100,2)</f>
        <v>0.8</v>
      </c>
      <c r="F88" s="312">
        <v>5527767</v>
      </c>
      <c r="G88" s="301">
        <f t="shared" si="33"/>
        <v>1.04</v>
      </c>
      <c r="H88" s="315">
        <f t="shared" si="27"/>
        <v>-954728</v>
      </c>
      <c r="I88" s="316">
        <f t="shared" si="28"/>
        <v>-17.27</v>
      </c>
      <c r="K88" s="217">
        <f t="shared" si="29"/>
        <v>0.62197999999999998</v>
      </c>
      <c r="L88" s="217">
        <f t="shared" si="30"/>
        <v>0.80230000000000001</v>
      </c>
      <c r="M88" s="217">
        <f t="shared" si="9"/>
        <v>1.0356799999999999</v>
      </c>
    </row>
    <row r="89" spans="1:13" s="922" customFormat="1" ht="22.25" customHeight="1">
      <c r="A89" s="300">
        <v>206173</v>
      </c>
      <c r="B89" s="355">
        <f t="shared" si="31"/>
        <v>0.03</v>
      </c>
      <c r="C89" s="263" t="s">
        <v>697</v>
      </c>
      <c r="D89" s="312">
        <v>0</v>
      </c>
      <c r="E89" s="313">
        <f t="shared" si="34"/>
        <v>0</v>
      </c>
      <c r="F89" s="312">
        <v>0</v>
      </c>
      <c r="G89" s="301">
        <f t="shared" si="33"/>
        <v>0</v>
      </c>
      <c r="H89" s="312">
        <f t="shared" si="27"/>
        <v>0</v>
      </c>
      <c r="I89" s="314">
        <v>0</v>
      </c>
      <c r="K89" s="217">
        <f t="shared" si="29"/>
        <v>2.9690000000000001E-2</v>
      </c>
      <c r="L89" s="217">
        <f t="shared" si="30"/>
        <v>0</v>
      </c>
      <c r="M89" s="217">
        <f t="shared" si="9"/>
        <v>0</v>
      </c>
    </row>
    <row r="90" spans="1:13" s="968" customFormat="1" ht="22.25" customHeight="1">
      <c r="A90" s="300">
        <v>0</v>
      </c>
      <c r="B90" s="301">
        <f t="shared" ref="B90" si="35">ROUND(A90/$A$8*100,2)</f>
        <v>0</v>
      </c>
      <c r="C90" s="738" t="s">
        <v>816</v>
      </c>
      <c r="D90" s="312">
        <v>16010</v>
      </c>
      <c r="E90" s="313">
        <f>ROUND(D90/$D$8*100,2)</f>
        <v>0</v>
      </c>
      <c r="F90" s="312">
        <v>0</v>
      </c>
      <c r="G90" s="301">
        <f t="shared" si="33"/>
        <v>0</v>
      </c>
      <c r="H90" s="312">
        <f>D90-F90</f>
        <v>16010</v>
      </c>
      <c r="I90" s="314">
        <v>0</v>
      </c>
      <c r="K90" s="217"/>
      <c r="L90" s="217">
        <f t="shared" si="30"/>
        <v>2.81E-3</v>
      </c>
      <c r="M90" s="217"/>
    </row>
    <row r="91" spans="1:13" s="922" customFormat="1" ht="23.25" customHeight="1" thickBot="1">
      <c r="A91" s="302">
        <v>800652</v>
      </c>
      <c r="B91" s="303">
        <f t="shared" si="31"/>
        <v>0.12</v>
      </c>
      <c r="C91" s="268" t="s">
        <v>838</v>
      </c>
      <c r="D91" s="317">
        <f>SUM(D92:D98)</f>
        <v>917868</v>
      </c>
      <c r="E91" s="318">
        <f t="shared" si="34"/>
        <v>0.16</v>
      </c>
      <c r="F91" s="317">
        <f>SUM(F92:F98)</f>
        <v>750494</v>
      </c>
      <c r="G91" s="303">
        <f t="shared" si="33"/>
        <v>0.14000000000000001</v>
      </c>
      <c r="H91" s="331">
        <f t="shared" si="27"/>
        <v>167374</v>
      </c>
      <c r="I91" s="332">
        <f t="shared" si="28"/>
        <v>22.3</v>
      </c>
      <c r="K91" s="217">
        <f t="shared" si="29"/>
        <v>0.1153</v>
      </c>
      <c r="L91" s="217">
        <f t="shared" si="30"/>
        <v>0.16103000000000001</v>
      </c>
      <c r="M91" s="217">
        <f t="shared" si="9"/>
        <v>0.14061000000000001</v>
      </c>
    </row>
    <row r="92" spans="1:13" s="922" customFormat="1" ht="22.25" customHeight="1">
      <c r="A92" s="300">
        <v>734129</v>
      </c>
      <c r="B92" s="301">
        <f t="shared" si="31"/>
        <v>0.11</v>
      </c>
      <c r="C92" s="263" t="s">
        <v>839</v>
      </c>
      <c r="D92" s="312">
        <v>835749</v>
      </c>
      <c r="E92" s="313">
        <f t="shared" si="34"/>
        <v>0.15</v>
      </c>
      <c r="F92" s="312">
        <v>681537</v>
      </c>
      <c r="G92" s="301">
        <f t="shared" si="33"/>
        <v>0.13</v>
      </c>
      <c r="H92" s="315">
        <f t="shared" si="27"/>
        <v>154212</v>
      </c>
      <c r="I92" s="316">
        <f t="shared" si="28"/>
        <v>22.63</v>
      </c>
      <c r="K92" s="217">
        <f t="shared" si="29"/>
        <v>0.10571999999999999</v>
      </c>
      <c r="L92" s="217">
        <f t="shared" si="30"/>
        <v>0.14662</v>
      </c>
      <c r="M92" s="217">
        <f t="shared" si="9"/>
        <v>0.12769</v>
      </c>
    </row>
    <row r="93" spans="1:13" s="922" customFormat="1" ht="24.05" customHeight="1">
      <c r="A93" s="300">
        <v>20949</v>
      </c>
      <c r="B93" s="301">
        <f t="shared" si="31"/>
        <v>0</v>
      </c>
      <c r="C93" s="263" t="s">
        <v>840</v>
      </c>
      <c r="D93" s="312">
        <v>8196</v>
      </c>
      <c r="E93" s="313">
        <f t="shared" si="34"/>
        <v>0</v>
      </c>
      <c r="F93" s="312">
        <v>19994</v>
      </c>
      <c r="G93" s="301">
        <f t="shared" si="33"/>
        <v>0</v>
      </c>
      <c r="H93" s="315">
        <f t="shared" si="27"/>
        <v>-11798</v>
      </c>
      <c r="I93" s="316">
        <f t="shared" si="28"/>
        <v>-59.01</v>
      </c>
      <c r="K93" s="217">
        <f t="shared" si="29"/>
        <v>3.0200000000000001E-3</v>
      </c>
      <c r="L93" s="217">
        <f t="shared" si="30"/>
        <v>1.4400000000000001E-3</v>
      </c>
      <c r="M93" s="217">
        <f t="shared" si="9"/>
        <v>3.7499999999999999E-3</v>
      </c>
    </row>
    <row r="94" spans="1:13" s="922" customFormat="1" ht="20.95" customHeight="1">
      <c r="A94" s="300">
        <v>38985</v>
      </c>
      <c r="B94" s="301">
        <f t="shared" si="31"/>
        <v>0.01</v>
      </c>
      <c r="C94" s="263" t="s">
        <v>841</v>
      </c>
      <c r="D94" s="312">
        <v>50878</v>
      </c>
      <c r="E94" s="313">
        <f t="shared" si="34"/>
        <v>0.01</v>
      </c>
      <c r="F94" s="312">
        <v>40128</v>
      </c>
      <c r="G94" s="301">
        <f t="shared" si="33"/>
        <v>0.01</v>
      </c>
      <c r="H94" s="315">
        <f t="shared" si="27"/>
        <v>10750</v>
      </c>
      <c r="I94" s="316">
        <f t="shared" si="28"/>
        <v>26.79</v>
      </c>
      <c r="K94" s="217">
        <f t="shared" si="29"/>
        <v>5.6100000000000004E-3</v>
      </c>
      <c r="L94" s="217">
        <f t="shared" si="30"/>
        <v>8.9300000000000004E-3</v>
      </c>
      <c r="M94" s="217">
        <f t="shared" si="9"/>
        <v>7.5199999999999998E-3</v>
      </c>
    </row>
    <row r="95" spans="1:13" s="922" customFormat="1" ht="19.149999999999999" customHeight="1">
      <c r="A95" s="300">
        <v>5706</v>
      </c>
      <c r="B95" s="301">
        <f t="shared" si="31"/>
        <v>0</v>
      </c>
      <c r="C95" s="263" t="s">
        <v>695</v>
      </c>
      <c r="D95" s="312">
        <v>6654</v>
      </c>
      <c r="E95" s="313">
        <f t="shared" si="34"/>
        <v>0</v>
      </c>
      <c r="F95" s="312">
        <v>8835</v>
      </c>
      <c r="G95" s="301">
        <f t="shared" si="33"/>
        <v>0</v>
      </c>
      <c r="H95" s="315">
        <f t="shared" si="27"/>
        <v>-2181</v>
      </c>
      <c r="I95" s="316">
        <f t="shared" si="28"/>
        <v>-24.69</v>
      </c>
      <c r="K95" s="217">
        <f t="shared" si="29"/>
        <v>8.1999999999999998E-4</v>
      </c>
      <c r="L95" s="217">
        <f t="shared" si="30"/>
        <v>1.17E-3</v>
      </c>
      <c r="M95" s="217">
        <f t="shared" si="9"/>
        <v>1.66E-3</v>
      </c>
    </row>
    <row r="96" spans="1:13" s="922" customFormat="1" ht="24.55" customHeight="1">
      <c r="A96" s="300">
        <v>140</v>
      </c>
      <c r="B96" s="301">
        <f t="shared" si="31"/>
        <v>0</v>
      </c>
      <c r="C96" s="738" t="s">
        <v>836</v>
      </c>
      <c r="D96" s="312">
        <v>0</v>
      </c>
      <c r="E96" s="313">
        <f t="shared" si="34"/>
        <v>0</v>
      </c>
      <c r="F96" s="312">
        <v>0</v>
      </c>
      <c r="G96" s="301">
        <f t="shared" si="33"/>
        <v>0</v>
      </c>
      <c r="H96" s="312">
        <v>0</v>
      </c>
      <c r="I96" s="314">
        <v>0</v>
      </c>
      <c r="K96" s="217">
        <f t="shared" si="29"/>
        <v>2.0000000000000002E-5</v>
      </c>
      <c r="L96" s="217">
        <f t="shared" si="30"/>
        <v>0</v>
      </c>
      <c r="M96" s="217">
        <f t="shared" si="9"/>
        <v>0</v>
      </c>
    </row>
    <row r="97" spans="1:16" s="922" customFormat="1" ht="22.6" customHeight="1">
      <c r="A97" s="300">
        <v>743</v>
      </c>
      <c r="B97" s="301">
        <f t="shared" si="31"/>
        <v>0</v>
      </c>
      <c r="C97" s="738" t="s">
        <v>842</v>
      </c>
      <c r="D97" s="312">
        <v>0</v>
      </c>
      <c r="E97" s="313">
        <f t="shared" si="34"/>
        <v>0</v>
      </c>
      <c r="F97" s="312">
        <v>0</v>
      </c>
      <c r="G97" s="301">
        <f t="shared" si="33"/>
        <v>0</v>
      </c>
      <c r="H97" s="554">
        <f t="shared" si="27"/>
        <v>0</v>
      </c>
      <c r="I97" s="555">
        <v>0</v>
      </c>
      <c r="K97" s="217">
        <f t="shared" si="29"/>
        <v>1.1E-4</v>
      </c>
      <c r="L97" s="217">
        <f t="shared" si="30"/>
        <v>0</v>
      </c>
      <c r="M97" s="217">
        <f t="shared" si="9"/>
        <v>0</v>
      </c>
    </row>
    <row r="98" spans="1:16" s="968" customFormat="1" ht="22.6" customHeight="1">
      <c r="A98" s="300">
        <v>0</v>
      </c>
      <c r="B98" s="301">
        <f t="shared" ref="B98" si="36">ROUND(A98/$A$8*100,2)</f>
        <v>0</v>
      </c>
      <c r="C98" s="263" t="s">
        <v>999</v>
      </c>
      <c r="D98" s="312">
        <v>16391</v>
      </c>
      <c r="E98" s="313">
        <f>ROUND(D98/$D$8*100,2)</f>
        <v>0</v>
      </c>
      <c r="F98" s="312">
        <v>0</v>
      </c>
      <c r="G98" s="301">
        <f t="shared" ref="G98" si="37">ROUND(F98/$F$8*100,2)</f>
        <v>0</v>
      </c>
      <c r="H98" s="312">
        <f>D98-F98</f>
        <v>16391</v>
      </c>
      <c r="I98" s="314">
        <v>0</v>
      </c>
      <c r="K98" s="217"/>
      <c r="L98" s="217">
        <f t="shared" si="30"/>
        <v>2.8800000000000002E-3</v>
      </c>
      <c r="M98" s="217"/>
    </row>
    <row r="99" spans="1:16" s="30" customFormat="1" ht="24.05" customHeight="1">
      <c r="A99" s="298">
        <v>2616877</v>
      </c>
      <c r="B99" s="299">
        <f t="shared" si="31"/>
        <v>0.38</v>
      </c>
      <c r="C99" s="262" t="s">
        <v>843</v>
      </c>
      <c r="D99" s="309">
        <f>SUM(D100:D100)</f>
        <v>4713511</v>
      </c>
      <c r="E99" s="310">
        <f t="shared" si="34"/>
        <v>0.83</v>
      </c>
      <c r="F99" s="309">
        <f>SUM(F100:F100)</f>
        <v>3512763</v>
      </c>
      <c r="G99" s="299">
        <f t="shared" si="33"/>
        <v>0.66</v>
      </c>
      <c r="H99" s="319">
        <f t="shared" si="27"/>
        <v>1200748</v>
      </c>
      <c r="I99" s="320">
        <f t="shared" si="28"/>
        <v>34.18</v>
      </c>
      <c r="K99" s="216">
        <f t="shared" si="29"/>
        <v>0.37684000000000001</v>
      </c>
      <c r="L99" s="216">
        <f t="shared" si="30"/>
        <v>0.82694000000000001</v>
      </c>
      <c r="M99" s="216">
        <f t="shared" si="9"/>
        <v>0.65815000000000001</v>
      </c>
    </row>
    <row r="100" spans="1:16" s="922" customFormat="1" ht="22.6" customHeight="1">
      <c r="A100" s="300">
        <v>2616877</v>
      </c>
      <c r="B100" s="301">
        <f t="shared" si="31"/>
        <v>0.38</v>
      </c>
      <c r="C100" s="263" t="s">
        <v>844</v>
      </c>
      <c r="D100" s="312">
        <f>SUM(D101:D105)</f>
        <v>4713511</v>
      </c>
      <c r="E100" s="313">
        <f t="shared" si="34"/>
        <v>0.83</v>
      </c>
      <c r="F100" s="312">
        <f>SUM(F101:F105)</f>
        <v>3512763</v>
      </c>
      <c r="G100" s="301">
        <f t="shared" si="33"/>
        <v>0.66</v>
      </c>
      <c r="H100" s="315">
        <f t="shared" si="27"/>
        <v>1200748</v>
      </c>
      <c r="I100" s="316">
        <f t="shared" si="28"/>
        <v>34.18</v>
      </c>
      <c r="K100" s="217">
        <f t="shared" si="29"/>
        <v>0.37684000000000001</v>
      </c>
      <c r="L100" s="217">
        <f t="shared" si="30"/>
        <v>0.82694000000000001</v>
      </c>
      <c r="M100" s="217">
        <f t="shared" si="9"/>
        <v>0.65815000000000001</v>
      </c>
    </row>
    <row r="101" spans="1:16" s="922" customFormat="1" ht="22.6" hidden="1" customHeight="1">
      <c r="A101" s="300">
        <v>0</v>
      </c>
      <c r="B101" s="301">
        <f t="shared" si="31"/>
        <v>0</v>
      </c>
      <c r="C101" s="943" t="s">
        <v>845</v>
      </c>
      <c r="D101" s="312">
        <v>0</v>
      </c>
      <c r="E101" s="313">
        <f t="shared" si="34"/>
        <v>0</v>
      </c>
      <c r="F101" s="312">
        <v>0</v>
      </c>
      <c r="G101" s="301">
        <f t="shared" si="33"/>
        <v>0</v>
      </c>
      <c r="H101" s="312">
        <f t="shared" si="27"/>
        <v>0</v>
      </c>
      <c r="I101" s="314">
        <v>0</v>
      </c>
      <c r="K101" s="217">
        <f t="shared" si="29"/>
        <v>0</v>
      </c>
      <c r="L101" s="217">
        <f t="shared" si="30"/>
        <v>0</v>
      </c>
      <c r="M101" s="217">
        <f t="shared" si="9"/>
        <v>0</v>
      </c>
      <c r="P101" s="821"/>
    </row>
    <row r="102" spans="1:16" s="922" customFormat="1" ht="22.6" customHeight="1">
      <c r="A102" s="300">
        <v>2500411</v>
      </c>
      <c r="B102" s="301">
        <f t="shared" si="31"/>
        <v>0.36</v>
      </c>
      <c r="C102" s="263" t="s">
        <v>841</v>
      </c>
      <c r="D102" s="312">
        <f>3702011-2000</f>
        <v>3700011</v>
      </c>
      <c r="E102" s="313">
        <f t="shared" si="34"/>
        <v>0.65</v>
      </c>
      <c r="F102" s="312">
        <v>3428053</v>
      </c>
      <c r="G102" s="301">
        <f t="shared" si="33"/>
        <v>0.64</v>
      </c>
      <c r="H102" s="312">
        <f t="shared" si="27"/>
        <v>271958</v>
      </c>
      <c r="I102" s="314">
        <f t="shared" si="28"/>
        <v>7.93</v>
      </c>
      <c r="K102" s="217">
        <f t="shared" si="29"/>
        <v>0.36007</v>
      </c>
      <c r="L102" s="217">
        <f t="shared" si="30"/>
        <v>0.64912999999999998</v>
      </c>
      <c r="M102" s="217">
        <f t="shared" si="9"/>
        <v>0.64227999999999996</v>
      </c>
      <c r="P102" s="821"/>
    </row>
    <row r="103" spans="1:16" s="922" customFormat="1" ht="22.6" customHeight="1">
      <c r="A103" s="300">
        <v>76198</v>
      </c>
      <c r="B103" s="301">
        <f t="shared" si="31"/>
        <v>0.01</v>
      </c>
      <c r="C103" s="263" t="s">
        <v>846</v>
      </c>
      <c r="D103" s="312">
        <v>13818</v>
      </c>
      <c r="E103" s="313">
        <f t="shared" si="34"/>
        <v>0</v>
      </c>
      <c r="F103" s="312">
        <v>32750</v>
      </c>
      <c r="G103" s="301">
        <f t="shared" si="33"/>
        <v>0.01</v>
      </c>
      <c r="H103" s="315">
        <f t="shared" si="27"/>
        <v>-18932</v>
      </c>
      <c r="I103" s="316">
        <f t="shared" si="28"/>
        <v>-57.81</v>
      </c>
      <c r="K103" s="217">
        <f t="shared" si="29"/>
        <v>1.0970000000000001E-2</v>
      </c>
      <c r="L103" s="217">
        <f t="shared" si="30"/>
        <v>2.4199999999999998E-3</v>
      </c>
      <c r="M103" s="217">
        <f t="shared" si="9"/>
        <v>6.1399999999999996E-3</v>
      </c>
    </row>
    <row r="104" spans="1:16" s="922" customFormat="1" ht="22.6" customHeight="1">
      <c r="A104" s="300">
        <v>40268</v>
      </c>
      <c r="B104" s="301">
        <f t="shared" si="31"/>
        <v>0.01</v>
      </c>
      <c r="C104" s="738" t="s">
        <v>842</v>
      </c>
      <c r="D104" s="312">
        <v>15886</v>
      </c>
      <c r="E104" s="313">
        <f t="shared" si="34"/>
        <v>0</v>
      </c>
      <c r="F104" s="312">
        <v>51960</v>
      </c>
      <c r="G104" s="301">
        <f t="shared" si="33"/>
        <v>0.01</v>
      </c>
      <c r="H104" s="315">
        <f t="shared" si="27"/>
        <v>-36074</v>
      </c>
      <c r="I104" s="316">
        <f t="shared" si="28"/>
        <v>-69.430000000000007</v>
      </c>
      <c r="K104" s="217">
        <f t="shared" si="29"/>
        <v>5.7999999999999996E-3</v>
      </c>
      <c r="L104" s="217">
        <f t="shared" si="30"/>
        <v>2.7899999999999999E-3</v>
      </c>
      <c r="M104" s="217">
        <f t="shared" si="9"/>
        <v>9.7400000000000004E-3</v>
      </c>
    </row>
    <row r="105" spans="1:16" s="968" customFormat="1" ht="22.6" customHeight="1">
      <c r="A105" s="300">
        <v>0</v>
      </c>
      <c r="B105" s="301">
        <f t="shared" si="31"/>
        <v>0</v>
      </c>
      <c r="C105" s="263" t="s">
        <v>999</v>
      </c>
      <c r="D105" s="312">
        <f>934796-1000+50000</f>
        <v>983796</v>
      </c>
      <c r="E105" s="313">
        <f>ROUND(D105/$D$8*100,2)</f>
        <v>0.17</v>
      </c>
      <c r="F105" s="312">
        <v>0</v>
      </c>
      <c r="G105" s="301">
        <f t="shared" ref="G105" si="38">ROUND(F105/$F$8*100,2)</f>
        <v>0</v>
      </c>
      <c r="H105" s="312">
        <f>D105-F105</f>
        <v>983796</v>
      </c>
      <c r="I105" s="314">
        <v>0</v>
      </c>
      <c r="K105" s="217"/>
      <c r="L105" s="217">
        <f t="shared" si="30"/>
        <v>0.1726</v>
      </c>
      <c r="M105" s="217"/>
    </row>
    <row r="106" spans="1:16" s="30" customFormat="1" ht="22.6" customHeight="1">
      <c r="A106" s="305">
        <v>-332453</v>
      </c>
      <c r="B106" s="306">
        <f t="shared" si="31"/>
        <v>-0.05</v>
      </c>
      <c r="C106" s="262" t="s">
        <v>847</v>
      </c>
      <c r="D106" s="319">
        <f>+D8-D60</f>
        <v>-256975</v>
      </c>
      <c r="E106" s="306">
        <f t="shared" si="34"/>
        <v>-0.05</v>
      </c>
      <c r="F106" s="319">
        <f>+F8-F60</f>
        <v>-233594</v>
      </c>
      <c r="G106" s="306">
        <f t="shared" si="33"/>
        <v>-0.04</v>
      </c>
      <c r="H106" s="319">
        <f t="shared" si="27"/>
        <v>-23381</v>
      </c>
      <c r="I106" s="320">
        <f t="shared" si="28"/>
        <v>10.01</v>
      </c>
      <c r="K106" s="216">
        <f t="shared" si="29"/>
        <v>-4.7870000000000003E-2</v>
      </c>
      <c r="L106" s="216">
        <f t="shared" si="30"/>
        <v>-4.5080000000000002E-2</v>
      </c>
      <c r="M106" s="216">
        <f t="shared" si="9"/>
        <v>-4.3770000000000003E-2</v>
      </c>
    </row>
    <row r="107" spans="1:16" s="30" customFormat="1" ht="22.6" customHeight="1">
      <c r="A107" s="307">
        <v>332594</v>
      </c>
      <c r="B107" s="299">
        <f t="shared" si="31"/>
        <v>0.05</v>
      </c>
      <c r="C107" s="262" t="s">
        <v>848</v>
      </c>
      <c r="D107" s="323">
        <f>D108+D115</f>
        <v>257048</v>
      </c>
      <c r="E107" s="310">
        <f t="shared" si="34"/>
        <v>0.05</v>
      </c>
      <c r="F107" s="323">
        <f>F108+F115</f>
        <v>233631</v>
      </c>
      <c r="G107" s="299">
        <f t="shared" si="33"/>
        <v>0.04</v>
      </c>
      <c r="H107" s="319">
        <f t="shared" si="27"/>
        <v>23417</v>
      </c>
      <c r="I107" s="320">
        <f t="shared" si="28"/>
        <v>10.02</v>
      </c>
      <c r="K107" s="216">
        <f t="shared" si="29"/>
        <v>4.7890000000000002E-2</v>
      </c>
      <c r="L107" s="216">
        <f t="shared" si="30"/>
        <v>4.5100000000000001E-2</v>
      </c>
      <c r="M107" s="216">
        <f t="shared" si="9"/>
        <v>4.3770000000000003E-2</v>
      </c>
    </row>
    <row r="108" spans="1:16" s="30" customFormat="1" ht="22.6" customHeight="1">
      <c r="A108" s="298">
        <v>685</v>
      </c>
      <c r="B108" s="301">
        <f t="shared" si="31"/>
        <v>0</v>
      </c>
      <c r="C108" s="262" t="s">
        <v>849</v>
      </c>
      <c r="D108" s="309">
        <f>D109</f>
        <v>421</v>
      </c>
      <c r="E108" s="313">
        <f t="shared" si="34"/>
        <v>0</v>
      </c>
      <c r="F108" s="309">
        <f>F109</f>
        <v>387</v>
      </c>
      <c r="G108" s="301">
        <f t="shared" si="33"/>
        <v>0</v>
      </c>
      <c r="H108" s="319">
        <f t="shared" si="27"/>
        <v>34</v>
      </c>
      <c r="I108" s="320">
        <f t="shared" si="28"/>
        <v>8.7899999999999991</v>
      </c>
      <c r="K108" s="216">
        <f t="shared" si="29"/>
        <v>1E-4</v>
      </c>
      <c r="L108" s="216">
        <f t="shared" si="30"/>
        <v>6.9999999999999994E-5</v>
      </c>
      <c r="M108" s="216">
        <f t="shared" si="9"/>
        <v>6.9999999999999994E-5</v>
      </c>
    </row>
    <row r="109" spans="1:16" s="922" customFormat="1" ht="22.6" customHeight="1">
      <c r="A109" s="300">
        <v>685</v>
      </c>
      <c r="B109" s="301">
        <f t="shared" si="31"/>
        <v>0</v>
      </c>
      <c r="C109" s="263" t="s">
        <v>850</v>
      </c>
      <c r="D109" s="312">
        <f>SUM(D110:D114)</f>
        <v>421</v>
      </c>
      <c r="E109" s="313">
        <f t="shared" si="34"/>
        <v>0</v>
      </c>
      <c r="F109" s="312">
        <f>SUM(F110:F114)</f>
        <v>387</v>
      </c>
      <c r="G109" s="301">
        <f t="shared" si="33"/>
        <v>0</v>
      </c>
      <c r="H109" s="315">
        <f>D109-F109</f>
        <v>34</v>
      </c>
      <c r="I109" s="316">
        <f t="shared" si="28"/>
        <v>8.7899999999999991</v>
      </c>
      <c r="K109" s="217">
        <f t="shared" si="29"/>
        <v>1E-4</v>
      </c>
      <c r="L109" s="217">
        <f t="shared" si="30"/>
        <v>6.9999999999999994E-5</v>
      </c>
      <c r="M109" s="217">
        <f t="shared" si="9"/>
        <v>6.9999999999999994E-5</v>
      </c>
    </row>
    <row r="110" spans="1:16" s="922" customFormat="1" ht="22.6" customHeight="1">
      <c r="A110" s="300">
        <v>599</v>
      </c>
      <c r="B110" s="301">
        <f t="shared" si="31"/>
        <v>0</v>
      </c>
      <c r="C110" s="263" t="s">
        <v>801</v>
      </c>
      <c r="D110" s="312">
        <v>326</v>
      </c>
      <c r="E110" s="313">
        <f t="shared" si="34"/>
        <v>0</v>
      </c>
      <c r="F110" s="312">
        <v>320</v>
      </c>
      <c r="G110" s="301">
        <f t="shared" si="33"/>
        <v>0</v>
      </c>
      <c r="H110" s="315">
        <f t="shared" si="27"/>
        <v>6</v>
      </c>
      <c r="I110" s="316">
        <f t="shared" si="28"/>
        <v>1.88</v>
      </c>
      <c r="K110" s="217">
        <f t="shared" si="29"/>
        <v>9.0000000000000006E-5</v>
      </c>
      <c r="L110" s="217">
        <f t="shared" si="30"/>
        <v>6.0000000000000002E-5</v>
      </c>
      <c r="M110" s="217">
        <f t="shared" si="9"/>
        <v>6.0000000000000002E-5</v>
      </c>
    </row>
    <row r="111" spans="1:16" s="922" customFormat="1" ht="22.6" customHeight="1">
      <c r="A111" s="300">
        <v>22</v>
      </c>
      <c r="B111" s="301">
        <f t="shared" si="31"/>
        <v>0</v>
      </c>
      <c r="C111" s="263" t="s">
        <v>804</v>
      </c>
      <c r="D111" s="312">
        <v>6</v>
      </c>
      <c r="E111" s="313">
        <f t="shared" si="34"/>
        <v>0</v>
      </c>
      <c r="F111" s="312">
        <v>21</v>
      </c>
      <c r="G111" s="301">
        <f t="shared" si="33"/>
        <v>0</v>
      </c>
      <c r="H111" s="315">
        <f t="shared" si="27"/>
        <v>-15</v>
      </c>
      <c r="I111" s="316">
        <f t="shared" si="28"/>
        <v>-71.430000000000007</v>
      </c>
      <c r="K111" s="217">
        <f t="shared" si="29"/>
        <v>0</v>
      </c>
      <c r="L111" s="217">
        <f t="shared" si="30"/>
        <v>0</v>
      </c>
      <c r="M111" s="217">
        <f t="shared" si="9"/>
        <v>0</v>
      </c>
    </row>
    <row r="112" spans="1:16" s="922" customFormat="1" ht="22.6" customHeight="1">
      <c r="A112" s="300">
        <v>57</v>
      </c>
      <c r="B112" s="301">
        <f t="shared" si="31"/>
        <v>0</v>
      </c>
      <c r="C112" s="263" t="s">
        <v>805</v>
      </c>
      <c r="D112" s="312">
        <v>73</v>
      </c>
      <c r="E112" s="313">
        <f t="shared" si="34"/>
        <v>0</v>
      </c>
      <c r="F112" s="312">
        <v>42</v>
      </c>
      <c r="G112" s="301">
        <f t="shared" si="33"/>
        <v>0</v>
      </c>
      <c r="H112" s="315">
        <f t="shared" si="27"/>
        <v>31</v>
      </c>
      <c r="I112" s="316">
        <f t="shared" si="28"/>
        <v>73.81</v>
      </c>
      <c r="K112" s="217">
        <f t="shared" si="29"/>
        <v>1.0000000000000001E-5</v>
      </c>
      <c r="L112" s="217">
        <f t="shared" si="30"/>
        <v>1.0000000000000001E-5</v>
      </c>
      <c r="M112" s="217">
        <f t="shared" si="9"/>
        <v>1.0000000000000001E-5</v>
      </c>
    </row>
    <row r="113" spans="1:13" s="922" customFormat="1" ht="22.6" customHeight="1">
      <c r="A113" s="300">
        <v>7</v>
      </c>
      <c r="B113" s="301">
        <f t="shared" si="31"/>
        <v>0</v>
      </c>
      <c r="C113" s="263" t="s">
        <v>695</v>
      </c>
      <c r="D113" s="312">
        <v>3</v>
      </c>
      <c r="E113" s="313">
        <f t="shared" si="34"/>
        <v>0</v>
      </c>
      <c r="F113" s="312">
        <v>4</v>
      </c>
      <c r="G113" s="301">
        <f t="shared" si="33"/>
        <v>0</v>
      </c>
      <c r="H113" s="315">
        <f t="shared" si="27"/>
        <v>-1</v>
      </c>
      <c r="I113" s="316">
        <f>ROUND(H113/F113*100,2)</f>
        <v>-25</v>
      </c>
      <c r="K113" s="217">
        <f t="shared" si="29"/>
        <v>0</v>
      </c>
      <c r="L113" s="217">
        <f t="shared" si="30"/>
        <v>0</v>
      </c>
      <c r="M113" s="217">
        <f t="shared" si="9"/>
        <v>0</v>
      </c>
    </row>
    <row r="114" spans="1:13" s="968" customFormat="1" ht="22.6" customHeight="1">
      <c r="A114" s="300">
        <v>0</v>
      </c>
      <c r="B114" s="301">
        <f t="shared" ref="B114" si="39">ROUND(A114/$A$8*100,2)</f>
        <v>0</v>
      </c>
      <c r="C114" s="263" t="s">
        <v>999</v>
      </c>
      <c r="D114" s="312">
        <v>13</v>
      </c>
      <c r="E114" s="313">
        <f>ROUND(D114/$D$8*100,2)</f>
        <v>0</v>
      </c>
      <c r="F114" s="312">
        <v>0</v>
      </c>
      <c r="G114" s="301">
        <f t="shared" si="33"/>
        <v>0</v>
      </c>
      <c r="H114" s="312">
        <f>D114-F114</f>
        <v>13</v>
      </c>
      <c r="I114" s="314">
        <v>0</v>
      </c>
      <c r="K114" s="217"/>
      <c r="L114" s="217">
        <f t="shared" si="30"/>
        <v>0</v>
      </c>
      <c r="M114" s="217"/>
    </row>
    <row r="115" spans="1:13" s="30" customFormat="1" ht="22.6" customHeight="1">
      <c r="A115" s="298">
        <v>331909</v>
      </c>
      <c r="B115" s="299">
        <f t="shared" si="31"/>
        <v>0.05</v>
      </c>
      <c r="C115" s="262" t="s">
        <v>851</v>
      </c>
      <c r="D115" s="309">
        <f>D116+D122+D129</f>
        <v>256627</v>
      </c>
      <c r="E115" s="310">
        <f t="shared" si="34"/>
        <v>0.05</v>
      </c>
      <c r="F115" s="309">
        <f>F116+F122+F129</f>
        <v>233244</v>
      </c>
      <c r="G115" s="299">
        <f t="shared" si="33"/>
        <v>0.04</v>
      </c>
      <c r="H115" s="319">
        <f t="shared" si="27"/>
        <v>23383</v>
      </c>
      <c r="I115" s="320">
        <f t="shared" si="28"/>
        <v>10.029999999999999</v>
      </c>
      <c r="K115" s="216">
        <f t="shared" si="29"/>
        <v>4.7800000000000002E-2</v>
      </c>
      <c r="L115" s="216">
        <f t="shared" si="30"/>
        <v>4.5019999999999998E-2</v>
      </c>
      <c r="M115" s="216">
        <f t="shared" si="9"/>
        <v>4.3700000000000003E-2</v>
      </c>
    </row>
    <row r="116" spans="1:13" s="922" customFormat="1" ht="22.6" customHeight="1">
      <c r="A116" s="300">
        <v>2928</v>
      </c>
      <c r="B116" s="301">
        <f t="shared" si="31"/>
        <v>0</v>
      </c>
      <c r="C116" s="263" t="s">
        <v>852</v>
      </c>
      <c r="D116" s="312">
        <f>SUM(D117:D121)</f>
        <v>3250</v>
      </c>
      <c r="E116" s="313">
        <f t="shared" si="34"/>
        <v>0</v>
      </c>
      <c r="F116" s="312">
        <f>SUM(F117:F121)</f>
        <v>4450</v>
      </c>
      <c r="G116" s="301">
        <f t="shared" si="33"/>
        <v>0</v>
      </c>
      <c r="H116" s="315">
        <f t="shared" si="27"/>
        <v>-1200</v>
      </c>
      <c r="I116" s="316">
        <f>ROUND(H116/F116*100,2)</f>
        <v>-26.97</v>
      </c>
      <c r="K116" s="217">
        <f t="shared" si="29"/>
        <v>4.2000000000000002E-4</v>
      </c>
      <c r="L116" s="217">
        <f t="shared" si="30"/>
        <v>5.6999999999999998E-4</v>
      </c>
      <c r="M116" s="217">
        <f t="shared" si="9"/>
        <v>8.3000000000000001E-4</v>
      </c>
    </row>
    <row r="117" spans="1:13" s="922" customFormat="1" ht="22.6" customHeight="1">
      <c r="A117" s="300">
        <v>474</v>
      </c>
      <c r="B117" s="355">
        <f t="shared" si="31"/>
        <v>0</v>
      </c>
      <c r="C117" s="263" t="s">
        <v>801</v>
      </c>
      <c r="D117" s="312">
        <v>700</v>
      </c>
      <c r="E117" s="313">
        <f t="shared" si="34"/>
        <v>0</v>
      </c>
      <c r="F117" s="312">
        <v>700</v>
      </c>
      <c r="G117" s="301">
        <f t="shared" si="33"/>
        <v>0</v>
      </c>
      <c r="H117" s="312">
        <f t="shared" si="27"/>
        <v>0</v>
      </c>
      <c r="I117" s="314">
        <v>0</v>
      </c>
      <c r="K117" s="217">
        <f t="shared" si="29"/>
        <v>6.9999999999999994E-5</v>
      </c>
      <c r="L117" s="217">
        <f t="shared" si="30"/>
        <v>1.2E-4</v>
      </c>
      <c r="M117" s="217">
        <f t="shared" si="9"/>
        <v>1.2999999999999999E-4</v>
      </c>
    </row>
    <row r="118" spans="1:13" s="922" customFormat="1" ht="22.6" hidden="1" customHeight="1">
      <c r="A118" s="300">
        <v>0</v>
      </c>
      <c r="B118" s="355">
        <f t="shared" si="31"/>
        <v>0</v>
      </c>
      <c r="C118" s="263" t="s">
        <v>805</v>
      </c>
      <c r="D118" s="312">
        <v>0</v>
      </c>
      <c r="E118" s="313">
        <f t="shared" si="34"/>
        <v>0</v>
      </c>
      <c r="F118" s="312">
        <v>0</v>
      </c>
      <c r="G118" s="301">
        <f t="shared" si="33"/>
        <v>0</v>
      </c>
      <c r="H118" s="312">
        <f t="shared" si="27"/>
        <v>0</v>
      </c>
      <c r="I118" s="314">
        <v>0</v>
      </c>
      <c r="K118" s="217">
        <f t="shared" si="29"/>
        <v>0</v>
      </c>
      <c r="L118" s="217">
        <f t="shared" si="30"/>
        <v>0</v>
      </c>
      <c r="M118" s="217">
        <f t="shared" si="9"/>
        <v>0</v>
      </c>
    </row>
    <row r="119" spans="1:13" s="922" customFormat="1" ht="22.6" customHeight="1">
      <c r="A119" s="300">
        <v>233</v>
      </c>
      <c r="B119" s="355">
        <f t="shared" si="31"/>
        <v>0</v>
      </c>
      <c r="C119" s="738" t="s">
        <v>853</v>
      </c>
      <c r="D119" s="312">
        <v>0</v>
      </c>
      <c r="E119" s="313">
        <f t="shared" si="34"/>
        <v>0</v>
      </c>
      <c r="F119" s="312">
        <v>0</v>
      </c>
      <c r="G119" s="301">
        <f t="shared" si="33"/>
        <v>0</v>
      </c>
      <c r="H119" s="312">
        <f t="shared" si="27"/>
        <v>0</v>
      </c>
      <c r="I119" s="314">
        <v>0</v>
      </c>
      <c r="K119" s="217">
        <f t="shared" si="29"/>
        <v>3.0000000000000001E-5</v>
      </c>
      <c r="L119" s="217">
        <f t="shared" si="30"/>
        <v>0</v>
      </c>
      <c r="M119" s="217">
        <f t="shared" si="9"/>
        <v>0</v>
      </c>
    </row>
    <row r="120" spans="1:13" s="736" customFormat="1" ht="22.6" customHeight="1">
      <c r="A120" s="300">
        <v>2220</v>
      </c>
      <c r="B120" s="735">
        <f t="shared" si="31"/>
        <v>0</v>
      </c>
      <c r="C120" s="738" t="s">
        <v>842</v>
      </c>
      <c r="D120" s="312">
        <v>780</v>
      </c>
      <c r="E120" s="916">
        <f t="shared" si="34"/>
        <v>0</v>
      </c>
      <c r="F120" s="312">
        <v>3750</v>
      </c>
      <c r="G120" s="917">
        <f t="shared" si="33"/>
        <v>0</v>
      </c>
      <c r="H120" s="315">
        <f t="shared" si="27"/>
        <v>-2970</v>
      </c>
      <c r="I120" s="316">
        <f t="shared" si="28"/>
        <v>-79.2</v>
      </c>
      <c r="K120" s="737">
        <f t="shared" si="29"/>
        <v>3.2000000000000003E-4</v>
      </c>
      <c r="L120" s="737">
        <f t="shared" si="30"/>
        <v>1.3999999999999999E-4</v>
      </c>
      <c r="M120" s="737">
        <f t="shared" si="9"/>
        <v>6.9999999999999999E-4</v>
      </c>
    </row>
    <row r="121" spans="1:13" s="736" customFormat="1" ht="22.6" customHeight="1" thickBot="1">
      <c r="A121" s="302">
        <v>0</v>
      </c>
      <c r="B121" s="303">
        <f t="shared" si="31"/>
        <v>0</v>
      </c>
      <c r="C121" s="268" t="s">
        <v>999</v>
      </c>
      <c r="D121" s="317">
        <v>1770</v>
      </c>
      <c r="E121" s="318">
        <f>ROUND(D121/$D$8*100,2)</f>
        <v>0</v>
      </c>
      <c r="F121" s="317">
        <v>0</v>
      </c>
      <c r="G121" s="303">
        <f t="shared" ref="G121" si="40">ROUND(F121/$F$8*100,2)</f>
        <v>0</v>
      </c>
      <c r="H121" s="317">
        <f>D121-F121</f>
        <v>1770</v>
      </c>
      <c r="I121" s="981">
        <v>0</v>
      </c>
      <c r="K121" s="737"/>
      <c r="L121" s="737">
        <f t="shared" si="30"/>
        <v>3.1E-4</v>
      </c>
      <c r="M121" s="737"/>
    </row>
    <row r="122" spans="1:13" s="922" customFormat="1" ht="22.6" customHeight="1">
      <c r="A122" s="300">
        <v>301320</v>
      </c>
      <c r="B122" s="301">
        <f t="shared" si="31"/>
        <v>0.04</v>
      </c>
      <c r="C122" s="263" t="s">
        <v>854</v>
      </c>
      <c r="D122" s="312">
        <f>SUM(D123:D128)</f>
        <v>244616</v>
      </c>
      <c r="E122" s="313">
        <f t="shared" si="34"/>
        <v>0.04</v>
      </c>
      <c r="F122" s="312">
        <f>SUM(F123:F128)</f>
        <v>223634</v>
      </c>
      <c r="G122" s="301">
        <f t="shared" si="33"/>
        <v>0.04</v>
      </c>
      <c r="H122" s="315">
        <f t="shared" si="27"/>
        <v>20982</v>
      </c>
      <c r="I122" s="316">
        <f t="shared" si="28"/>
        <v>9.3800000000000008</v>
      </c>
      <c r="K122" s="217">
        <f t="shared" si="29"/>
        <v>4.3389999999999998E-2</v>
      </c>
      <c r="L122" s="217">
        <f t="shared" si="30"/>
        <v>4.292E-2</v>
      </c>
      <c r="M122" s="217">
        <f t="shared" si="9"/>
        <v>4.19E-2</v>
      </c>
    </row>
    <row r="123" spans="1:13" s="922" customFormat="1" ht="22.6" customHeight="1">
      <c r="A123" s="300">
        <v>284516</v>
      </c>
      <c r="B123" s="301">
        <f t="shared" si="31"/>
        <v>0.04</v>
      </c>
      <c r="C123" s="263" t="s">
        <v>839</v>
      </c>
      <c r="D123" s="312">
        <v>220419</v>
      </c>
      <c r="E123" s="313">
        <f t="shared" si="34"/>
        <v>0.04</v>
      </c>
      <c r="F123" s="312">
        <v>210435</v>
      </c>
      <c r="G123" s="301">
        <f t="shared" si="33"/>
        <v>0.04</v>
      </c>
      <c r="H123" s="315">
        <f t="shared" si="27"/>
        <v>9984</v>
      </c>
      <c r="I123" s="314">
        <f t="shared" si="28"/>
        <v>4.74</v>
      </c>
      <c r="K123" s="217">
        <f t="shared" si="29"/>
        <v>4.0969999999999999E-2</v>
      </c>
      <c r="L123" s="217">
        <f t="shared" si="30"/>
        <v>3.8670000000000003E-2</v>
      </c>
      <c r="M123" s="217">
        <f t="shared" si="9"/>
        <v>3.943E-2</v>
      </c>
    </row>
    <row r="124" spans="1:13" s="922" customFormat="1" ht="22.6" customHeight="1">
      <c r="A124" s="300">
        <v>89</v>
      </c>
      <c r="B124" s="301">
        <f t="shared" si="31"/>
        <v>0</v>
      </c>
      <c r="C124" s="263" t="s">
        <v>840</v>
      </c>
      <c r="D124" s="312">
        <v>3025</v>
      </c>
      <c r="E124" s="313">
        <f t="shared" si="34"/>
        <v>0</v>
      </c>
      <c r="F124" s="312">
        <v>70</v>
      </c>
      <c r="G124" s="301">
        <f t="shared" si="33"/>
        <v>0</v>
      </c>
      <c r="H124" s="315">
        <f t="shared" si="27"/>
        <v>2955</v>
      </c>
      <c r="I124" s="316">
        <f t="shared" si="28"/>
        <v>4221.43</v>
      </c>
      <c r="K124" s="217">
        <f t="shared" si="29"/>
        <v>1.0000000000000001E-5</v>
      </c>
      <c r="L124" s="217">
        <f t="shared" si="30"/>
        <v>5.2999999999999998E-4</v>
      </c>
      <c r="M124" s="217">
        <f t="shared" si="9"/>
        <v>1.0000000000000001E-5</v>
      </c>
    </row>
    <row r="125" spans="1:13" s="922" customFormat="1" ht="22.6" customHeight="1">
      <c r="A125" s="300">
        <v>9874</v>
      </c>
      <c r="B125" s="301">
        <f t="shared" si="31"/>
        <v>0</v>
      </c>
      <c r="C125" s="263" t="s">
        <v>841</v>
      </c>
      <c r="D125" s="312">
        <v>8060</v>
      </c>
      <c r="E125" s="313">
        <f t="shared" si="34"/>
        <v>0</v>
      </c>
      <c r="F125" s="312">
        <v>7845</v>
      </c>
      <c r="G125" s="301">
        <f t="shared" si="33"/>
        <v>0</v>
      </c>
      <c r="H125" s="315">
        <f t="shared" si="27"/>
        <v>215</v>
      </c>
      <c r="I125" s="316">
        <f t="shared" si="28"/>
        <v>2.74</v>
      </c>
      <c r="K125" s="217">
        <f t="shared" si="29"/>
        <v>1.42E-3</v>
      </c>
      <c r="L125" s="217">
        <f t="shared" si="30"/>
        <v>1.41E-3</v>
      </c>
      <c r="M125" s="217">
        <f t="shared" si="9"/>
        <v>1.47E-3</v>
      </c>
    </row>
    <row r="126" spans="1:13" s="922" customFormat="1" ht="22.6" customHeight="1">
      <c r="A126" s="300">
        <v>6828</v>
      </c>
      <c r="B126" s="301">
        <f t="shared" si="31"/>
        <v>0</v>
      </c>
      <c r="C126" s="263" t="s">
        <v>695</v>
      </c>
      <c r="D126" s="312">
        <v>6062</v>
      </c>
      <c r="E126" s="313">
        <f t="shared" si="34"/>
        <v>0</v>
      </c>
      <c r="F126" s="312">
        <v>5284</v>
      </c>
      <c r="G126" s="301">
        <f t="shared" si="33"/>
        <v>0</v>
      </c>
      <c r="H126" s="315">
        <f t="shared" si="27"/>
        <v>778</v>
      </c>
      <c r="I126" s="316">
        <f t="shared" si="28"/>
        <v>14.72</v>
      </c>
      <c r="K126" s="217">
        <f t="shared" si="29"/>
        <v>9.7999999999999997E-4</v>
      </c>
      <c r="L126" s="217">
        <f t="shared" si="30"/>
        <v>1.06E-3</v>
      </c>
      <c r="M126" s="217">
        <f t="shared" si="9"/>
        <v>9.8999999999999999E-4</v>
      </c>
    </row>
    <row r="127" spans="1:13" s="922" customFormat="1" ht="22.6" customHeight="1">
      <c r="A127" s="300">
        <v>12</v>
      </c>
      <c r="B127" s="355">
        <f t="shared" si="31"/>
        <v>0</v>
      </c>
      <c r="C127" s="738" t="s">
        <v>855</v>
      </c>
      <c r="D127" s="312">
        <v>0</v>
      </c>
      <c r="E127" s="313">
        <f t="shared" si="34"/>
        <v>0</v>
      </c>
      <c r="F127" s="312">
        <v>0</v>
      </c>
      <c r="G127" s="301">
        <f t="shared" si="33"/>
        <v>0</v>
      </c>
      <c r="H127" s="312">
        <f t="shared" si="27"/>
        <v>0</v>
      </c>
      <c r="I127" s="314">
        <v>0</v>
      </c>
      <c r="K127" s="217">
        <f t="shared" si="29"/>
        <v>0</v>
      </c>
      <c r="L127" s="217">
        <f t="shared" si="30"/>
        <v>0</v>
      </c>
      <c r="M127" s="217">
        <f t="shared" si="9"/>
        <v>0</v>
      </c>
    </row>
    <row r="128" spans="1:13" s="968" customFormat="1" ht="22.6" customHeight="1">
      <c r="A128" s="300">
        <v>0</v>
      </c>
      <c r="B128" s="301">
        <f t="shared" ref="B128" si="41">ROUND(A128/$A$8*100,2)</f>
        <v>0</v>
      </c>
      <c r="C128" s="263" t="s">
        <v>999</v>
      </c>
      <c r="D128" s="312">
        <v>7050</v>
      </c>
      <c r="E128" s="313">
        <f>ROUND(D128/$D$8*100,2)</f>
        <v>0</v>
      </c>
      <c r="F128" s="312">
        <v>0</v>
      </c>
      <c r="G128" s="301">
        <f t="shared" si="33"/>
        <v>0</v>
      </c>
      <c r="H128" s="312">
        <f>D128-F128</f>
        <v>7050</v>
      </c>
      <c r="I128" s="314">
        <v>0</v>
      </c>
      <c r="K128" s="217"/>
      <c r="L128" s="217">
        <f t="shared" si="30"/>
        <v>1.24E-3</v>
      </c>
      <c r="M128" s="217"/>
    </row>
    <row r="129" spans="1:13" s="922" customFormat="1" ht="22.6" customHeight="1">
      <c r="A129" s="300">
        <v>27661</v>
      </c>
      <c r="B129" s="301">
        <f t="shared" si="31"/>
        <v>0</v>
      </c>
      <c r="C129" s="263" t="s">
        <v>856</v>
      </c>
      <c r="D129" s="312">
        <f>SUM(D130:D136)</f>
        <v>8761</v>
      </c>
      <c r="E129" s="313">
        <f t="shared" si="34"/>
        <v>0</v>
      </c>
      <c r="F129" s="312">
        <f>SUM(F130:F136)</f>
        <v>5160</v>
      </c>
      <c r="G129" s="301">
        <f t="shared" si="33"/>
        <v>0</v>
      </c>
      <c r="H129" s="315">
        <f t="shared" si="27"/>
        <v>3601</v>
      </c>
      <c r="I129" s="316">
        <f t="shared" si="28"/>
        <v>69.790000000000006</v>
      </c>
      <c r="K129" s="217">
        <f t="shared" si="29"/>
        <v>3.98E-3</v>
      </c>
      <c r="L129" s="217">
        <f t="shared" si="30"/>
        <v>1.5399999999999999E-3</v>
      </c>
      <c r="M129" s="217">
        <f t="shared" si="9"/>
        <v>9.7000000000000005E-4</v>
      </c>
    </row>
    <row r="130" spans="1:13" s="922" customFormat="1" ht="22.6" customHeight="1">
      <c r="A130" s="300">
        <v>25568</v>
      </c>
      <c r="B130" s="301">
        <f t="shared" si="31"/>
        <v>0</v>
      </c>
      <c r="C130" s="263" t="s">
        <v>839</v>
      </c>
      <c r="D130" s="312">
        <v>8378</v>
      </c>
      <c r="E130" s="313">
        <f t="shared" si="34"/>
        <v>0</v>
      </c>
      <c r="F130" s="312">
        <v>4936</v>
      </c>
      <c r="G130" s="301">
        <f t="shared" si="33"/>
        <v>0</v>
      </c>
      <c r="H130" s="315">
        <f t="shared" si="27"/>
        <v>3442</v>
      </c>
      <c r="I130" s="316">
        <f t="shared" si="28"/>
        <v>69.73</v>
      </c>
      <c r="K130" s="217">
        <f t="shared" si="29"/>
        <v>3.6800000000000001E-3</v>
      </c>
      <c r="L130" s="217">
        <f t="shared" si="30"/>
        <v>1.47E-3</v>
      </c>
      <c r="M130" s="217">
        <f t="shared" si="9"/>
        <v>9.2000000000000003E-4</v>
      </c>
    </row>
    <row r="131" spans="1:13" s="922" customFormat="1" ht="22.6" customHeight="1">
      <c r="A131" s="300">
        <v>87</v>
      </c>
      <c r="B131" s="301">
        <f t="shared" si="31"/>
        <v>0</v>
      </c>
      <c r="C131" s="263" t="s">
        <v>840</v>
      </c>
      <c r="D131" s="312">
        <v>1</v>
      </c>
      <c r="E131" s="313">
        <f t="shared" si="34"/>
        <v>0</v>
      </c>
      <c r="F131" s="312">
        <v>13</v>
      </c>
      <c r="G131" s="301">
        <f t="shared" si="33"/>
        <v>0</v>
      </c>
      <c r="H131" s="315">
        <f t="shared" si="27"/>
        <v>-12</v>
      </c>
      <c r="I131" s="316">
        <f t="shared" si="28"/>
        <v>-92.31</v>
      </c>
      <c r="K131" s="217">
        <f t="shared" si="29"/>
        <v>1.0000000000000001E-5</v>
      </c>
      <c r="L131" s="217">
        <f t="shared" si="30"/>
        <v>0</v>
      </c>
      <c r="M131" s="217">
        <f t="shared" si="9"/>
        <v>0</v>
      </c>
    </row>
    <row r="132" spans="1:13" s="922" customFormat="1" ht="20.45" customHeight="1">
      <c r="A132" s="300">
        <v>277</v>
      </c>
      <c r="B132" s="301">
        <f t="shared" si="31"/>
        <v>0</v>
      </c>
      <c r="C132" s="263" t="s">
        <v>841</v>
      </c>
      <c r="D132" s="312">
        <v>379</v>
      </c>
      <c r="E132" s="313">
        <f t="shared" si="34"/>
        <v>0</v>
      </c>
      <c r="F132" s="312">
        <v>211</v>
      </c>
      <c r="G132" s="301">
        <f t="shared" si="33"/>
        <v>0</v>
      </c>
      <c r="H132" s="315">
        <f t="shared" si="27"/>
        <v>168</v>
      </c>
      <c r="I132" s="316">
        <f t="shared" si="28"/>
        <v>79.62</v>
      </c>
      <c r="K132" s="217">
        <f t="shared" si="29"/>
        <v>4.0000000000000003E-5</v>
      </c>
      <c r="L132" s="217">
        <f t="shared" si="30"/>
        <v>6.9999999999999994E-5</v>
      </c>
      <c r="M132" s="217">
        <f t="shared" si="9"/>
        <v>4.0000000000000003E-5</v>
      </c>
    </row>
    <row r="133" spans="1:13" s="922" customFormat="1" ht="2" hidden="1" customHeight="1">
      <c r="A133" s="300">
        <v>0</v>
      </c>
      <c r="B133" s="301">
        <f>ROUND(A133/$A$8*100,2)</f>
        <v>0</v>
      </c>
      <c r="C133" s="263" t="s">
        <v>857</v>
      </c>
      <c r="D133" s="312">
        <v>0</v>
      </c>
      <c r="E133" s="313">
        <f>ROUND(D133/$D$8*100,2)</f>
        <v>0</v>
      </c>
      <c r="F133" s="312">
        <v>0</v>
      </c>
      <c r="G133" s="301">
        <f>ROUND(F133/$F$8*100,2)</f>
        <v>0</v>
      </c>
      <c r="H133" s="554">
        <f>D133-F133</f>
        <v>0</v>
      </c>
      <c r="I133" s="555">
        <v>0</v>
      </c>
      <c r="K133" s="217">
        <f>ROUND(A133/$A$8*100,5)</f>
        <v>0</v>
      </c>
      <c r="L133" s="217">
        <f>ROUND(D133/$D$8*100,5)</f>
        <v>0</v>
      </c>
      <c r="M133" s="217">
        <f>ROUND(F133/$F$8*100,5)</f>
        <v>0</v>
      </c>
    </row>
    <row r="134" spans="1:13" s="922" customFormat="1" ht="22.95" customHeight="1">
      <c r="A134" s="300">
        <v>1101</v>
      </c>
      <c r="B134" s="301">
        <f t="shared" si="31"/>
        <v>0</v>
      </c>
      <c r="C134" s="738" t="s">
        <v>858</v>
      </c>
      <c r="D134" s="312">
        <v>0</v>
      </c>
      <c r="E134" s="313">
        <f t="shared" si="34"/>
        <v>0</v>
      </c>
      <c r="F134" s="312">
        <v>0</v>
      </c>
      <c r="G134" s="301">
        <f t="shared" si="33"/>
        <v>0</v>
      </c>
      <c r="H134" s="312">
        <f t="shared" si="27"/>
        <v>0</v>
      </c>
      <c r="I134" s="314">
        <v>0</v>
      </c>
      <c r="K134" s="217">
        <f t="shared" si="29"/>
        <v>1.6000000000000001E-4</v>
      </c>
      <c r="L134" s="217">
        <f t="shared" si="30"/>
        <v>0</v>
      </c>
      <c r="M134" s="217">
        <f t="shared" si="9"/>
        <v>0</v>
      </c>
    </row>
    <row r="135" spans="1:13" s="922" customFormat="1" ht="22.25" customHeight="1">
      <c r="A135" s="300">
        <v>628</v>
      </c>
      <c r="B135" s="301">
        <f t="shared" si="31"/>
        <v>0</v>
      </c>
      <c r="C135" s="738" t="s">
        <v>855</v>
      </c>
      <c r="D135" s="312">
        <v>0</v>
      </c>
      <c r="E135" s="313">
        <f t="shared" si="34"/>
        <v>0</v>
      </c>
      <c r="F135" s="312">
        <v>0</v>
      </c>
      <c r="G135" s="301">
        <f t="shared" si="33"/>
        <v>0</v>
      </c>
      <c r="H135" s="312">
        <f t="shared" si="27"/>
        <v>0</v>
      </c>
      <c r="I135" s="314">
        <v>0</v>
      </c>
      <c r="K135" s="217">
        <f t="shared" si="29"/>
        <v>9.0000000000000006E-5</v>
      </c>
      <c r="L135" s="217">
        <f t="shared" si="30"/>
        <v>0</v>
      </c>
      <c r="M135" s="217">
        <f t="shared" si="9"/>
        <v>0</v>
      </c>
    </row>
    <row r="136" spans="1:13" s="968" customFormat="1" ht="22.25" customHeight="1">
      <c r="A136" s="300">
        <v>0</v>
      </c>
      <c r="B136" s="301">
        <f t="shared" si="31"/>
        <v>0</v>
      </c>
      <c r="C136" s="263" t="s">
        <v>999</v>
      </c>
      <c r="D136" s="312">
        <v>3</v>
      </c>
      <c r="E136" s="313">
        <f>ROUND(D136/$D$8*100,2)</f>
        <v>0</v>
      </c>
      <c r="F136" s="312">
        <v>0</v>
      </c>
      <c r="G136" s="301">
        <f t="shared" ref="G136" si="42">ROUND(F136/$F$8*100,2)</f>
        <v>0</v>
      </c>
      <c r="H136" s="312">
        <f>D136-F136</f>
        <v>3</v>
      </c>
      <c r="I136" s="314">
        <v>0</v>
      </c>
      <c r="K136" s="217"/>
      <c r="L136" s="217">
        <f t="shared" si="30"/>
        <v>0</v>
      </c>
      <c r="M136" s="217"/>
    </row>
    <row r="137" spans="1:13" s="30" customFormat="1" ht="23.4" customHeight="1">
      <c r="A137" s="307">
        <v>140</v>
      </c>
      <c r="B137" s="299">
        <f t="shared" si="31"/>
        <v>0</v>
      </c>
      <c r="C137" s="262" t="s">
        <v>859</v>
      </c>
      <c r="D137" s="323">
        <f t="shared" ref="D137:F138" si="43">D138</f>
        <v>73</v>
      </c>
      <c r="E137" s="313">
        <f t="shared" si="34"/>
        <v>0</v>
      </c>
      <c r="F137" s="323">
        <f t="shared" si="43"/>
        <v>37</v>
      </c>
      <c r="G137" s="301">
        <f t="shared" si="33"/>
        <v>0</v>
      </c>
      <c r="H137" s="319">
        <f t="shared" si="27"/>
        <v>36</v>
      </c>
      <c r="I137" s="320">
        <f t="shared" si="28"/>
        <v>97.3</v>
      </c>
      <c r="K137" s="216">
        <f t="shared" si="29"/>
        <v>2.0000000000000002E-5</v>
      </c>
      <c r="L137" s="216">
        <f t="shared" si="30"/>
        <v>1.0000000000000001E-5</v>
      </c>
      <c r="M137" s="216">
        <f t="shared" si="9"/>
        <v>1.0000000000000001E-5</v>
      </c>
    </row>
    <row r="138" spans="1:13" s="30" customFormat="1" ht="22.95" customHeight="1">
      <c r="A138" s="298">
        <v>140</v>
      </c>
      <c r="B138" s="299">
        <f t="shared" si="31"/>
        <v>0</v>
      </c>
      <c r="C138" s="262" t="s">
        <v>860</v>
      </c>
      <c r="D138" s="309">
        <f t="shared" si="43"/>
        <v>73</v>
      </c>
      <c r="E138" s="313">
        <f t="shared" si="34"/>
        <v>0</v>
      </c>
      <c r="F138" s="309">
        <f t="shared" si="43"/>
        <v>37</v>
      </c>
      <c r="G138" s="301">
        <f t="shared" si="33"/>
        <v>0</v>
      </c>
      <c r="H138" s="319">
        <f t="shared" si="27"/>
        <v>36</v>
      </c>
      <c r="I138" s="320">
        <f t="shared" si="28"/>
        <v>97.3</v>
      </c>
      <c r="K138" s="216">
        <f t="shared" si="29"/>
        <v>2.0000000000000002E-5</v>
      </c>
      <c r="L138" s="216">
        <f t="shared" si="30"/>
        <v>1.0000000000000001E-5</v>
      </c>
      <c r="M138" s="216">
        <f t="shared" si="9"/>
        <v>1.0000000000000001E-5</v>
      </c>
    </row>
    <row r="139" spans="1:13" s="922" customFormat="1" ht="26.35" customHeight="1">
      <c r="A139" s="300">
        <v>140</v>
      </c>
      <c r="B139" s="301">
        <f t="shared" si="31"/>
        <v>0</v>
      </c>
      <c r="C139" s="263" t="s">
        <v>861</v>
      </c>
      <c r="D139" s="312">
        <f>SUM(D140:D143)</f>
        <v>73</v>
      </c>
      <c r="E139" s="313">
        <f t="shared" si="34"/>
        <v>0</v>
      </c>
      <c r="F139" s="312">
        <f>SUM(F140:F143)</f>
        <v>37</v>
      </c>
      <c r="G139" s="301">
        <f t="shared" si="33"/>
        <v>0</v>
      </c>
      <c r="H139" s="315">
        <f t="shared" si="27"/>
        <v>36</v>
      </c>
      <c r="I139" s="316">
        <f t="shared" si="28"/>
        <v>97.3</v>
      </c>
      <c r="K139" s="217">
        <f t="shared" si="29"/>
        <v>2.0000000000000002E-5</v>
      </c>
      <c r="L139" s="217">
        <f t="shared" si="30"/>
        <v>1.0000000000000001E-5</v>
      </c>
      <c r="M139" s="217">
        <f t="shared" si="9"/>
        <v>1.0000000000000001E-5</v>
      </c>
    </row>
    <row r="140" spans="1:13" s="922" customFormat="1" ht="26.35" customHeight="1">
      <c r="A140" s="300">
        <v>125</v>
      </c>
      <c r="B140" s="301">
        <f t="shared" si="31"/>
        <v>0</v>
      </c>
      <c r="C140" s="263" t="s">
        <v>801</v>
      </c>
      <c r="D140" s="312">
        <v>62</v>
      </c>
      <c r="E140" s="313">
        <f t="shared" si="34"/>
        <v>0</v>
      </c>
      <c r="F140" s="312">
        <v>14</v>
      </c>
      <c r="G140" s="301">
        <f t="shared" si="33"/>
        <v>0</v>
      </c>
      <c r="H140" s="315">
        <f t="shared" si="27"/>
        <v>48</v>
      </c>
      <c r="I140" s="316">
        <f t="shared" si="28"/>
        <v>342.86</v>
      </c>
      <c r="K140" s="217">
        <f t="shared" si="29"/>
        <v>2.0000000000000002E-5</v>
      </c>
      <c r="L140" s="217">
        <f t="shared" si="30"/>
        <v>1.0000000000000001E-5</v>
      </c>
      <c r="M140" s="217">
        <f t="shared" si="9"/>
        <v>0</v>
      </c>
    </row>
    <row r="141" spans="1:13" s="922" customFormat="1" ht="26.35" customHeight="1">
      <c r="A141" s="300">
        <v>0</v>
      </c>
      <c r="B141" s="301">
        <f t="shared" si="31"/>
        <v>0</v>
      </c>
      <c r="C141" s="263" t="s">
        <v>804</v>
      </c>
      <c r="D141" s="312">
        <v>0</v>
      </c>
      <c r="E141" s="313">
        <f t="shared" si="34"/>
        <v>0</v>
      </c>
      <c r="F141" s="312">
        <v>12</v>
      </c>
      <c r="G141" s="301">
        <f t="shared" si="33"/>
        <v>0</v>
      </c>
      <c r="H141" s="315">
        <f t="shared" si="27"/>
        <v>-12</v>
      </c>
      <c r="I141" s="316">
        <f t="shared" si="28"/>
        <v>-100</v>
      </c>
      <c r="K141" s="217">
        <f t="shared" si="29"/>
        <v>0</v>
      </c>
      <c r="L141" s="217">
        <f t="shared" si="30"/>
        <v>0</v>
      </c>
      <c r="M141" s="217">
        <f t="shared" si="9"/>
        <v>0</v>
      </c>
    </row>
    <row r="142" spans="1:13" s="922" customFormat="1" ht="26.35" customHeight="1">
      <c r="A142" s="300">
        <v>15</v>
      </c>
      <c r="B142" s="301">
        <f t="shared" si="31"/>
        <v>0</v>
      </c>
      <c r="C142" s="263" t="s">
        <v>805</v>
      </c>
      <c r="D142" s="312">
        <v>11</v>
      </c>
      <c r="E142" s="313">
        <f t="shared" si="34"/>
        <v>0</v>
      </c>
      <c r="F142" s="312">
        <v>11</v>
      </c>
      <c r="G142" s="301">
        <f t="shared" si="33"/>
        <v>0</v>
      </c>
      <c r="H142" s="312">
        <f t="shared" si="27"/>
        <v>0</v>
      </c>
      <c r="I142" s="314">
        <v>0</v>
      </c>
      <c r="K142" s="217">
        <f t="shared" si="29"/>
        <v>0</v>
      </c>
      <c r="L142" s="217">
        <f t="shared" si="30"/>
        <v>0</v>
      </c>
      <c r="M142" s="217">
        <f t="shared" si="9"/>
        <v>0</v>
      </c>
    </row>
    <row r="143" spans="1:13" s="922" customFormat="1" ht="26.35" hidden="1" customHeight="1">
      <c r="A143" s="300">
        <v>0</v>
      </c>
      <c r="B143" s="301">
        <f t="shared" si="31"/>
        <v>0</v>
      </c>
      <c r="C143" s="738" t="s">
        <v>862</v>
      </c>
      <c r="D143" s="312">
        <v>0</v>
      </c>
      <c r="E143" s="313">
        <f t="shared" si="34"/>
        <v>0</v>
      </c>
      <c r="F143" s="312">
        <v>0</v>
      </c>
      <c r="G143" s="301">
        <f t="shared" si="33"/>
        <v>0</v>
      </c>
      <c r="H143" s="312">
        <f t="shared" si="27"/>
        <v>0</v>
      </c>
      <c r="I143" s="314">
        <v>0</v>
      </c>
      <c r="K143" s="217">
        <f t="shared" si="29"/>
        <v>0</v>
      </c>
      <c r="L143" s="217">
        <f t="shared" si="30"/>
        <v>0</v>
      </c>
      <c r="M143" s="217">
        <f t="shared" si="9"/>
        <v>0</v>
      </c>
    </row>
    <row r="144" spans="1:13" s="30" customFormat="1" ht="26.35" customHeight="1">
      <c r="A144" s="307">
        <v>332453</v>
      </c>
      <c r="B144" s="299">
        <f t="shared" si="31"/>
        <v>0.05</v>
      </c>
      <c r="C144" s="262" t="s">
        <v>863</v>
      </c>
      <c r="D144" s="323">
        <f>+D107-D137</f>
        <v>256975</v>
      </c>
      <c r="E144" s="310">
        <f t="shared" si="34"/>
        <v>0.05</v>
      </c>
      <c r="F144" s="323">
        <f>+F107-F137</f>
        <v>233594</v>
      </c>
      <c r="G144" s="299">
        <f t="shared" si="33"/>
        <v>0.04</v>
      </c>
      <c r="H144" s="319">
        <f t="shared" si="27"/>
        <v>23381</v>
      </c>
      <c r="I144" s="320">
        <f t="shared" si="28"/>
        <v>10.01</v>
      </c>
      <c r="K144" s="216">
        <f t="shared" si="29"/>
        <v>4.7870000000000003E-2</v>
      </c>
      <c r="L144" s="216">
        <f t="shared" si="30"/>
        <v>4.5080000000000002E-2</v>
      </c>
      <c r="M144" s="216">
        <f t="shared" si="9"/>
        <v>4.3770000000000003E-2</v>
      </c>
    </row>
    <row r="145" spans="1:13" s="30" customFormat="1" ht="26.35" customHeight="1">
      <c r="A145" s="307">
        <f>+A106+A144</f>
        <v>0</v>
      </c>
      <c r="B145" s="299">
        <f t="shared" si="31"/>
        <v>0</v>
      </c>
      <c r="C145" s="262" t="s">
        <v>864</v>
      </c>
      <c r="D145" s="323">
        <f>+D106+D144</f>
        <v>0</v>
      </c>
      <c r="E145" s="310">
        <f t="shared" si="34"/>
        <v>0</v>
      </c>
      <c r="F145" s="323">
        <f>+F106+F144</f>
        <v>0</v>
      </c>
      <c r="G145" s="299">
        <f t="shared" si="33"/>
        <v>0</v>
      </c>
      <c r="H145" s="309">
        <f>D145-F145</f>
        <v>0</v>
      </c>
      <c r="I145" s="311">
        <f>ROUND(H145/$D$8*100,2)</f>
        <v>0</v>
      </c>
      <c r="K145" s="216">
        <f t="shared" si="29"/>
        <v>0</v>
      </c>
      <c r="L145" s="216">
        <f t="shared" si="30"/>
        <v>0</v>
      </c>
      <c r="M145" s="216">
        <f>ROUND(F145/$F$8*100,5)</f>
        <v>0</v>
      </c>
    </row>
    <row r="146" spans="1:13" s="30" customFormat="1" ht="19.149999999999999" customHeight="1">
      <c r="A146" s="307"/>
      <c r="B146" s="299"/>
      <c r="C146" s="262"/>
      <c r="D146" s="323"/>
      <c r="E146" s="310"/>
      <c r="F146" s="323"/>
      <c r="G146" s="310"/>
      <c r="H146" s="309"/>
      <c r="I146" s="311"/>
      <c r="K146" s="216"/>
      <c r="L146" s="216"/>
      <c r="M146" s="216"/>
    </row>
    <row r="147" spans="1:13" s="30" customFormat="1" ht="38" customHeight="1">
      <c r="A147" s="307"/>
      <c r="B147" s="299"/>
      <c r="C147" s="262"/>
      <c r="D147" s="323"/>
      <c r="E147" s="310"/>
      <c r="F147" s="323"/>
      <c r="G147" s="310"/>
      <c r="H147" s="309"/>
      <c r="I147" s="311"/>
      <c r="K147" s="216"/>
      <c r="L147" s="216"/>
      <c r="M147" s="216"/>
    </row>
    <row r="148" spans="1:13" s="30" customFormat="1" ht="24.25" customHeight="1" thickBot="1">
      <c r="A148" s="308"/>
      <c r="B148" s="304"/>
      <c r="C148" s="269"/>
      <c r="D148" s="324"/>
      <c r="E148" s="322"/>
      <c r="F148" s="324"/>
      <c r="G148" s="322"/>
      <c r="H148" s="321"/>
      <c r="I148" s="676"/>
      <c r="K148" s="216">
        <f t="shared" ref="K148" si="44">ROUND(A148/$A$8*100,5)</f>
        <v>0</v>
      </c>
      <c r="L148" s="216">
        <f t="shared" ref="L148" si="45">ROUND(D148/$D$8*100,5)</f>
        <v>0</v>
      </c>
      <c r="M148" s="216">
        <f>ROUND(F148/$F$8*100,5)</f>
        <v>0</v>
      </c>
    </row>
    <row r="149" spans="1:13" ht="35.049999999999997" customHeight="1">
      <c r="A149" s="1259" t="s">
        <v>1686</v>
      </c>
      <c r="B149" s="1260"/>
      <c r="C149" s="1260"/>
      <c r="D149" s="1260"/>
      <c r="E149" s="1260"/>
      <c r="F149" s="1260"/>
      <c r="G149" s="1260"/>
      <c r="H149" s="1260"/>
      <c r="I149" s="1260"/>
      <c r="J149" s="2"/>
      <c r="K149" s="2"/>
      <c r="L149" s="2"/>
      <c r="M149" s="2"/>
    </row>
    <row r="150" spans="1:13">
      <c r="A150" s="2"/>
      <c r="B150" s="2"/>
      <c r="C150" s="157"/>
      <c r="D150" s="156"/>
      <c r="E150" s="282"/>
      <c r="F150" s="2"/>
      <c r="G150" s="2"/>
      <c r="H150" s="2"/>
      <c r="I150" s="2"/>
      <c r="J150" s="2"/>
      <c r="K150" s="2"/>
      <c r="L150" s="2"/>
      <c r="M150" s="2"/>
    </row>
    <row r="151" spans="1:13" hidden="1">
      <c r="A151" s="2"/>
      <c r="B151" s="1261" t="s">
        <v>865</v>
      </c>
      <c r="C151" s="1262"/>
      <c r="D151" s="1263" t="s">
        <v>866</v>
      </c>
      <c r="E151" s="1263"/>
      <c r="F151" s="1264" t="s">
        <v>867</v>
      </c>
      <c r="G151" s="1264"/>
      <c r="H151" s="1264" t="s">
        <v>868</v>
      </c>
      <c r="I151" s="1264"/>
      <c r="J151" s="2"/>
      <c r="K151" s="2"/>
      <c r="L151" s="2"/>
      <c r="M151" s="2"/>
    </row>
    <row r="152" spans="1:13" ht="17.2" hidden="1" customHeight="1">
      <c r="A152" s="2"/>
      <c r="B152" s="1255" t="s">
        <v>869</v>
      </c>
      <c r="C152" s="283" t="s">
        <v>870</v>
      </c>
      <c r="D152" s="284" t="e">
        <f>#REF!+A19+A21+A11+#REF!+A26+A14+A36+A43+A57+A117+A123+A130+A110</f>
        <v>#REF!</v>
      </c>
      <c r="E152" s="285" t="e">
        <f>#REF!+B19+B21+B11+#REF!+B26+B14+B36+B43+B57+B117+B123+B130+B110</f>
        <v>#REF!</v>
      </c>
      <c r="F152" s="284" t="e">
        <f>A78+A86+A92+A140+A72+A74+A63+#REF!+A66+#REF!</f>
        <v>#REF!</v>
      </c>
      <c r="G152" s="285" t="e">
        <f>B78+B86+B92+B140+B72+B74+B63+#REF!+B66</f>
        <v>#REF!</v>
      </c>
      <c r="H152" s="291" t="e">
        <f>D152-F152</f>
        <v>#REF!</v>
      </c>
      <c r="I152" s="291" t="e">
        <f t="shared" ref="H152:I165" si="46">E152-G152</f>
        <v>#REF!</v>
      </c>
      <c r="J152" s="2"/>
      <c r="K152" s="2"/>
      <c r="L152" s="2"/>
      <c r="M152" s="2"/>
    </row>
    <row r="153" spans="1:13" ht="17.2" hidden="1" customHeight="1">
      <c r="A153" s="2"/>
      <c r="B153" s="1256"/>
      <c r="C153" s="283" t="s">
        <v>871</v>
      </c>
      <c r="D153" s="284">
        <f>A27+A15+A37+A44+A111+A124+A131</f>
        <v>8202924</v>
      </c>
      <c r="E153" s="285">
        <f>B27+B15+B37+B44+B111+B124+B131</f>
        <v>1.19</v>
      </c>
      <c r="F153" s="284">
        <f>A67+A79+A87+A93+A141</f>
        <v>8202924</v>
      </c>
      <c r="G153" s="285">
        <f>B67+B79+B87+B93+B141</f>
        <v>1.1800000000000002</v>
      </c>
      <c r="H153" s="291">
        <f t="shared" si="46"/>
        <v>0</v>
      </c>
      <c r="I153" s="291">
        <f t="shared" si="46"/>
        <v>9.9999999999997868E-3</v>
      </c>
      <c r="J153" s="2"/>
      <c r="K153" s="2"/>
      <c r="L153" s="2"/>
      <c r="M153" s="2"/>
    </row>
    <row r="154" spans="1:13" ht="17.2" hidden="1" customHeight="1">
      <c r="A154" s="2"/>
      <c r="B154" s="1256"/>
      <c r="C154" s="283" t="s">
        <v>872</v>
      </c>
      <c r="D154" s="284">
        <f>A28+A16+A38+A45+A112+A125+A132</f>
        <v>31260841</v>
      </c>
      <c r="E154" s="285">
        <f>B28+B16+B38+B45+B112+B125+B132</f>
        <v>4.5</v>
      </c>
      <c r="F154" s="284">
        <f>A68+A80+A88+A94+A102+A143</f>
        <v>29973401</v>
      </c>
      <c r="G154" s="285">
        <f>B68+B80+B88+B94+B102+B143</f>
        <v>4.32</v>
      </c>
      <c r="H154" s="291">
        <f t="shared" si="46"/>
        <v>1287440</v>
      </c>
      <c r="I154" s="291">
        <f t="shared" si="46"/>
        <v>0.17999999999999972</v>
      </c>
      <c r="J154" s="2"/>
      <c r="K154" s="2"/>
      <c r="L154" s="2"/>
      <c r="M154" s="2"/>
    </row>
    <row r="155" spans="1:13" ht="17.2" hidden="1" customHeight="1">
      <c r="A155" s="2"/>
      <c r="B155" s="1256"/>
      <c r="C155" s="283" t="s">
        <v>873</v>
      </c>
      <c r="D155" s="284">
        <f>A39+A53+A126+A133+A113</f>
        <v>6950331</v>
      </c>
      <c r="E155" s="285">
        <f>B39+B53+B126+B133+B113</f>
        <v>1</v>
      </c>
      <c r="F155" s="284">
        <f>A81+A95+A103</f>
        <v>6950455</v>
      </c>
      <c r="G155" s="285">
        <f>B81+B95+B103</f>
        <v>1</v>
      </c>
      <c r="H155" s="291">
        <f t="shared" si="46"/>
        <v>-124</v>
      </c>
      <c r="I155" s="291">
        <f t="shared" si="46"/>
        <v>0</v>
      </c>
      <c r="J155" s="2"/>
      <c r="K155" s="2"/>
      <c r="L155" s="2"/>
      <c r="M155" s="2"/>
    </row>
    <row r="156" spans="1:13" ht="17.2" hidden="1" customHeight="1">
      <c r="A156" s="2"/>
      <c r="B156" s="1256"/>
      <c r="C156" s="283" t="s">
        <v>874</v>
      </c>
      <c r="D156" s="284">
        <f>A31+A47+A58</f>
        <v>525132</v>
      </c>
      <c r="E156" s="285">
        <f>B31+B47+B58</f>
        <v>6.9999999999999993E-2</v>
      </c>
      <c r="F156" s="284">
        <f>A96+A83</f>
        <v>526440</v>
      </c>
      <c r="G156" s="285">
        <f>B96+B83</f>
        <v>0.08</v>
      </c>
      <c r="H156" s="291">
        <f t="shared" si="46"/>
        <v>-1308</v>
      </c>
      <c r="I156" s="291">
        <f t="shared" si="46"/>
        <v>-1.0000000000000009E-2</v>
      </c>
      <c r="J156" s="2"/>
      <c r="K156" s="2"/>
      <c r="L156" s="2"/>
      <c r="M156" s="2"/>
    </row>
    <row r="157" spans="1:13" ht="17.2" hidden="1" customHeight="1">
      <c r="B157" s="1256"/>
      <c r="C157" s="283" t="s">
        <v>875</v>
      </c>
      <c r="D157" s="284">
        <f>A32+A48+A55+A59</f>
        <v>38151</v>
      </c>
      <c r="E157" s="286">
        <f>B32+B48+B55+B59</f>
        <v>0</v>
      </c>
      <c r="F157" s="284">
        <f>A89+A97+A104</f>
        <v>247184</v>
      </c>
      <c r="G157" s="285">
        <f>B89+B97+B104</f>
        <v>0.04</v>
      </c>
      <c r="H157" s="291">
        <f t="shared" si="46"/>
        <v>-209033</v>
      </c>
      <c r="I157" s="291">
        <f t="shared" si="46"/>
        <v>-0.04</v>
      </c>
      <c r="J157" s="2"/>
    </row>
    <row r="158" spans="1:13" ht="17.2" hidden="1" customHeight="1">
      <c r="B158" s="1257"/>
      <c r="C158" s="283" t="s">
        <v>876</v>
      </c>
      <c r="D158" s="284" t="e">
        <f>SUM(D152:D157)</f>
        <v>#REF!</v>
      </c>
      <c r="E158" s="285" t="e">
        <f>SUM(E152:E157)</f>
        <v>#REF!</v>
      </c>
      <c r="F158" s="284" t="e">
        <f>SUM(F152:F157)</f>
        <v>#REF!</v>
      </c>
      <c r="G158" s="285" t="e">
        <f>SUM(G152:G157)</f>
        <v>#REF!</v>
      </c>
      <c r="H158" s="291" t="e">
        <f t="shared" si="46"/>
        <v>#REF!</v>
      </c>
      <c r="I158" s="291" t="e">
        <f t="shared" si="46"/>
        <v>#REF!</v>
      </c>
      <c r="J158" s="2"/>
    </row>
    <row r="159" spans="1:13" ht="15.75" hidden="1" customHeight="1">
      <c r="B159" s="1255" t="s">
        <v>877</v>
      </c>
      <c r="C159" s="283" t="s">
        <v>870</v>
      </c>
      <c r="D159" s="284" t="e">
        <f>#REF!+D19+D21+D11+#REF!+D26+D14+D36+D43+D57+D117+D123+D130+D110</f>
        <v>#REF!</v>
      </c>
      <c r="E159" s="286" t="e">
        <f>#REF!+E19+E21+E11+#REF!+E26+E14+E36+E43+E57+E117+E123+E130+E110</f>
        <v>#REF!</v>
      </c>
      <c r="F159" s="287" t="e">
        <f>D78+D86+D92+D140+D72+D74+D63+#REF!+D66</f>
        <v>#REF!</v>
      </c>
      <c r="G159" s="288" t="e">
        <f>E78+E86+E92+E140+E72+E74+E63+#REF!+E66</f>
        <v>#REF!</v>
      </c>
      <c r="H159" s="291" t="e">
        <f t="shared" si="46"/>
        <v>#REF!</v>
      </c>
      <c r="I159" s="291" t="e">
        <f t="shared" si="46"/>
        <v>#REF!</v>
      </c>
      <c r="J159" s="2"/>
    </row>
    <row r="160" spans="1:13" hidden="1">
      <c r="B160" s="1256"/>
      <c r="C160" s="283" t="s">
        <v>871</v>
      </c>
      <c r="D160" s="284">
        <f>D27+D15+D37+D44+D111+D124+D131</f>
        <v>2931146</v>
      </c>
      <c r="E160" s="286">
        <f>E27+E15+E37+E44+E111+E124+E131</f>
        <v>0.52</v>
      </c>
      <c r="F160" s="287">
        <f>D67+D79+D87+D93+D141</f>
        <v>2931146</v>
      </c>
      <c r="G160" s="288">
        <f>E67+E79+E87+E93+E141</f>
        <v>0.51</v>
      </c>
      <c r="H160" s="291">
        <f t="shared" si="46"/>
        <v>0</v>
      </c>
      <c r="I160" s="291">
        <f t="shared" si="46"/>
        <v>1.0000000000000009E-2</v>
      </c>
      <c r="J160" s="266"/>
    </row>
    <row r="161" spans="2:10" hidden="1">
      <c r="B161" s="1256"/>
      <c r="C161" s="283" t="s">
        <v>872</v>
      </c>
      <c r="D161" s="284">
        <f>D28+D16+D38+D45+D112+D125+D132</f>
        <v>32101853</v>
      </c>
      <c r="E161" s="286">
        <f>E28+E16+E38+E45+E112+E125+E132</f>
        <v>5.63</v>
      </c>
      <c r="F161" s="287">
        <f>D68+D80+D88+D94+D102+D143</f>
        <v>32101842</v>
      </c>
      <c r="G161" s="288">
        <f>E68+E80+E88+E94+E102+E143</f>
        <v>5.63</v>
      </c>
      <c r="H161" s="291">
        <f t="shared" si="46"/>
        <v>11</v>
      </c>
      <c r="I161" s="291">
        <f t="shared" si="46"/>
        <v>0</v>
      </c>
      <c r="J161" s="266"/>
    </row>
    <row r="162" spans="2:10" hidden="1">
      <c r="B162" s="1256"/>
      <c r="C162" s="283" t="s">
        <v>873</v>
      </c>
      <c r="D162" s="284">
        <f>D39+D53+D126+D133+D113</f>
        <v>6643801</v>
      </c>
      <c r="E162" s="286">
        <f>E39+E53+E126+E133+E113</f>
        <v>1.17</v>
      </c>
      <c r="F162" s="287">
        <f>D81+D95+D103</f>
        <v>6643893</v>
      </c>
      <c r="G162" s="288">
        <f>E81+E95+E103</f>
        <v>1.1599999999999999</v>
      </c>
      <c r="H162" s="291">
        <f t="shared" si="46"/>
        <v>-92</v>
      </c>
      <c r="I162" s="291">
        <f t="shared" si="46"/>
        <v>1.0000000000000009E-2</v>
      </c>
      <c r="J162" s="266"/>
    </row>
    <row r="163" spans="2:10" ht="27.5" hidden="1">
      <c r="B163" s="1256"/>
      <c r="C163" s="283" t="s">
        <v>874</v>
      </c>
      <c r="D163" s="284">
        <f>D31+D47+D58</f>
        <v>171209</v>
      </c>
      <c r="E163" s="286">
        <f>E31+E47+E58</f>
        <v>0.03</v>
      </c>
      <c r="F163" s="287">
        <f>D96+D83</f>
        <v>171207</v>
      </c>
      <c r="G163" s="288">
        <f>E96+E83</f>
        <v>0.03</v>
      </c>
      <c r="H163" s="291">
        <f t="shared" si="46"/>
        <v>2</v>
      </c>
      <c r="I163" s="291">
        <f t="shared" si="46"/>
        <v>0</v>
      </c>
      <c r="J163" s="266"/>
    </row>
    <row r="164" spans="2:10" ht="27.5" hidden="1">
      <c r="B164" s="1256"/>
      <c r="C164" s="283" t="s">
        <v>875</v>
      </c>
      <c r="D164" s="284">
        <f>D32+D48+D55+D59</f>
        <v>31116</v>
      </c>
      <c r="E164" s="286">
        <f>E32+E48+E55+E59</f>
        <v>0.01</v>
      </c>
      <c r="F164" s="287">
        <f>D89+D97+D104</f>
        <v>15886</v>
      </c>
      <c r="G164" s="288">
        <f>E89+E97+E104</f>
        <v>0</v>
      </c>
      <c r="H164" s="291">
        <f t="shared" si="46"/>
        <v>15230</v>
      </c>
      <c r="I164" s="291">
        <f t="shared" si="46"/>
        <v>0.01</v>
      </c>
      <c r="J164" s="266"/>
    </row>
    <row r="165" spans="2:10" hidden="1">
      <c r="B165" s="1257"/>
      <c r="C165" s="283" t="s">
        <v>876</v>
      </c>
      <c r="D165" s="284" t="e">
        <f>SUM(D159:D164)</f>
        <v>#REF!</v>
      </c>
      <c r="E165" s="285" t="e">
        <f>SUM(E159:E164)</f>
        <v>#REF!</v>
      </c>
      <c r="F165" s="284" t="e">
        <f>SUM(F159:F164)</f>
        <v>#REF!</v>
      </c>
      <c r="G165" s="285" t="e">
        <f>SUM(G159:G164)</f>
        <v>#REF!</v>
      </c>
      <c r="H165" s="291" t="e">
        <f t="shared" si="46"/>
        <v>#REF!</v>
      </c>
      <c r="I165" s="291" t="e">
        <f t="shared" si="46"/>
        <v>#REF!</v>
      </c>
      <c r="J165" s="266"/>
    </row>
    <row r="166" spans="2:10" ht="16.55" hidden="1" customHeight="1">
      <c r="B166" s="1258" t="s">
        <v>878</v>
      </c>
      <c r="C166" s="283" t="s">
        <v>870</v>
      </c>
      <c r="D166" s="284" t="e">
        <f>#REF!+F19+F21+F11+#REF!+F26+F14+F36+F43+F57+F117+F123+F130+F110</f>
        <v>#REF!</v>
      </c>
      <c r="E166" s="286" t="e">
        <f>#REF!+G19+G21+G11+#REF!+G26+G14+G36+G43+G57+G117+G123+G130+G110</f>
        <v>#REF!</v>
      </c>
      <c r="F166" s="287" t="e">
        <f>F78+F86+F92+F140+F72+F74+F63+#REF!+F66</f>
        <v>#REF!</v>
      </c>
      <c r="G166" s="288" t="e">
        <f>G78+G86+G92+G140+G72+G74+G63+#REF!+G66</f>
        <v>#REF!</v>
      </c>
      <c r="H166" s="291" t="e">
        <f>D166-F166</f>
        <v>#REF!</v>
      </c>
      <c r="I166" s="291" t="e">
        <f>E166-G166</f>
        <v>#REF!</v>
      </c>
      <c r="J166" s="267"/>
    </row>
    <row r="167" spans="2:10" hidden="1">
      <c r="B167" s="1258"/>
      <c r="C167" s="283" t="s">
        <v>871</v>
      </c>
      <c r="D167" s="284">
        <f>F27+F15+F37+F44+F111+F124+F131</f>
        <v>8560497</v>
      </c>
      <c r="E167" s="286">
        <f>G27+G15+G37+G44+G111+G124+G131</f>
        <v>1.61</v>
      </c>
      <c r="F167" s="287">
        <f>F67+F79+F87+F93+F141</f>
        <v>8560497</v>
      </c>
      <c r="G167" s="288">
        <f>G67+G79+G87+G93+G141</f>
        <v>1.5999999999999999</v>
      </c>
      <c r="H167" s="291">
        <f t="shared" ref="H167:I172" si="47">D167-F167</f>
        <v>0</v>
      </c>
      <c r="I167" s="291">
        <f t="shared" si="47"/>
        <v>1.0000000000000231E-2</v>
      </c>
      <c r="J167" s="267"/>
    </row>
    <row r="168" spans="2:10" hidden="1">
      <c r="B168" s="1258"/>
      <c r="C168" s="283" t="s">
        <v>872</v>
      </c>
      <c r="D168" s="284">
        <f>F28+F16+F38+F45+F112+F125+F132</f>
        <v>31820039</v>
      </c>
      <c r="E168" s="286">
        <f>G28+G16+G38+G45+G112+G125+G132</f>
        <v>5.96</v>
      </c>
      <c r="F168" s="287">
        <f>F68+F80+F88+F94+F102+F143</f>
        <v>31820028</v>
      </c>
      <c r="G168" s="288">
        <f>G68+G80+G88+G94+G102+G143</f>
        <v>5.97</v>
      </c>
      <c r="H168" s="291">
        <f t="shared" si="47"/>
        <v>11</v>
      </c>
      <c r="I168" s="291">
        <f t="shared" si="47"/>
        <v>-9.9999999999997868E-3</v>
      </c>
      <c r="J168" s="267"/>
    </row>
    <row r="169" spans="2:10" hidden="1">
      <c r="B169" s="1258"/>
      <c r="C169" s="283" t="s">
        <v>873</v>
      </c>
      <c r="D169" s="284">
        <f>F39+F53+F126+F133+F113</f>
        <v>6835838</v>
      </c>
      <c r="E169" s="286">
        <f>G39+G53+G126+G133+G113</f>
        <v>1.28</v>
      </c>
      <c r="F169" s="287">
        <f>F81+F95+F103</f>
        <v>6836022</v>
      </c>
      <c r="G169" s="288">
        <f>G81+G95+G103</f>
        <v>1.28</v>
      </c>
      <c r="H169" s="291">
        <f t="shared" si="47"/>
        <v>-184</v>
      </c>
      <c r="I169" s="291">
        <f t="shared" si="47"/>
        <v>0</v>
      </c>
      <c r="J169" s="267"/>
    </row>
    <row r="170" spans="2:10" ht="27.5" hidden="1">
      <c r="B170" s="1258"/>
      <c r="C170" s="283" t="s">
        <v>874</v>
      </c>
      <c r="D170" s="284">
        <f>F31+F47+F58</f>
        <v>627427</v>
      </c>
      <c r="E170" s="286">
        <f>G31+G47+G58</f>
        <v>0.11</v>
      </c>
      <c r="F170" s="287">
        <f>F96+F83</f>
        <v>627397</v>
      </c>
      <c r="G170" s="288">
        <f>G96+G83</f>
        <v>0.12</v>
      </c>
      <c r="H170" s="291">
        <f t="shared" si="47"/>
        <v>30</v>
      </c>
      <c r="I170" s="291">
        <f t="shared" si="47"/>
        <v>-9.999999999999995E-3</v>
      </c>
      <c r="J170" s="267"/>
    </row>
    <row r="171" spans="2:10" ht="27.5" hidden="1">
      <c r="B171" s="1258"/>
      <c r="C171" s="283" t="s">
        <v>875</v>
      </c>
      <c r="D171" s="284">
        <f>F32+F48+F55+F59</f>
        <v>48210</v>
      </c>
      <c r="E171" s="286">
        <f>G32+G48+G55+G59</f>
        <v>0.01</v>
      </c>
      <c r="F171" s="287">
        <f>F89+F97+F104</f>
        <v>51960</v>
      </c>
      <c r="G171" s="288">
        <f>G89+G97+G104</f>
        <v>0.01</v>
      </c>
      <c r="H171" s="291">
        <f t="shared" si="47"/>
        <v>-3750</v>
      </c>
      <c r="I171" s="291">
        <f t="shared" si="47"/>
        <v>0</v>
      </c>
      <c r="J171" s="267"/>
    </row>
    <row r="172" spans="2:10" hidden="1">
      <c r="B172" s="1258"/>
      <c r="C172" s="289" t="s">
        <v>876</v>
      </c>
      <c r="D172" s="284" t="e">
        <f>SUM(D166:D171)</f>
        <v>#REF!</v>
      </c>
      <c r="E172" s="285" t="e">
        <f>SUM(E166:E171)</f>
        <v>#REF!</v>
      </c>
      <c r="F172" s="284" t="e">
        <f>SUM(F166:F171)</f>
        <v>#REF!</v>
      </c>
      <c r="G172" s="285" t="e">
        <f>SUM(G166:G171)</f>
        <v>#REF!</v>
      </c>
      <c r="H172" s="291" t="e">
        <f t="shared" si="47"/>
        <v>#REF!</v>
      </c>
      <c r="I172" s="291" t="e">
        <f t="shared" si="47"/>
        <v>#REF!</v>
      </c>
      <c r="J172" s="2"/>
    </row>
  </sheetData>
  <mergeCells count="17">
    <mergeCell ref="A1:I1"/>
    <mergeCell ref="A2:I2"/>
    <mergeCell ref="A3:I3"/>
    <mergeCell ref="A4:I4"/>
    <mergeCell ref="A5:B5"/>
    <mergeCell ref="C5:C6"/>
    <mergeCell ref="D5:E5"/>
    <mergeCell ref="F5:G5"/>
    <mergeCell ref="H5:I5"/>
    <mergeCell ref="B159:B165"/>
    <mergeCell ref="B166:B172"/>
    <mergeCell ref="A149:I149"/>
    <mergeCell ref="B151:C151"/>
    <mergeCell ref="D151:E151"/>
    <mergeCell ref="F151:G151"/>
    <mergeCell ref="H151:I151"/>
    <mergeCell ref="B152:B158"/>
  </mergeCells>
  <phoneticPr fontId="5" type="noConversion"/>
  <printOptions horizontalCentered="1"/>
  <pageMargins left="0.59055118110236227" right="0.59055118110236227" top="0.59055118110236227" bottom="0.78740157480314965" header="0.51181102362204722" footer="0.51181102362204722"/>
  <pageSetup paperSize="9" firstPageNumber="11" orientation="portrait" useFirstPageNumber="1" r:id="rId1"/>
  <headerFooter alignWithMargins="0">
    <oddFooter>&amp;C&amp;"Times New Roman,標準"&amp;P</oddFooter>
  </headerFooter>
  <rowBreaks count="2" manualBreakCount="2">
    <brk id="63" max="8" man="1"/>
    <brk id="121" max="8"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21"/>
  <sheetViews>
    <sheetView view="pageBreakPreview" topLeftCell="A10" zoomScaleNormal="100" zoomScaleSheetLayoutView="100" workbookViewId="0">
      <selection activeCell="E84" sqref="E84"/>
    </sheetView>
  </sheetViews>
  <sheetFormatPr defaultColWidth="9" defaultRowHeight="15.05"/>
  <cols>
    <col min="1" max="1" width="4.375" style="2" customWidth="1"/>
    <col min="2" max="2" width="6.375" style="2" customWidth="1"/>
    <col min="3" max="3" width="79.5" style="2" customWidth="1"/>
    <col min="4" max="16384" width="9" style="2"/>
  </cols>
  <sheetData>
    <row r="1" spans="1:9" ht="20.95" customHeight="1">
      <c r="A1" s="1266" t="s">
        <v>59</v>
      </c>
      <c r="B1" s="1266"/>
      <c r="C1" s="1266"/>
      <c r="D1" s="145"/>
      <c r="E1" s="145"/>
      <c r="F1" s="145"/>
      <c r="G1" s="145"/>
      <c r="H1" s="145"/>
      <c r="I1" s="145"/>
    </row>
    <row r="2" spans="1:9" ht="20.95" customHeight="1">
      <c r="A2" s="1266" t="s">
        <v>60</v>
      </c>
      <c r="B2" s="1266"/>
      <c r="C2" s="1266"/>
      <c r="D2" s="145"/>
      <c r="E2" s="145"/>
      <c r="F2" s="145"/>
      <c r="G2" s="145"/>
      <c r="H2" s="145"/>
      <c r="I2" s="145"/>
    </row>
    <row r="3" spans="1:9" ht="24.9" customHeight="1">
      <c r="A3" s="1267" t="s">
        <v>1706</v>
      </c>
      <c r="B3" s="1268"/>
      <c r="C3" s="1268"/>
      <c r="D3" s="146"/>
      <c r="E3" s="146"/>
      <c r="F3" s="146"/>
      <c r="G3" s="146"/>
      <c r="H3" s="146"/>
      <c r="I3" s="146"/>
    </row>
    <row r="4" spans="1:9" ht="24.9" customHeight="1" thickBot="1">
      <c r="A4" s="1287" t="s">
        <v>905</v>
      </c>
      <c r="B4" s="1287"/>
      <c r="C4" s="1287"/>
      <c r="D4" s="4"/>
      <c r="E4" s="4"/>
      <c r="F4" s="4"/>
      <c r="G4" s="4"/>
      <c r="H4" s="4"/>
      <c r="I4" s="4"/>
    </row>
    <row r="5" spans="1:9" s="345" customFormat="1" ht="7.2" customHeight="1">
      <c r="A5" s="341"/>
      <c r="B5" s="342"/>
      <c r="C5" s="343"/>
      <c r="D5" s="344"/>
      <c r="E5" s="344"/>
      <c r="F5" s="344"/>
      <c r="G5" s="344"/>
      <c r="H5" s="344"/>
      <c r="I5" s="344"/>
    </row>
    <row r="6" spans="1:9" s="346" customFormat="1" ht="29.95" customHeight="1">
      <c r="A6" s="1284" t="s">
        <v>1774</v>
      </c>
      <c r="B6" s="1290"/>
      <c r="C6" s="1291"/>
    </row>
    <row r="7" spans="1:9" s="734" customFormat="1" ht="29.95" customHeight="1">
      <c r="A7" s="1278" t="s">
        <v>934</v>
      </c>
      <c r="B7" s="1292"/>
      <c r="C7" s="1293"/>
    </row>
    <row r="8" spans="1:9" s="734" customFormat="1" ht="45" customHeight="1">
      <c r="A8" s="1284" t="s">
        <v>1775</v>
      </c>
      <c r="B8" s="1292"/>
      <c r="C8" s="1293"/>
    </row>
    <row r="9" spans="1:9" s="346" customFormat="1" ht="45" customHeight="1">
      <c r="A9" s="1284" t="s">
        <v>1776</v>
      </c>
      <c r="B9" s="1294"/>
      <c r="C9" s="1295"/>
    </row>
    <row r="10" spans="1:9" s="346" customFormat="1" ht="51.05" customHeight="1">
      <c r="A10" s="1278" t="s">
        <v>1528</v>
      </c>
      <c r="B10" s="1292"/>
      <c r="C10" s="1293"/>
    </row>
    <row r="11" spans="1:9" s="346" customFormat="1" ht="29.95" customHeight="1">
      <c r="A11" s="1284" t="s">
        <v>1777</v>
      </c>
      <c r="B11" s="1279"/>
      <c r="C11" s="1280"/>
    </row>
    <row r="12" spans="1:9" s="734" customFormat="1" ht="45" customHeight="1">
      <c r="A12" s="1278" t="s">
        <v>935</v>
      </c>
      <c r="B12" s="1282"/>
      <c r="C12" s="1283"/>
    </row>
    <row r="13" spans="1:9" s="734" customFormat="1" ht="45" customHeight="1">
      <c r="A13" s="1278" t="s">
        <v>1209</v>
      </c>
      <c r="B13" s="1282"/>
      <c r="C13" s="1283"/>
    </row>
    <row r="14" spans="1:9" s="348" customFormat="1" ht="45" customHeight="1">
      <c r="A14" s="1284" t="s">
        <v>1778</v>
      </c>
      <c r="B14" s="1279"/>
      <c r="C14" s="1280"/>
    </row>
    <row r="15" spans="1:9" s="348" customFormat="1" ht="74.45" customHeight="1">
      <c r="A15" s="1278" t="s">
        <v>1557</v>
      </c>
      <c r="B15" s="1285"/>
      <c r="C15" s="1286"/>
    </row>
    <row r="16" spans="1:9" s="346" customFormat="1" ht="29.95" customHeight="1">
      <c r="A16" s="347" t="s">
        <v>75</v>
      </c>
      <c r="B16" s="1288" t="s">
        <v>1210</v>
      </c>
      <c r="C16" s="1289"/>
    </row>
    <row r="17" spans="1:3" s="346" customFormat="1" ht="29.95" customHeight="1">
      <c r="A17" s="1281" t="s">
        <v>1211</v>
      </c>
      <c r="B17" s="1279"/>
      <c r="C17" s="1280"/>
    </row>
    <row r="18" spans="1:3" s="346" customFormat="1" ht="41.4" customHeight="1">
      <c r="A18" s="1278" t="s">
        <v>1212</v>
      </c>
      <c r="B18" s="1279"/>
      <c r="C18" s="1280"/>
    </row>
    <row r="19" spans="1:3" s="346" customFormat="1" ht="29.95" customHeight="1">
      <c r="A19" s="1278" t="s">
        <v>936</v>
      </c>
      <c r="B19" s="1279"/>
      <c r="C19" s="1280"/>
    </row>
    <row r="20" spans="1:3" s="346" customFormat="1" ht="23.4" customHeight="1">
      <c r="A20" s="1281" t="s">
        <v>1689</v>
      </c>
      <c r="B20" s="1279"/>
      <c r="C20" s="1280"/>
    </row>
    <row r="21" spans="1:3" ht="84.45" customHeight="1" thickBot="1">
      <c r="A21" s="349"/>
      <c r="B21" s="350"/>
      <c r="C21" s="351"/>
    </row>
  </sheetData>
  <mergeCells count="19">
    <mergeCell ref="A1:C1"/>
    <mergeCell ref="A2:C2"/>
    <mergeCell ref="A3:C3"/>
    <mergeCell ref="A4:C4"/>
    <mergeCell ref="B16:C16"/>
    <mergeCell ref="A6:C6"/>
    <mergeCell ref="A11:C11"/>
    <mergeCell ref="A7:C7"/>
    <mergeCell ref="A8:C8"/>
    <mergeCell ref="A9:C9"/>
    <mergeCell ref="A10:C10"/>
    <mergeCell ref="A12:C12"/>
    <mergeCell ref="A19:C19"/>
    <mergeCell ref="A20:C20"/>
    <mergeCell ref="A13:C13"/>
    <mergeCell ref="A14:C14"/>
    <mergeCell ref="A15:C15"/>
    <mergeCell ref="A17:C17"/>
    <mergeCell ref="A18:C18"/>
  </mergeCells>
  <phoneticPr fontId="5" type="noConversion"/>
  <printOptions horizontalCentered="1"/>
  <pageMargins left="0.59055118110236227" right="0.59055118110236227" top="0.59055118110236227" bottom="0.78740157480314965" header="0.51181102362204722" footer="0.51181102362204722"/>
  <pageSetup paperSize="9" firstPageNumber="16" orientation="portrait" useFirstPageNumber="1" r:id="rId1"/>
  <headerFooter alignWithMargins="0">
    <oddFooter>&amp;C&amp;"Times New Roman,標準"&amp;P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32"/>
  <sheetViews>
    <sheetView view="pageBreakPreview" topLeftCell="A10" zoomScaleNormal="100" zoomScaleSheetLayoutView="100" workbookViewId="0">
      <selection activeCell="A4" sqref="A4:F4"/>
    </sheetView>
  </sheetViews>
  <sheetFormatPr defaultColWidth="9" defaultRowHeight="15.05"/>
  <cols>
    <col min="1" max="1" width="15.625" style="12" customWidth="1"/>
    <col min="2" max="2" width="7.125" style="12" customWidth="1"/>
    <col min="3" max="3" width="19.375" style="12" customWidth="1"/>
    <col min="4" max="4" width="15.625" style="12" customWidth="1"/>
    <col min="5" max="5" width="7.125" style="110" customWidth="1"/>
    <col min="6" max="6" width="25.25" style="12" customWidth="1"/>
    <col min="7" max="16384" width="9" style="12"/>
  </cols>
  <sheetData>
    <row r="1" spans="1:9" ht="22.25">
      <c r="A1" s="1296" t="s">
        <v>59</v>
      </c>
      <c r="B1" s="1296"/>
      <c r="C1" s="1296"/>
      <c r="D1" s="1296"/>
      <c r="E1" s="1296"/>
      <c r="F1" s="1296"/>
      <c r="G1" s="11"/>
      <c r="H1" s="11"/>
      <c r="I1" s="11"/>
    </row>
    <row r="2" spans="1:9" ht="22.25">
      <c r="A2" s="1296" t="s">
        <v>60</v>
      </c>
      <c r="B2" s="1296"/>
      <c r="C2" s="1296"/>
      <c r="D2" s="1296"/>
      <c r="E2" s="1296"/>
      <c r="F2" s="1296"/>
      <c r="G2" s="11"/>
      <c r="H2" s="11"/>
      <c r="I2" s="11"/>
    </row>
    <row r="3" spans="1:9" ht="24.9" customHeight="1">
      <c r="A3" s="1297" t="s">
        <v>1707</v>
      </c>
      <c r="B3" s="1298"/>
      <c r="C3" s="1298"/>
      <c r="D3" s="1298"/>
      <c r="E3" s="1298"/>
      <c r="F3" s="1298"/>
    </row>
    <row r="4" spans="1:9" ht="24.9" customHeight="1" thickBot="1">
      <c r="A4" s="1299" t="s">
        <v>1761</v>
      </c>
      <c r="B4" s="1300"/>
      <c r="C4" s="1300"/>
      <c r="D4" s="1300"/>
      <c r="E4" s="1300"/>
      <c r="F4" s="1300"/>
    </row>
    <row r="5" spans="1:9" ht="20.95" customHeight="1">
      <c r="A5" s="1301" t="s">
        <v>76</v>
      </c>
      <c r="B5" s="1302"/>
      <c r="C5" s="1302" t="s">
        <v>61</v>
      </c>
      <c r="D5" s="1302" t="s">
        <v>77</v>
      </c>
      <c r="E5" s="1302"/>
      <c r="F5" s="1304" t="s">
        <v>78</v>
      </c>
    </row>
    <row r="6" spans="1:9" ht="20.95" customHeight="1">
      <c r="A6" s="388" t="s">
        <v>79</v>
      </c>
      <c r="B6" s="436" t="s">
        <v>80</v>
      </c>
      <c r="C6" s="1303"/>
      <c r="D6" s="436" t="s">
        <v>79</v>
      </c>
      <c r="E6" s="436" t="s">
        <v>80</v>
      </c>
      <c r="F6" s="1305"/>
    </row>
    <row r="7" spans="1:9" ht="8.1999999999999993" customHeight="1">
      <c r="A7" s="389"/>
      <c r="B7" s="162"/>
      <c r="C7" s="162"/>
      <c r="D7" s="162"/>
      <c r="E7" s="162"/>
      <c r="F7" s="163"/>
    </row>
    <row r="8" spans="1:9" s="21" customFormat="1" ht="29.95" customHeight="1">
      <c r="A8" s="168" t="s">
        <v>9</v>
      </c>
      <c r="B8" s="169" t="s">
        <v>9</v>
      </c>
      <c r="C8" s="103" t="s">
        <v>81</v>
      </c>
      <c r="D8" s="169" t="s">
        <v>9</v>
      </c>
      <c r="E8" s="169" t="s">
        <v>9</v>
      </c>
      <c r="F8" s="149"/>
    </row>
    <row r="9" spans="1:9" s="21" customFormat="1" ht="29.95" customHeight="1">
      <c r="A9" s="168" t="s">
        <v>9</v>
      </c>
      <c r="B9" s="169" t="s">
        <v>9</v>
      </c>
      <c r="C9" s="390" t="s">
        <v>153</v>
      </c>
      <c r="D9" s="169" t="s">
        <v>9</v>
      </c>
      <c r="E9" s="169" t="s">
        <v>9</v>
      </c>
      <c r="F9" s="149"/>
    </row>
    <row r="10" spans="1:9" s="21" customFormat="1" ht="29.95" customHeight="1">
      <c r="A10" s="168" t="s">
        <v>9</v>
      </c>
      <c r="B10" s="169" t="s">
        <v>9</v>
      </c>
      <c r="C10" s="103" t="s">
        <v>82</v>
      </c>
      <c r="D10" s="169" t="s">
        <v>9</v>
      </c>
      <c r="E10" s="169" t="s">
        <v>9</v>
      </c>
      <c r="F10" s="149"/>
    </row>
    <row r="11" spans="1:9" ht="22.25" customHeight="1">
      <c r="A11" s="102"/>
      <c r="B11" s="103"/>
      <c r="C11" s="104" t="s">
        <v>10</v>
      </c>
      <c r="D11" s="104"/>
      <c r="E11" s="104"/>
      <c r="F11" s="101"/>
    </row>
    <row r="12" spans="1:9" ht="24.9" customHeight="1">
      <c r="A12" s="102"/>
      <c r="B12" s="103"/>
      <c r="C12" s="104" t="s">
        <v>10</v>
      </c>
      <c r="D12" s="104"/>
      <c r="E12" s="104"/>
      <c r="F12" s="101"/>
    </row>
    <row r="13" spans="1:9" ht="24.9" customHeight="1">
      <c r="A13" s="102"/>
      <c r="B13" s="103"/>
      <c r="C13" s="104" t="s">
        <v>10</v>
      </c>
      <c r="D13" s="104"/>
      <c r="E13" s="104"/>
      <c r="F13" s="101"/>
    </row>
    <row r="14" spans="1:9" ht="24.9" customHeight="1">
      <c r="A14" s="102"/>
      <c r="B14" s="103"/>
      <c r="C14" s="104" t="s">
        <v>10</v>
      </c>
      <c r="D14" s="104"/>
      <c r="E14" s="104"/>
      <c r="F14" s="101"/>
    </row>
    <row r="15" spans="1:9" ht="24.9" customHeight="1">
      <c r="A15" s="102"/>
      <c r="B15" s="103"/>
      <c r="C15" s="104" t="s">
        <v>10</v>
      </c>
      <c r="D15" s="104"/>
      <c r="E15" s="104"/>
      <c r="F15" s="101"/>
    </row>
    <row r="16" spans="1:9" ht="24.9" customHeight="1">
      <c r="A16" s="102"/>
      <c r="B16" s="103"/>
      <c r="C16" s="104" t="s">
        <v>10</v>
      </c>
      <c r="D16" s="104"/>
      <c r="E16" s="104"/>
      <c r="F16" s="101"/>
    </row>
    <row r="17" spans="1:6" ht="24.9" customHeight="1">
      <c r="A17" s="102"/>
      <c r="B17" s="103" t="s">
        <v>10</v>
      </c>
      <c r="C17" s="104" t="s">
        <v>83</v>
      </c>
      <c r="D17" s="104"/>
      <c r="E17" s="104"/>
      <c r="F17" s="101"/>
    </row>
    <row r="18" spans="1:6" ht="24.9" customHeight="1">
      <c r="A18" s="102"/>
      <c r="B18" s="103"/>
      <c r="C18" s="104" t="s">
        <v>10</v>
      </c>
      <c r="D18" s="104"/>
      <c r="E18" s="104"/>
      <c r="F18" s="101"/>
    </row>
    <row r="19" spans="1:6" ht="24.9" customHeight="1">
      <c r="A19" s="102"/>
      <c r="B19" s="103"/>
      <c r="C19" s="105" t="s">
        <v>10</v>
      </c>
      <c r="D19" s="104"/>
      <c r="E19" s="104"/>
      <c r="F19" s="101"/>
    </row>
    <row r="20" spans="1:6" ht="24.9" customHeight="1">
      <c r="A20" s="102"/>
      <c r="B20" s="103"/>
      <c r="C20" s="105" t="s">
        <v>10</v>
      </c>
      <c r="D20" s="104"/>
      <c r="E20" s="104"/>
      <c r="F20" s="101"/>
    </row>
    <row r="21" spans="1:6" ht="24.9" customHeight="1">
      <c r="A21" s="102"/>
      <c r="B21" s="103"/>
      <c r="C21" s="105" t="s">
        <v>10</v>
      </c>
      <c r="D21" s="104"/>
      <c r="E21" s="104"/>
      <c r="F21" s="101"/>
    </row>
    <row r="22" spans="1:6" ht="24.9" customHeight="1">
      <c r="A22" s="102"/>
      <c r="B22" s="103"/>
      <c r="C22" s="105" t="s">
        <v>10</v>
      </c>
      <c r="D22" s="104"/>
      <c r="E22" s="104"/>
      <c r="F22" s="101"/>
    </row>
    <row r="23" spans="1:6" ht="24.9" customHeight="1">
      <c r="A23" s="102"/>
      <c r="B23" s="103"/>
      <c r="C23" s="105"/>
      <c r="D23" s="104"/>
      <c r="E23" s="104"/>
      <c r="F23" s="101"/>
    </row>
    <row r="24" spans="1:6" ht="24.9" customHeight="1">
      <c r="A24" s="102"/>
      <c r="B24" s="103"/>
      <c r="C24" s="105"/>
      <c r="D24" s="104"/>
      <c r="E24" s="104"/>
      <c r="F24" s="101"/>
    </row>
    <row r="25" spans="1:6" ht="24.9" customHeight="1">
      <c r="A25" s="102"/>
      <c r="B25" s="103"/>
      <c r="C25" s="105"/>
      <c r="D25" s="104"/>
      <c r="E25" s="104"/>
      <c r="F25" s="101"/>
    </row>
    <row r="26" spans="1:6" ht="24.9" customHeight="1">
      <c r="A26" s="102"/>
      <c r="B26" s="103"/>
      <c r="C26" s="105"/>
      <c r="D26" s="104"/>
      <c r="E26" s="104"/>
      <c r="F26" s="101"/>
    </row>
    <row r="27" spans="1:6" ht="33.049999999999997" customHeight="1">
      <c r="A27" s="102"/>
      <c r="B27" s="103"/>
      <c r="C27" s="105"/>
      <c r="D27" s="104"/>
      <c r="E27" s="104"/>
      <c r="F27" s="101"/>
    </row>
    <row r="28" spans="1:6" ht="17.05" customHeight="1">
      <c r="A28" s="102"/>
      <c r="B28" s="103"/>
      <c r="C28" s="105" t="s">
        <v>10</v>
      </c>
      <c r="D28" s="104"/>
      <c r="E28" s="104"/>
      <c r="F28" s="101"/>
    </row>
    <row r="29" spans="1:6" ht="24.9" customHeight="1">
      <c r="A29" s="102"/>
      <c r="B29" s="103"/>
      <c r="C29" s="105" t="s">
        <v>10</v>
      </c>
      <c r="D29" s="104"/>
      <c r="E29" s="104"/>
      <c r="F29" s="101"/>
    </row>
    <row r="30" spans="1:6" ht="8.35" customHeight="1">
      <c r="A30" s="102"/>
      <c r="B30" s="103"/>
      <c r="C30" s="105" t="s">
        <v>10</v>
      </c>
      <c r="D30" s="104"/>
      <c r="E30" s="104"/>
      <c r="F30" s="101"/>
    </row>
    <row r="31" spans="1:6" ht="22.95" customHeight="1">
      <c r="A31" s="102"/>
      <c r="B31" s="103"/>
      <c r="C31" s="105" t="s">
        <v>10</v>
      </c>
      <c r="D31" s="104"/>
      <c r="E31" s="104"/>
      <c r="F31" s="101"/>
    </row>
    <row r="32" spans="1:6" ht="35.200000000000003" customHeight="1" thickBot="1">
      <c r="A32" s="106"/>
      <c r="B32" s="107"/>
      <c r="C32" s="108" t="s">
        <v>10</v>
      </c>
      <c r="D32" s="96"/>
      <c r="E32" s="96"/>
      <c r="F32" s="109"/>
    </row>
  </sheetData>
  <mergeCells count="8">
    <mergeCell ref="A1:F1"/>
    <mergeCell ref="A2:F2"/>
    <mergeCell ref="A3:F3"/>
    <mergeCell ref="A4:F4"/>
    <mergeCell ref="A5:B5"/>
    <mergeCell ref="C5:C6"/>
    <mergeCell ref="D5:E5"/>
    <mergeCell ref="F5:F6"/>
  </mergeCells>
  <phoneticPr fontId="5" type="noConversion"/>
  <printOptions horizontalCentered="1"/>
  <pageMargins left="0.59055118110236227" right="0.59055118110236227" top="0.59055118110236227" bottom="0.78740157480314965" header="0.51181102362204722" footer="0.51181102362204722"/>
  <pageSetup paperSize="9" firstPageNumber="17" orientation="portrait" useFirstPageNumber="1" r:id="rId1"/>
  <headerFooter alignWithMargins="0">
    <oddFooter>&amp;C&amp;"Times New Roman,標準"&amp;P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H43"/>
  <sheetViews>
    <sheetView view="pageBreakPreview" topLeftCell="A39" zoomScaleNormal="100" zoomScaleSheetLayoutView="100" workbookViewId="0">
      <selection activeCell="A4" sqref="A4:F4"/>
    </sheetView>
  </sheetViews>
  <sheetFormatPr defaultColWidth="9" defaultRowHeight="15.05"/>
  <cols>
    <col min="1" max="1" width="41.875" style="6" customWidth="1"/>
    <col min="2" max="2" width="14.125" style="6" customWidth="1"/>
    <col min="3" max="3" width="15.625" style="6" customWidth="1"/>
    <col min="4" max="4" width="12.625" style="6" customWidth="1"/>
    <col min="5" max="5" width="5.625" style="6" customWidth="1"/>
    <col min="6" max="6" width="39" style="6" customWidth="1"/>
    <col min="7" max="7" width="9" style="6"/>
    <col min="8" max="8" width="26.375" style="6" customWidth="1"/>
    <col min="9" max="9" width="19.875" style="6" customWidth="1"/>
    <col min="10" max="16384" width="9" style="6"/>
  </cols>
  <sheetData>
    <row r="1" spans="1:8" s="2" customFormat="1" ht="22.25">
      <c r="A1" s="1266" t="s">
        <v>395</v>
      </c>
      <c r="B1" s="1266"/>
      <c r="C1" s="1266"/>
      <c r="D1" s="1266"/>
      <c r="E1" s="1266"/>
      <c r="F1" s="1"/>
      <c r="G1" s="1"/>
      <c r="H1" s="1"/>
    </row>
    <row r="2" spans="1:8" s="2" customFormat="1" ht="22.25">
      <c r="A2" s="1266" t="s">
        <v>396</v>
      </c>
      <c r="B2" s="1266"/>
      <c r="C2" s="1266"/>
      <c r="D2" s="1266"/>
      <c r="E2" s="1266"/>
      <c r="F2" s="1"/>
      <c r="G2" s="1"/>
      <c r="H2" s="1"/>
    </row>
    <row r="3" spans="1:8" s="2" customFormat="1" ht="24.75" customHeight="1">
      <c r="A3" s="1267" t="s">
        <v>1656</v>
      </c>
      <c r="B3" s="1268"/>
      <c r="C3" s="1268"/>
      <c r="D3" s="1268"/>
      <c r="E3" s="1268"/>
      <c r="F3" s="3"/>
      <c r="G3" s="3"/>
      <c r="H3" s="3"/>
    </row>
    <row r="4" spans="1:8" s="2" customFormat="1" ht="24.9" customHeight="1" thickBot="1">
      <c r="A4" s="1316" t="s">
        <v>1648</v>
      </c>
      <c r="B4" s="1287"/>
      <c r="C4" s="1287"/>
      <c r="D4" s="1287"/>
      <c r="E4" s="1287"/>
      <c r="F4" s="4"/>
      <c r="G4" s="4"/>
      <c r="H4" s="4"/>
    </row>
    <row r="5" spans="1:8">
      <c r="A5" s="1310" t="s">
        <v>397</v>
      </c>
      <c r="B5" s="1313" t="s">
        <v>398</v>
      </c>
      <c r="C5" s="1317" t="s">
        <v>63</v>
      </c>
      <c r="D5" s="1318"/>
      <c r="E5" s="1319"/>
      <c r="F5" s="4"/>
      <c r="G5" s="4"/>
      <c r="H5" s="4"/>
    </row>
    <row r="6" spans="1:8" ht="11.95" customHeight="1">
      <c r="A6" s="1311"/>
      <c r="B6" s="1314"/>
      <c r="C6" s="1320"/>
      <c r="D6" s="1321"/>
      <c r="E6" s="1322"/>
      <c r="F6" s="4"/>
      <c r="G6" s="4"/>
      <c r="H6" s="4"/>
    </row>
    <row r="7" spans="1:8" ht="7.55" customHeight="1">
      <c r="A7" s="1312"/>
      <c r="B7" s="1315"/>
      <c r="C7" s="1323"/>
      <c r="D7" s="1324"/>
      <c r="E7" s="1325"/>
    </row>
    <row r="8" spans="1:8" ht="5.25" customHeight="1">
      <c r="A8" s="690"/>
      <c r="B8" s="691"/>
      <c r="C8" s="84"/>
      <c r="D8" s="133"/>
      <c r="E8" s="87"/>
    </row>
    <row r="9" spans="1:8" s="9" customFormat="1" ht="29" customHeight="1">
      <c r="A9" s="134" t="s">
        <v>416</v>
      </c>
      <c r="B9" s="135"/>
      <c r="C9" s="136"/>
      <c r="D9" s="137"/>
      <c r="E9" s="921"/>
    </row>
    <row r="10" spans="1:8" s="30" customFormat="1" ht="29" customHeight="1">
      <c r="A10" s="139" t="s">
        <v>377</v>
      </c>
      <c r="B10" s="186">
        <v>0</v>
      </c>
      <c r="C10" s="140"/>
      <c r="D10" s="141"/>
      <c r="E10" s="921"/>
    </row>
    <row r="11" spans="1:8" s="30" customFormat="1" ht="29" customHeight="1">
      <c r="A11" s="139" t="s">
        <v>546</v>
      </c>
      <c r="B11" s="31">
        <f>-D11+D12</f>
        <v>-6402828</v>
      </c>
      <c r="C11" s="919" t="s">
        <v>431</v>
      </c>
      <c r="D11" s="918">
        <v>6416646</v>
      </c>
      <c r="E11" s="920" t="s">
        <v>65</v>
      </c>
    </row>
    <row r="12" spans="1:8" s="30" customFormat="1" ht="29" customHeight="1">
      <c r="A12" s="139"/>
      <c r="B12" s="67"/>
      <c r="C12" s="919" t="s">
        <v>329</v>
      </c>
      <c r="D12" s="918">
        <v>13818</v>
      </c>
      <c r="E12" s="920" t="s">
        <v>65</v>
      </c>
    </row>
    <row r="13" spans="1:8" s="30" customFormat="1" ht="29" customHeight="1">
      <c r="A13" s="139" t="s">
        <v>547</v>
      </c>
      <c r="B13" s="31">
        <f>+B10+B11</f>
        <v>-6402828</v>
      </c>
      <c r="C13" s="140"/>
      <c r="D13" s="141"/>
      <c r="E13" s="921"/>
    </row>
    <row r="14" spans="1:8" s="30" customFormat="1" ht="29" customHeight="1">
      <c r="A14" s="139" t="s">
        <v>538</v>
      </c>
      <c r="B14" s="142">
        <f>D14+D15+D16+D17+D18+D19+D20</f>
        <v>-13751278</v>
      </c>
      <c r="C14" s="919" t="s">
        <v>789</v>
      </c>
      <c r="D14" s="918">
        <v>917868</v>
      </c>
      <c r="E14" s="920" t="s">
        <v>65</v>
      </c>
      <c r="F14" s="35"/>
    </row>
    <row r="15" spans="1:8" s="9" customFormat="1" ht="29" customHeight="1">
      <c r="A15" s="139"/>
      <c r="B15" s="142"/>
      <c r="C15" s="919" t="s">
        <v>365</v>
      </c>
      <c r="D15" s="918">
        <v>-14784100</v>
      </c>
      <c r="E15" s="920" t="s">
        <v>65</v>
      </c>
    </row>
    <row r="16" spans="1:8" s="30" customFormat="1" ht="29" customHeight="1">
      <c r="A16" s="139"/>
      <c r="B16" s="142"/>
      <c r="C16" s="919" t="s">
        <v>381</v>
      </c>
      <c r="D16" s="918">
        <v>16155</v>
      </c>
      <c r="E16" s="920" t="s">
        <v>65</v>
      </c>
      <c r="F16" s="35"/>
    </row>
    <row r="17" spans="1:8" s="9" customFormat="1" ht="29" customHeight="1">
      <c r="A17" s="139"/>
      <c r="B17" s="142"/>
      <c r="C17" s="919" t="s">
        <v>543</v>
      </c>
      <c r="D17" s="918">
        <v>609</v>
      </c>
      <c r="E17" s="920" t="s">
        <v>65</v>
      </c>
    </row>
    <row r="18" spans="1:8" s="30" customFormat="1" ht="29" customHeight="1">
      <c r="A18" s="139" t="s">
        <v>417</v>
      </c>
      <c r="B18" s="31"/>
      <c r="C18" s="919" t="s">
        <v>938</v>
      </c>
      <c r="D18" s="918">
        <v>184358</v>
      </c>
      <c r="E18" s="920" t="s">
        <v>65</v>
      </c>
      <c r="F18" s="36"/>
      <c r="H18" s="10"/>
    </row>
    <row r="19" spans="1:8" s="9" customFormat="1" ht="29" customHeight="1">
      <c r="A19" s="139" t="s">
        <v>417</v>
      </c>
      <c r="B19" s="31"/>
      <c r="C19" s="919" t="s">
        <v>788</v>
      </c>
      <c r="D19" s="918">
        <v>-25253</v>
      </c>
      <c r="E19" s="920" t="s">
        <v>65</v>
      </c>
    </row>
    <row r="20" spans="1:8" s="9" customFormat="1" ht="29" customHeight="1">
      <c r="A20" s="139" t="s">
        <v>417</v>
      </c>
      <c r="B20" s="31"/>
      <c r="C20" s="919" t="s">
        <v>790</v>
      </c>
      <c r="D20" s="918">
        <v>-60915</v>
      </c>
      <c r="E20" s="920" t="s">
        <v>65</v>
      </c>
    </row>
    <row r="21" spans="1:8" s="30" customFormat="1" ht="29" customHeight="1">
      <c r="A21" s="139" t="s">
        <v>548</v>
      </c>
      <c r="B21" s="31">
        <f>+B13+B14</f>
        <v>-20154106</v>
      </c>
      <c r="C21" s="140"/>
      <c r="D21" s="141"/>
      <c r="E21" s="921"/>
    </row>
    <row r="22" spans="1:8" s="30" customFormat="1" ht="29" customHeight="1">
      <c r="A22" s="139" t="s">
        <v>549</v>
      </c>
      <c r="B22" s="31">
        <v>421</v>
      </c>
      <c r="C22" s="1326" t="s">
        <v>947</v>
      </c>
      <c r="D22" s="1327"/>
      <c r="E22" s="1328"/>
    </row>
    <row r="23" spans="1:8" s="9" customFormat="1" ht="29" customHeight="1">
      <c r="A23" s="134" t="s">
        <v>419</v>
      </c>
      <c r="B23" s="27">
        <f>+B21+B22</f>
        <v>-20153685</v>
      </c>
      <c r="C23" s="360"/>
      <c r="D23" s="361"/>
      <c r="E23" s="920"/>
    </row>
    <row r="24" spans="1:8" s="9" customFormat="1" ht="29" customHeight="1">
      <c r="A24" s="134" t="s">
        <v>420</v>
      </c>
      <c r="B24" s="27"/>
      <c r="C24" s="362"/>
      <c r="D24" s="363"/>
      <c r="E24" s="364"/>
    </row>
    <row r="25" spans="1:8" s="9" customFormat="1" ht="74.95" customHeight="1">
      <c r="A25" s="139" t="s">
        <v>421</v>
      </c>
      <c r="B25" s="31">
        <v>5822990</v>
      </c>
      <c r="C25" s="1306" t="s">
        <v>1779</v>
      </c>
      <c r="D25" s="1307"/>
      <c r="E25" s="1308"/>
    </row>
    <row r="26" spans="1:8" s="9" customFormat="1" ht="96.55" customHeight="1" thickBot="1">
      <c r="A26" s="475" t="s">
        <v>422</v>
      </c>
      <c r="B26" s="99">
        <v>21297545</v>
      </c>
      <c r="C26" s="1329" t="s">
        <v>1780</v>
      </c>
      <c r="D26" s="1330"/>
      <c r="E26" s="1331"/>
    </row>
    <row r="27" spans="1:8" s="9" customFormat="1" ht="1.1499999999999999" hidden="1" customHeight="1">
      <c r="A27" s="139" t="s">
        <v>423</v>
      </c>
      <c r="B27" s="31">
        <v>0</v>
      </c>
      <c r="C27" s="1309" t="s">
        <v>544</v>
      </c>
      <c r="D27" s="1307"/>
      <c r="E27" s="1308"/>
    </row>
    <row r="28" spans="1:8" s="9" customFormat="1" ht="36" customHeight="1">
      <c r="A28" s="139" t="s">
        <v>541</v>
      </c>
      <c r="B28" s="31">
        <v>6563326</v>
      </c>
      <c r="C28" s="1335" t="s">
        <v>1781</v>
      </c>
      <c r="D28" s="1327"/>
      <c r="E28" s="1328"/>
    </row>
    <row r="29" spans="1:8" s="9" customFormat="1" ht="81.650000000000006" customHeight="1">
      <c r="A29" s="139" t="s">
        <v>424</v>
      </c>
      <c r="B29" s="31">
        <v>-1909191</v>
      </c>
      <c r="C29" s="1309" t="s">
        <v>1617</v>
      </c>
      <c r="D29" s="1307"/>
      <c r="E29" s="1308"/>
    </row>
    <row r="30" spans="1:8" s="9" customFormat="1" ht="96.55" customHeight="1">
      <c r="A30" s="139" t="s">
        <v>425</v>
      </c>
      <c r="B30" s="31">
        <v>-14072460</v>
      </c>
      <c r="C30" s="1309" t="s">
        <v>1618</v>
      </c>
      <c r="D30" s="1307"/>
      <c r="E30" s="1308"/>
    </row>
    <row r="31" spans="1:8" s="9" customFormat="1" ht="33.549999999999997" hidden="1" customHeight="1">
      <c r="A31" s="139" t="s">
        <v>426</v>
      </c>
      <c r="B31" s="31">
        <v>0</v>
      </c>
      <c r="C31" s="1309" t="s">
        <v>1551</v>
      </c>
      <c r="D31" s="1307"/>
      <c r="E31" s="1308"/>
    </row>
    <row r="32" spans="1:8" s="9" customFormat="1" ht="31.75" customHeight="1">
      <c r="A32" s="134" t="s">
        <v>427</v>
      </c>
      <c r="B32" s="27">
        <f>SUM(B25:B31)</f>
        <v>17702210</v>
      </c>
      <c r="C32" s="360"/>
      <c r="D32" s="361"/>
      <c r="E32" s="364"/>
    </row>
    <row r="33" spans="1:5" s="9" customFormat="1" ht="31.75" customHeight="1">
      <c r="A33" s="134" t="s">
        <v>428</v>
      </c>
      <c r="B33" s="143"/>
      <c r="C33" s="365"/>
      <c r="D33" s="366"/>
      <c r="E33" s="364"/>
    </row>
    <row r="34" spans="1:5" s="378" customFormat="1" ht="44.35" hidden="1" customHeight="1">
      <c r="A34" s="139" t="s">
        <v>429</v>
      </c>
      <c r="B34" s="31">
        <v>0</v>
      </c>
      <c r="C34" s="1334" t="s">
        <v>1523</v>
      </c>
      <c r="D34" s="1327"/>
      <c r="E34" s="1328"/>
    </row>
    <row r="35" spans="1:5" s="378" customFormat="1" ht="37.15" customHeight="1">
      <c r="A35" s="139" t="s">
        <v>430</v>
      </c>
      <c r="B35" s="31">
        <v>-347000</v>
      </c>
      <c r="C35" s="1334" t="s">
        <v>1616</v>
      </c>
      <c r="D35" s="1327"/>
      <c r="E35" s="1328"/>
    </row>
    <row r="36" spans="1:5" s="378" customFormat="1" ht="31.25" customHeight="1">
      <c r="A36" s="139" t="s">
        <v>550</v>
      </c>
      <c r="B36" s="31">
        <v>-13818</v>
      </c>
      <c r="C36" s="1334" t="s">
        <v>944</v>
      </c>
      <c r="D36" s="1327"/>
      <c r="E36" s="1328"/>
    </row>
    <row r="37" spans="1:5" s="9" customFormat="1" ht="31.25" customHeight="1">
      <c r="A37" s="134" t="s">
        <v>371</v>
      </c>
      <c r="B37" s="77">
        <f>SUM(B34:B36)</f>
        <v>-360818</v>
      </c>
      <c r="C37" s="367"/>
      <c r="D37" s="368"/>
      <c r="E37" s="683"/>
    </row>
    <row r="38" spans="1:5" s="9" customFormat="1" ht="31.25" customHeight="1">
      <c r="A38" s="134" t="s">
        <v>372</v>
      </c>
      <c r="B38" s="77">
        <f>B23+B32+B37</f>
        <v>-2812293</v>
      </c>
      <c r="C38" s="370"/>
      <c r="D38" s="371"/>
      <c r="E38" s="364"/>
    </row>
    <row r="39" spans="1:5" s="9" customFormat="1" ht="31.25" customHeight="1">
      <c r="A39" s="134" t="s">
        <v>418</v>
      </c>
      <c r="B39" s="77">
        <v>42206622</v>
      </c>
      <c r="C39" s="370"/>
      <c r="D39" s="371"/>
      <c r="E39" s="364"/>
    </row>
    <row r="40" spans="1:5" s="9" customFormat="1" ht="31.25" customHeight="1">
      <c r="A40" s="695" t="s">
        <v>432</v>
      </c>
      <c r="B40" s="77">
        <v>39394329</v>
      </c>
      <c r="C40" s="371"/>
      <c r="D40" s="371"/>
      <c r="E40" s="364"/>
    </row>
    <row r="41" spans="1:5" s="9" customFormat="1" ht="15.55" customHeight="1">
      <c r="A41" s="695"/>
      <c r="B41" s="77"/>
      <c r="C41" s="371"/>
      <c r="D41" s="371"/>
      <c r="E41" s="364"/>
    </row>
    <row r="42" spans="1:5" s="9" customFormat="1" ht="17.05" customHeight="1" thickBot="1">
      <c r="A42" s="468"/>
      <c r="B42" s="275"/>
      <c r="C42" s="374"/>
      <c r="D42" s="375"/>
      <c r="E42" s="684"/>
    </row>
    <row r="43" spans="1:5" ht="138.15" customHeight="1">
      <c r="A43" s="1332" t="s">
        <v>1798</v>
      </c>
      <c r="B43" s="1333"/>
      <c r="C43" s="1333"/>
      <c r="D43" s="1333"/>
      <c r="E43" s="1333"/>
    </row>
  </sheetData>
  <mergeCells count="19">
    <mergeCell ref="A43:E43"/>
    <mergeCell ref="C36:E36"/>
    <mergeCell ref="C28:E28"/>
    <mergeCell ref="C35:E35"/>
    <mergeCell ref="C29:E29"/>
    <mergeCell ref="C30:E30"/>
    <mergeCell ref="C34:E34"/>
    <mergeCell ref="C25:E25"/>
    <mergeCell ref="C31:E31"/>
    <mergeCell ref="A1:E1"/>
    <mergeCell ref="A5:A7"/>
    <mergeCell ref="B5:B7"/>
    <mergeCell ref="A4:E4"/>
    <mergeCell ref="A3:E3"/>
    <mergeCell ref="A2:E2"/>
    <mergeCell ref="C5:E7"/>
    <mergeCell ref="C22:E22"/>
    <mergeCell ref="C26:E26"/>
    <mergeCell ref="C27:E27"/>
  </mergeCells>
  <phoneticPr fontId="5" type="noConversion"/>
  <printOptions horizontalCentered="1"/>
  <pageMargins left="0.59055118110236227" right="0.59055118110236227" top="0.59055118110236227" bottom="0.78740157480314965" header="0.51181102362204722" footer="0.51181102362204722"/>
  <pageSetup paperSize="9" firstPageNumber="18" orientation="portrait" useFirstPageNumber="1" r:id="rId1"/>
  <headerFooter alignWithMargins="0">
    <oddFooter>&amp;C&amp;"Times New Roman,標準"&amp;P</oddFooter>
  </headerFooter>
  <rowBreaks count="1" manualBreakCount="1">
    <brk id="2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I25"/>
  <sheetViews>
    <sheetView view="pageBreakPreview" zoomScaleNormal="100" zoomScaleSheetLayoutView="100" workbookViewId="0">
      <selection activeCell="A4" sqref="A4:F4"/>
    </sheetView>
  </sheetViews>
  <sheetFormatPr defaultColWidth="9" defaultRowHeight="15.05"/>
  <cols>
    <col min="1" max="1" width="26" style="6" customWidth="1"/>
    <col min="2" max="2" width="5.5" style="6" bestFit="1" customWidth="1"/>
    <col min="3" max="3" width="14.25" style="6" bestFit="1" customWidth="1"/>
    <col min="4" max="4" width="8.875" style="19" bestFit="1" customWidth="1"/>
    <col min="5" max="5" width="11.75" style="6" customWidth="1"/>
    <col min="6" max="6" width="23.875" style="6" customWidth="1"/>
    <col min="7" max="16384" width="9" style="6"/>
  </cols>
  <sheetData>
    <row r="1" spans="1:9" ht="22.25">
      <c r="A1" s="1266" t="s">
        <v>59</v>
      </c>
      <c r="B1" s="1266"/>
      <c r="C1" s="1266"/>
      <c r="D1" s="1266"/>
      <c r="E1" s="1266"/>
      <c r="F1" s="1266"/>
    </row>
    <row r="2" spans="1:9" ht="22.25">
      <c r="A2" s="1266" t="s">
        <v>60</v>
      </c>
      <c r="B2" s="1266"/>
      <c r="C2" s="1266"/>
      <c r="D2" s="1266"/>
      <c r="E2" s="1266"/>
      <c r="F2" s="1266"/>
    </row>
    <row r="3" spans="1:9" ht="24.75" customHeight="1">
      <c r="A3" s="1267" t="s">
        <v>341</v>
      </c>
      <c r="B3" s="1268"/>
      <c r="C3" s="1268"/>
      <c r="D3" s="1268"/>
      <c r="E3" s="1268"/>
      <c r="F3" s="1268"/>
    </row>
    <row r="4" spans="1:9" ht="24.75" customHeight="1" thickBot="1">
      <c r="A4" s="1336" t="s">
        <v>1770</v>
      </c>
      <c r="B4" s="1270"/>
      <c r="C4" s="1270"/>
      <c r="D4" s="1270"/>
      <c r="E4" s="1270"/>
      <c r="F4" s="1270"/>
      <c r="G4" s="4"/>
      <c r="H4" s="4"/>
      <c r="I4" s="4"/>
    </row>
    <row r="5" spans="1:9" ht="15.75" customHeight="1">
      <c r="A5" s="1337" t="s">
        <v>342</v>
      </c>
      <c r="B5" s="1338"/>
      <c r="C5" s="1343" t="s">
        <v>343</v>
      </c>
      <c r="D5" s="1344"/>
      <c r="E5" s="1349" t="s">
        <v>344</v>
      </c>
      <c r="F5" s="1350"/>
    </row>
    <row r="6" spans="1:9" ht="15.75" customHeight="1">
      <c r="A6" s="1339"/>
      <c r="B6" s="1340"/>
      <c r="C6" s="1345"/>
      <c r="D6" s="1346"/>
      <c r="E6" s="1351"/>
      <c r="F6" s="1352"/>
    </row>
    <row r="7" spans="1:9">
      <c r="A7" s="1341"/>
      <c r="B7" s="1342"/>
      <c r="C7" s="1347"/>
      <c r="D7" s="1348"/>
      <c r="E7" s="1353"/>
      <c r="F7" s="1354"/>
    </row>
    <row r="8" spans="1:9" ht="11.3" customHeight="1">
      <c r="A8" s="1355"/>
      <c r="B8" s="1356"/>
      <c r="C8" s="1363"/>
      <c r="D8" s="1373"/>
      <c r="E8" s="1363"/>
      <c r="F8" s="1364"/>
    </row>
    <row r="9" spans="1:9" s="30" customFormat="1" ht="39.950000000000003" customHeight="1">
      <c r="A9" s="1357" t="s">
        <v>433</v>
      </c>
      <c r="B9" s="1358"/>
      <c r="C9" s="1374">
        <f>+C10</f>
        <v>280944</v>
      </c>
      <c r="D9" s="1375"/>
      <c r="E9" s="1359" t="s">
        <v>682</v>
      </c>
      <c r="F9" s="1360"/>
    </row>
    <row r="10" spans="1:9" s="9" customFormat="1" ht="39.950000000000003" customHeight="1">
      <c r="A10" s="1357" t="s">
        <v>434</v>
      </c>
      <c r="B10" s="1358"/>
      <c r="C10" s="1374">
        <f>+C11</f>
        <v>280944</v>
      </c>
      <c r="D10" s="1375"/>
      <c r="E10" s="1361"/>
      <c r="F10" s="1362"/>
    </row>
    <row r="11" spans="1:9" s="30" customFormat="1" ht="39.950000000000003" customHeight="1">
      <c r="A11" s="1357" t="s">
        <v>435</v>
      </c>
      <c r="B11" s="1358" t="s">
        <v>436</v>
      </c>
      <c r="C11" s="1374">
        <f>+C12</f>
        <v>280944</v>
      </c>
      <c r="D11" s="1375"/>
      <c r="E11" s="1359" t="s">
        <v>1635</v>
      </c>
      <c r="F11" s="1365"/>
    </row>
    <row r="12" spans="1:9" s="30" customFormat="1" ht="39.950000000000003" customHeight="1">
      <c r="A12" s="1367" t="s">
        <v>437</v>
      </c>
      <c r="B12" s="1368" t="s">
        <v>436</v>
      </c>
      <c r="C12" s="1376">
        <v>280944</v>
      </c>
      <c r="D12" s="1377"/>
      <c r="E12" s="1366"/>
      <c r="F12" s="1365"/>
    </row>
    <row r="13" spans="1:9" s="30" customFormat="1" ht="36.85" customHeight="1">
      <c r="A13" s="1369"/>
      <c r="B13" s="1370"/>
      <c r="C13" s="1378"/>
      <c r="D13" s="1379"/>
      <c r="E13" s="1361"/>
      <c r="F13" s="1362"/>
    </row>
    <row r="14" spans="1:9" s="30" customFormat="1" ht="31.6" customHeight="1">
      <c r="A14" s="1369"/>
      <c r="B14" s="1370"/>
      <c r="C14" s="1378"/>
      <c r="D14" s="1379"/>
      <c r="E14" s="1361"/>
      <c r="F14" s="1362"/>
    </row>
    <row r="15" spans="1:9" s="30" customFormat="1" ht="27" customHeight="1">
      <c r="A15" s="1369"/>
      <c r="B15" s="1370"/>
      <c r="C15" s="1378"/>
      <c r="D15" s="1379"/>
      <c r="E15" s="1361"/>
      <c r="F15" s="1362"/>
    </row>
    <row r="16" spans="1:9" s="30" customFormat="1" ht="27" customHeight="1">
      <c r="A16" s="1369"/>
      <c r="B16" s="1370"/>
      <c r="C16" s="1378"/>
      <c r="D16" s="1379"/>
      <c r="E16" s="1361"/>
      <c r="F16" s="1362"/>
    </row>
    <row r="17" spans="1:7" s="30" customFormat="1" ht="26.2" customHeight="1">
      <c r="A17" s="1369"/>
      <c r="B17" s="1370"/>
      <c r="C17" s="1378"/>
      <c r="D17" s="1379"/>
      <c r="E17" s="1361"/>
      <c r="F17" s="1362"/>
    </row>
    <row r="18" spans="1:7" s="30" customFormat="1" ht="86.25" customHeight="1">
      <c r="A18" s="1369"/>
      <c r="B18" s="1370"/>
      <c r="C18" s="1378"/>
      <c r="D18" s="1379"/>
      <c r="E18" s="1361"/>
      <c r="F18" s="1362"/>
    </row>
    <row r="19" spans="1:7" s="30" customFormat="1" ht="26.2" customHeight="1">
      <c r="A19" s="1369"/>
      <c r="B19" s="1370"/>
      <c r="C19" s="1378"/>
      <c r="D19" s="1379"/>
      <c r="E19" s="1361"/>
      <c r="F19" s="1362"/>
    </row>
    <row r="20" spans="1:7" s="30" customFormat="1" ht="57.8" customHeight="1">
      <c r="A20" s="1369"/>
      <c r="B20" s="1370"/>
      <c r="C20" s="1378"/>
      <c r="D20" s="1379"/>
      <c r="E20" s="1361"/>
      <c r="F20" s="1362"/>
    </row>
    <row r="21" spans="1:7" s="30" customFormat="1" ht="32.4" customHeight="1">
      <c r="A21" s="1369"/>
      <c r="B21" s="1370"/>
      <c r="C21" s="1378"/>
      <c r="D21" s="1379"/>
      <c r="E21" s="1361"/>
      <c r="F21" s="1362"/>
    </row>
    <row r="22" spans="1:7" s="30" customFormat="1" ht="59.4" customHeight="1">
      <c r="A22" s="1369"/>
      <c r="B22" s="1370"/>
      <c r="C22" s="1378"/>
      <c r="D22" s="1379"/>
      <c r="E22" s="1361"/>
      <c r="F22" s="1362"/>
      <c r="G22" s="32"/>
    </row>
    <row r="23" spans="1:7" s="30" customFormat="1" ht="20.3" customHeight="1">
      <c r="A23" s="1369"/>
      <c r="B23" s="1370"/>
      <c r="C23" s="1378"/>
      <c r="D23" s="1379"/>
      <c r="E23" s="1361"/>
      <c r="F23" s="1362"/>
    </row>
    <row r="24" spans="1:7" s="30" customFormat="1" ht="28.5" customHeight="1" thickBot="1">
      <c r="A24" s="1371"/>
      <c r="B24" s="1372"/>
      <c r="C24" s="1380"/>
      <c r="D24" s="1381"/>
      <c r="E24" s="1383"/>
      <c r="F24" s="1384"/>
    </row>
    <row r="25" spans="1:7" s="30" customFormat="1" ht="0.85" hidden="1" customHeight="1">
      <c r="A25" s="439"/>
      <c r="B25" s="440"/>
      <c r="C25" s="1378"/>
      <c r="D25" s="1382"/>
      <c r="E25" s="31"/>
      <c r="F25" s="340"/>
    </row>
  </sheetData>
  <mergeCells count="58">
    <mergeCell ref="C22:D22"/>
    <mergeCell ref="C23:D23"/>
    <mergeCell ref="C24:D24"/>
    <mergeCell ref="C25:D25"/>
    <mergeCell ref="E13:F13"/>
    <mergeCell ref="E14:F14"/>
    <mergeCell ref="E15:F15"/>
    <mergeCell ref="E16:F16"/>
    <mergeCell ref="E17:F17"/>
    <mergeCell ref="E23:F23"/>
    <mergeCell ref="E24:F24"/>
    <mergeCell ref="E18:F18"/>
    <mergeCell ref="E19:F19"/>
    <mergeCell ref="E20:F20"/>
    <mergeCell ref="E21:F21"/>
    <mergeCell ref="E22:F22"/>
    <mergeCell ref="A23:B23"/>
    <mergeCell ref="A24:B24"/>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A18:B18"/>
    <mergeCell ref="A19:B19"/>
    <mergeCell ref="A20:B20"/>
    <mergeCell ref="A21:B21"/>
    <mergeCell ref="A22:B22"/>
    <mergeCell ref="A13:B13"/>
    <mergeCell ref="A14:B14"/>
    <mergeCell ref="A15:B15"/>
    <mergeCell ref="A16:B16"/>
    <mergeCell ref="A17:B17"/>
    <mergeCell ref="A8:B8"/>
    <mergeCell ref="A9:B9"/>
    <mergeCell ref="A10:B10"/>
    <mergeCell ref="A11:B11"/>
    <mergeCell ref="E9:F9"/>
    <mergeCell ref="E10:F10"/>
    <mergeCell ref="E8:F8"/>
    <mergeCell ref="E11:F12"/>
    <mergeCell ref="A12:B12"/>
    <mergeCell ref="A1:F1"/>
    <mergeCell ref="A4:F4"/>
    <mergeCell ref="A3:F3"/>
    <mergeCell ref="A2:F2"/>
    <mergeCell ref="A5:B7"/>
    <mergeCell ref="C5:D7"/>
    <mergeCell ref="E5:F7"/>
  </mergeCells>
  <phoneticPr fontId="5" type="noConversion"/>
  <printOptions horizontalCentered="1"/>
  <pageMargins left="0.59055118110236227" right="0.59055118110236227" top="0.59055118110236227" bottom="0.78740157480314965" header="0.51181102362204722" footer="0.51181102362204722"/>
  <pageSetup paperSize="9" firstPageNumber="21" orientation="portrait" useFirstPageNumber="1" r:id="rId1"/>
  <headerFooter alignWithMargins="0">
    <oddFooter>&amp;C&amp;"Times New Roman,標準"&amp;P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O58"/>
  <sheetViews>
    <sheetView view="pageBreakPreview" topLeftCell="A4" zoomScaleNormal="100" zoomScaleSheetLayoutView="100" workbookViewId="0">
      <selection activeCell="A4" sqref="A4:F4"/>
    </sheetView>
  </sheetViews>
  <sheetFormatPr defaultColWidth="9" defaultRowHeight="15.05"/>
  <cols>
    <col min="1" max="1" width="24.375" style="6" customWidth="1"/>
    <col min="2" max="2" width="5.5" style="6" bestFit="1" customWidth="1"/>
    <col min="3" max="3" width="16" style="6" bestFit="1" customWidth="1"/>
    <col min="4" max="4" width="8.875" style="19" bestFit="1" customWidth="1"/>
    <col min="5" max="5" width="11.75" style="6" customWidth="1"/>
    <col min="6" max="6" width="23.625" style="6" customWidth="1"/>
    <col min="7" max="7" width="13.5" style="6" bestFit="1" customWidth="1"/>
    <col min="8" max="9" width="14.875" style="6" customWidth="1"/>
    <col min="10" max="10" width="10.375" style="6" bestFit="1" customWidth="1"/>
    <col min="11" max="11" width="9" style="6"/>
    <col min="12" max="12" width="10.5" style="6" bestFit="1" customWidth="1"/>
    <col min="13" max="13" width="13.5" style="6" bestFit="1" customWidth="1"/>
    <col min="14" max="14" width="12.875" style="6" bestFit="1" customWidth="1"/>
    <col min="15" max="16384" width="9" style="6"/>
  </cols>
  <sheetData>
    <row r="1" spans="1:14" ht="22.25">
      <c r="A1" s="1266" t="s">
        <v>59</v>
      </c>
      <c r="B1" s="1266"/>
      <c r="C1" s="1266"/>
      <c r="D1" s="1266"/>
      <c r="E1" s="1266"/>
      <c r="F1" s="1266"/>
    </row>
    <row r="2" spans="1:14" ht="22.25">
      <c r="A2" s="1266" t="s">
        <v>60</v>
      </c>
      <c r="B2" s="1266"/>
      <c r="C2" s="1266"/>
      <c r="D2" s="1266"/>
      <c r="E2" s="1266"/>
      <c r="F2" s="1266"/>
    </row>
    <row r="3" spans="1:14" ht="24.75" customHeight="1">
      <c r="A3" s="1267" t="s">
        <v>1708</v>
      </c>
      <c r="B3" s="1268"/>
      <c r="C3" s="1268"/>
      <c r="D3" s="1268"/>
      <c r="E3" s="1268"/>
      <c r="F3" s="1268"/>
    </row>
    <row r="4" spans="1:14" ht="24.75" customHeight="1" thickBot="1">
      <c r="A4" s="1316" t="s">
        <v>1742</v>
      </c>
      <c r="B4" s="1287"/>
      <c r="C4" s="1287"/>
      <c r="D4" s="1287"/>
      <c r="E4" s="1287"/>
      <c r="F4" s="1287"/>
      <c r="G4" s="4"/>
      <c r="H4" s="4"/>
      <c r="I4" s="4"/>
      <c r="J4" s="4"/>
    </row>
    <row r="5" spans="1:14">
      <c r="A5" s="1391" t="s">
        <v>156</v>
      </c>
      <c r="B5" s="1394" t="s">
        <v>157</v>
      </c>
      <c r="C5" s="1397" t="s">
        <v>85</v>
      </c>
      <c r="D5" s="1398"/>
      <c r="E5" s="1399"/>
      <c r="F5" s="1400" t="s">
        <v>63</v>
      </c>
    </row>
    <row r="6" spans="1:14">
      <c r="A6" s="1392"/>
      <c r="B6" s="1395"/>
      <c r="C6" s="1387" t="s">
        <v>86</v>
      </c>
      <c r="D6" s="1403" t="s">
        <v>87</v>
      </c>
      <c r="E6" s="1387" t="s">
        <v>88</v>
      </c>
      <c r="F6" s="1401"/>
    </row>
    <row r="7" spans="1:14" ht="20.3" customHeight="1">
      <c r="A7" s="1393"/>
      <c r="B7" s="1396"/>
      <c r="C7" s="1388"/>
      <c r="D7" s="1404"/>
      <c r="E7" s="1388"/>
      <c r="F7" s="1402"/>
    </row>
    <row r="8" spans="1:14" ht="11.3" customHeight="1">
      <c r="A8" s="437"/>
      <c r="B8" s="730"/>
      <c r="C8" s="727"/>
      <c r="D8" s="731"/>
      <c r="E8" s="727"/>
      <c r="F8" s="25"/>
    </row>
    <row r="9" spans="1:14" s="30" customFormat="1" ht="76.599999999999994" customHeight="1">
      <c r="A9" s="26" t="s">
        <v>158</v>
      </c>
      <c r="B9" s="438" t="s">
        <v>159</v>
      </c>
      <c r="C9" s="27">
        <f>C10+C32+C45+C40+C49</f>
        <v>938983630</v>
      </c>
      <c r="D9" s="28"/>
      <c r="E9" s="27">
        <f>E10+E32+E45+E40+E49</f>
        <v>36562385</v>
      </c>
      <c r="F9" s="1249" t="s">
        <v>1782</v>
      </c>
      <c r="G9" s="830">
        <f>+I9-H9</f>
        <v>36041401</v>
      </c>
      <c r="H9" s="830">
        <f>+E40+I25</f>
        <v>520984</v>
      </c>
      <c r="I9" s="830">
        <f>+E9</f>
        <v>36562385</v>
      </c>
      <c r="L9" s="830">
        <v>1631412</v>
      </c>
      <c r="M9" s="830">
        <f>C9+L9</f>
        <v>940615042</v>
      </c>
      <c r="N9" s="830">
        <f>M9-C40</f>
        <v>940155042</v>
      </c>
    </row>
    <row r="10" spans="1:14" s="30" customFormat="1" ht="31.6" customHeight="1">
      <c r="A10" s="26" t="s">
        <v>160</v>
      </c>
      <c r="B10" s="438"/>
      <c r="C10" s="27">
        <f>+C11+C24+C26</f>
        <v>749852560</v>
      </c>
      <c r="D10" s="28"/>
      <c r="E10" s="27">
        <f>+E11+E24+E26</f>
        <v>34702140</v>
      </c>
      <c r="F10" s="29"/>
    </row>
    <row r="11" spans="1:14" s="30" customFormat="1" ht="26.2" customHeight="1">
      <c r="A11" s="26" t="s">
        <v>441</v>
      </c>
      <c r="B11" s="438" t="s">
        <v>159</v>
      </c>
      <c r="C11" s="225">
        <f>C12+C16+C19+C22</f>
        <v>619499000</v>
      </c>
      <c r="D11" s="226"/>
      <c r="E11" s="27">
        <f>E12+E16+E19+E22</f>
        <v>33470074</v>
      </c>
      <c r="F11" s="29"/>
      <c r="G11" s="32"/>
    </row>
    <row r="12" spans="1:14" s="30" customFormat="1" ht="41.25" customHeight="1">
      <c r="A12" s="439" t="s">
        <v>442</v>
      </c>
      <c r="B12" s="438" t="s">
        <v>159</v>
      </c>
      <c r="C12" s="31">
        <f>+C13</f>
        <v>436055000</v>
      </c>
      <c r="D12" s="201"/>
      <c r="E12" s="31">
        <f>+E13</f>
        <v>30146160</v>
      </c>
      <c r="F12" s="728" t="s">
        <v>89</v>
      </c>
      <c r="H12" s="30" t="s">
        <v>664</v>
      </c>
    </row>
    <row r="13" spans="1:14" s="30" customFormat="1" ht="26.05" customHeight="1">
      <c r="A13" s="439" t="s">
        <v>443</v>
      </c>
      <c r="B13" s="440" t="s">
        <v>159</v>
      </c>
      <c r="C13" s="31">
        <f>+C14+C15</f>
        <v>436055000</v>
      </c>
      <c r="D13" s="261"/>
      <c r="E13" s="31">
        <f>+E14+E15</f>
        <v>30146160</v>
      </c>
      <c r="F13" s="728"/>
    </row>
    <row r="14" spans="1:14" s="30" customFormat="1" ht="26.05" customHeight="1">
      <c r="A14" s="439" t="s">
        <v>340</v>
      </c>
      <c r="B14" s="440" t="s">
        <v>159</v>
      </c>
      <c r="C14" s="31">
        <v>172918000</v>
      </c>
      <c r="D14" s="201">
        <v>6.88E-2</v>
      </c>
      <c r="E14" s="31">
        <v>11893930</v>
      </c>
      <c r="F14" s="728"/>
      <c r="H14" s="31">
        <v>9967698</v>
      </c>
      <c r="I14" s="31">
        <f>E14-H14</f>
        <v>1926232</v>
      </c>
    </row>
    <row r="15" spans="1:14" s="30" customFormat="1" ht="27" customHeight="1">
      <c r="A15" s="439" t="s">
        <v>444</v>
      </c>
      <c r="B15" s="440" t="s">
        <v>159</v>
      </c>
      <c r="C15" s="31">
        <v>263137000</v>
      </c>
      <c r="D15" s="261">
        <v>6.9400000000000003E-2</v>
      </c>
      <c r="E15" s="31">
        <v>18252230</v>
      </c>
      <c r="F15" s="34"/>
      <c r="H15" s="31">
        <v>15297933</v>
      </c>
      <c r="I15" s="31">
        <f>E15-H15</f>
        <v>2954297</v>
      </c>
    </row>
    <row r="16" spans="1:14" s="30" customFormat="1" ht="24.05" customHeight="1">
      <c r="A16" s="439" t="s">
        <v>173</v>
      </c>
      <c r="B16" s="440" t="s">
        <v>159</v>
      </c>
      <c r="C16" s="31">
        <f>SUM(C17:C18)</f>
        <v>13533000</v>
      </c>
      <c r="D16" s="201"/>
      <c r="E16" s="31">
        <f>SUM(E17:E18)</f>
        <v>41371</v>
      </c>
      <c r="F16" s="728" t="s">
        <v>92</v>
      </c>
    </row>
    <row r="17" spans="1:15" s="30" customFormat="1" ht="28.5" customHeight="1">
      <c r="A17" s="439" t="s">
        <v>162</v>
      </c>
      <c r="B17" s="440" t="s">
        <v>159</v>
      </c>
      <c r="C17" s="31">
        <v>13533000</v>
      </c>
      <c r="D17" s="201">
        <v>3.0999999999999999E-3</v>
      </c>
      <c r="E17" s="31">
        <v>41371</v>
      </c>
      <c r="F17" s="728"/>
      <c r="H17" s="31">
        <v>34671</v>
      </c>
      <c r="I17" s="31">
        <f>E17-H17</f>
        <v>6700</v>
      </c>
    </row>
    <row r="18" spans="1:15" s="30" customFormat="1" ht="27" hidden="1" customHeight="1">
      <c r="A18" s="439" t="s">
        <v>163</v>
      </c>
      <c r="B18" s="440" t="s">
        <v>159</v>
      </c>
      <c r="C18" s="31">
        <v>0</v>
      </c>
      <c r="D18" s="201">
        <v>0</v>
      </c>
      <c r="E18" s="31">
        <v>0</v>
      </c>
      <c r="F18" s="728"/>
    </row>
    <row r="19" spans="1:15" s="30" customFormat="1" ht="40.25" customHeight="1">
      <c r="A19" s="439" t="s">
        <v>174</v>
      </c>
      <c r="B19" s="440" t="s">
        <v>159</v>
      </c>
      <c r="C19" s="31">
        <f>SUM(C20:C21)</f>
        <v>54131000</v>
      </c>
      <c r="D19" s="201"/>
      <c r="E19" s="31">
        <f>SUM(E20:E21)</f>
        <v>1213323</v>
      </c>
      <c r="F19" s="34" t="s">
        <v>93</v>
      </c>
    </row>
    <row r="20" spans="1:15" s="30" customFormat="1" ht="27" customHeight="1">
      <c r="A20" s="439" t="s">
        <v>162</v>
      </c>
      <c r="B20" s="440" t="s">
        <v>159</v>
      </c>
      <c r="C20" s="31">
        <v>50431000</v>
      </c>
      <c r="D20" s="201">
        <v>2.3800000000000002E-2</v>
      </c>
      <c r="E20" s="31">
        <v>1197783</v>
      </c>
      <c r="F20" s="728"/>
      <c r="H20" s="31">
        <v>1002708</v>
      </c>
      <c r="I20" s="31">
        <f>E20-H20</f>
        <v>195075</v>
      </c>
    </row>
    <row r="21" spans="1:15" s="30" customFormat="1" ht="26.2" customHeight="1">
      <c r="A21" s="439" t="s">
        <v>163</v>
      </c>
      <c r="B21" s="440" t="s">
        <v>159</v>
      </c>
      <c r="C21" s="31">
        <v>3700000</v>
      </c>
      <c r="D21" s="201">
        <v>4.1999999999999997E-3</v>
      </c>
      <c r="E21" s="31">
        <v>15540</v>
      </c>
      <c r="F21" s="728"/>
    </row>
    <row r="22" spans="1:15" s="30" customFormat="1" ht="33.75" customHeight="1">
      <c r="A22" s="439" t="s">
        <v>175</v>
      </c>
      <c r="B22" s="440" t="s">
        <v>159</v>
      </c>
      <c r="C22" s="31">
        <f>C23</f>
        <v>115780000</v>
      </c>
      <c r="D22" s="261">
        <f>D23</f>
        <v>1.7899999999999999E-2</v>
      </c>
      <c r="E22" s="31">
        <f>E23</f>
        <v>2069220</v>
      </c>
      <c r="F22" s="34" t="s">
        <v>94</v>
      </c>
    </row>
    <row r="23" spans="1:15" s="30" customFormat="1" ht="32.25" customHeight="1">
      <c r="A23" s="439" t="s">
        <v>162</v>
      </c>
      <c r="B23" s="440" t="s">
        <v>159</v>
      </c>
      <c r="C23" s="31">
        <v>115780000</v>
      </c>
      <c r="D23" s="201">
        <v>1.7899999999999999E-2</v>
      </c>
      <c r="E23" s="31">
        <v>2069220</v>
      </c>
      <c r="F23" s="728"/>
      <c r="H23" s="31">
        <v>1734107</v>
      </c>
      <c r="I23" s="31">
        <f>E23-H23</f>
        <v>335113</v>
      </c>
    </row>
    <row r="24" spans="1:15" s="30" customFormat="1" ht="35.200000000000003" customHeight="1">
      <c r="A24" s="26" t="s">
        <v>161</v>
      </c>
      <c r="B24" s="438" t="s">
        <v>159</v>
      </c>
      <c r="C24" s="27">
        <f>C25</f>
        <v>31647213</v>
      </c>
      <c r="D24" s="224">
        <f>D25</f>
        <v>1.689305153031959E-2</v>
      </c>
      <c r="E24" s="27">
        <f>E25</f>
        <v>534618</v>
      </c>
      <c r="F24" s="1389" t="s">
        <v>933</v>
      </c>
      <c r="G24" s="828" t="s">
        <v>705</v>
      </c>
      <c r="H24" s="828" t="s">
        <v>707</v>
      </c>
      <c r="I24" s="828" t="s">
        <v>708</v>
      </c>
      <c r="J24" s="30" t="s">
        <v>704</v>
      </c>
      <c r="K24" s="30" t="s">
        <v>706</v>
      </c>
      <c r="L24" s="30" t="s">
        <v>275</v>
      </c>
      <c r="M24" s="30" t="s">
        <v>704</v>
      </c>
      <c r="N24" s="30" t="s">
        <v>706</v>
      </c>
      <c r="O24" s="30" t="s">
        <v>275</v>
      </c>
    </row>
    <row r="25" spans="1:15" s="30" customFormat="1" ht="112.95" customHeight="1" thickBot="1">
      <c r="A25" s="441" t="s">
        <v>164</v>
      </c>
      <c r="B25" s="442" t="s">
        <v>159</v>
      </c>
      <c r="C25" s="99">
        <f>647213+31000000</f>
        <v>31647213</v>
      </c>
      <c r="D25" s="326">
        <f>+E25/C25</f>
        <v>1.689305153031959E-2</v>
      </c>
      <c r="E25" s="99">
        <v>534618</v>
      </c>
      <c r="F25" s="1390"/>
      <c r="G25" s="745">
        <v>31000000</v>
      </c>
      <c r="H25" s="660">
        <v>1.68</v>
      </c>
      <c r="I25" s="964">
        <v>520800</v>
      </c>
      <c r="J25" s="745">
        <v>647213</v>
      </c>
      <c r="K25" s="30">
        <v>2.1349999999999998</v>
      </c>
      <c r="L25" s="745">
        <v>13818</v>
      </c>
      <c r="M25" s="745">
        <f>+G25+J25</f>
        <v>31647213</v>
      </c>
      <c r="N25" s="829">
        <f>+O25/M25</f>
        <v>1.689305153031959E-2</v>
      </c>
      <c r="O25" s="745">
        <f>+I25+L25</f>
        <v>534618</v>
      </c>
    </row>
    <row r="26" spans="1:15" s="30" customFormat="1" ht="27.65" customHeight="1">
      <c r="A26" s="26" t="s">
        <v>165</v>
      </c>
      <c r="B26" s="438" t="s">
        <v>159</v>
      </c>
      <c r="C26" s="363">
        <f>C27+C30</f>
        <v>98706347</v>
      </c>
      <c r="D26" s="224"/>
      <c r="E26" s="27">
        <f>E27+E30</f>
        <v>697448</v>
      </c>
      <c r="F26" s="728"/>
    </row>
    <row r="27" spans="1:15" s="30" customFormat="1" ht="26.2" customHeight="1">
      <c r="A27" s="439" t="s">
        <v>164</v>
      </c>
      <c r="B27" s="440" t="s">
        <v>159</v>
      </c>
      <c r="C27" s="361">
        <f>SUM(C28:C29)</f>
        <v>79014572</v>
      </c>
      <c r="D27" s="201"/>
      <c r="E27" s="31">
        <f>+E28+E29</f>
        <v>665941</v>
      </c>
      <c r="F27" s="728" t="s">
        <v>90</v>
      </c>
    </row>
    <row r="28" spans="1:15" s="30" customFormat="1" ht="26.2" customHeight="1">
      <c r="A28" s="439" t="s">
        <v>166</v>
      </c>
      <c r="B28" s="440" t="s">
        <v>159</v>
      </c>
      <c r="C28" s="361">
        <v>51949572</v>
      </c>
      <c r="D28" s="201">
        <v>4.8999999999999998E-3</v>
      </c>
      <c r="E28" s="31">
        <v>254553</v>
      </c>
      <c r="F28" s="728"/>
    </row>
    <row r="29" spans="1:15" s="30" customFormat="1" ht="25.55" customHeight="1">
      <c r="A29" s="439" t="s">
        <v>167</v>
      </c>
      <c r="B29" s="440" t="s">
        <v>159</v>
      </c>
      <c r="C29" s="361">
        <v>27065000</v>
      </c>
      <c r="D29" s="201">
        <v>1.52E-2</v>
      </c>
      <c r="E29" s="31">
        <v>411388</v>
      </c>
      <c r="F29" s="728"/>
    </row>
    <row r="30" spans="1:15" s="30" customFormat="1" ht="28.5" customHeight="1">
      <c r="A30" s="439" t="s">
        <v>168</v>
      </c>
      <c r="B30" s="440" t="s">
        <v>159</v>
      </c>
      <c r="C30" s="361">
        <v>19691775</v>
      </c>
      <c r="D30" s="201">
        <v>1.6000000000000001E-3</v>
      </c>
      <c r="E30" s="31">
        <v>31507</v>
      </c>
      <c r="F30" s="728" t="s">
        <v>91</v>
      </c>
    </row>
    <row r="31" spans="1:15" s="30" customFormat="1" ht="4.95" hidden="1" customHeight="1">
      <c r="A31" s="26"/>
      <c r="B31" s="438"/>
      <c r="C31" s="361"/>
      <c r="D31" s="92"/>
      <c r="E31" s="31"/>
      <c r="F31" s="34"/>
    </row>
    <row r="32" spans="1:15" s="9" customFormat="1" ht="28.5" customHeight="1">
      <c r="A32" s="26" t="s">
        <v>169</v>
      </c>
      <c r="B32" s="438"/>
      <c r="C32" s="363">
        <f>C37+C33</f>
        <v>143978000</v>
      </c>
      <c r="D32" s="91"/>
      <c r="E32" s="27">
        <f>E37+E33</f>
        <v>1696452</v>
      </c>
      <c r="F32" s="34"/>
      <c r="I32" s="826"/>
      <c r="L32" s="826"/>
    </row>
    <row r="33" spans="1:12" s="30" customFormat="1" ht="29" customHeight="1">
      <c r="A33" s="26" t="s">
        <v>445</v>
      </c>
      <c r="B33" s="438" t="s">
        <v>159</v>
      </c>
      <c r="C33" s="668">
        <f>SUM(C34:C36)</f>
        <v>97184000</v>
      </c>
      <c r="D33" s="227"/>
      <c r="E33" s="225">
        <f>SUM(E34:E36)</f>
        <v>1401654</v>
      </c>
      <c r="F33" s="29"/>
      <c r="G33" s="32"/>
    </row>
    <row r="34" spans="1:12" s="30" customFormat="1" ht="32.25" customHeight="1">
      <c r="A34" s="439" t="s">
        <v>173</v>
      </c>
      <c r="B34" s="440" t="s">
        <v>159</v>
      </c>
      <c r="C34" s="361">
        <v>11086000</v>
      </c>
      <c r="D34" s="201">
        <v>2.5999999999999999E-3</v>
      </c>
      <c r="E34" s="31">
        <v>28824</v>
      </c>
      <c r="F34" s="728" t="s">
        <v>92</v>
      </c>
    </row>
    <row r="35" spans="1:12" s="30" customFormat="1" ht="36" customHeight="1">
      <c r="A35" s="439" t="s">
        <v>174</v>
      </c>
      <c r="B35" s="440" t="s">
        <v>159</v>
      </c>
      <c r="C35" s="361">
        <v>62342000</v>
      </c>
      <c r="D35" s="201">
        <v>1.52E-2</v>
      </c>
      <c r="E35" s="31">
        <v>947598</v>
      </c>
      <c r="F35" s="34" t="s">
        <v>93</v>
      </c>
    </row>
    <row r="36" spans="1:12" s="30" customFormat="1" ht="36" customHeight="1">
      <c r="A36" s="439" t="s">
        <v>175</v>
      </c>
      <c r="B36" s="440" t="s">
        <v>159</v>
      </c>
      <c r="C36" s="361">
        <v>23756000</v>
      </c>
      <c r="D36" s="201">
        <v>1.7899999999999999E-2</v>
      </c>
      <c r="E36" s="31">
        <v>425232</v>
      </c>
      <c r="F36" s="958" t="s">
        <v>94</v>
      </c>
    </row>
    <row r="37" spans="1:12" s="30" customFormat="1" ht="25.55" customHeight="1">
      <c r="A37" s="26" t="s">
        <v>170</v>
      </c>
      <c r="B37" s="438" t="s">
        <v>159</v>
      </c>
      <c r="C37" s="363">
        <f>SUM(C38:C39)</f>
        <v>46794000</v>
      </c>
      <c r="D37" s="224"/>
      <c r="E37" s="27">
        <f>SUM(E38:E39)</f>
        <v>294798</v>
      </c>
      <c r="F37" s="728" t="s">
        <v>90</v>
      </c>
    </row>
    <row r="38" spans="1:12" s="30" customFormat="1" ht="29.95" customHeight="1">
      <c r="A38" s="439" t="s">
        <v>176</v>
      </c>
      <c r="B38" s="440" t="s">
        <v>159</v>
      </c>
      <c r="C38" s="361">
        <v>41755000</v>
      </c>
      <c r="D38" s="201">
        <v>4.8999999999999998E-3</v>
      </c>
      <c r="E38" s="31">
        <v>204600</v>
      </c>
      <c r="F38" s="728"/>
    </row>
    <row r="39" spans="1:12" s="30" customFormat="1" ht="29.3" customHeight="1">
      <c r="A39" s="439" t="s">
        <v>177</v>
      </c>
      <c r="B39" s="440" t="s">
        <v>159</v>
      </c>
      <c r="C39" s="361">
        <v>5039000</v>
      </c>
      <c r="D39" s="201">
        <v>1.7899999999999999E-2</v>
      </c>
      <c r="E39" s="31">
        <v>90198</v>
      </c>
      <c r="F39" s="34"/>
    </row>
    <row r="40" spans="1:12" s="9" customFormat="1" ht="29.45" customHeight="1">
      <c r="A40" s="26" t="s">
        <v>709</v>
      </c>
      <c r="B40" s="438"/>
      <c r="C40" s="363">
        <f>+C41</f>
        <v>460000</v>
      </c>
      <c r="D40" s="91"/>
      <c r="E40" s="27">
        <f>+E41</f>
        <v>184</v>
      </c>
      <c r="F40" s="802"/>
      <c r="I40" s="826"/>
      <c r="L40" s="826"/>
    </row>
    <row r="41" spans="1:12" s="30" customFormat="1" ht="29.45" customHeight="1">
      <c r="A41" s="26" t="s">
        <v>170</v>
      </c>
      <c r="B41" s="438" t="s">
        <v>159</v>
      </c>
      <c r="C41" s="363">
        <f>+C42+C43</f>
        <v>460000</v>
      </c>
      <c r="D41" s="224">
        <v>4.0000000000000002E-4</v>
      </c>
      <c r="E41" s="27">
        <f>+E42+E43</f>
        <v>184</v>
      </c>
      <c r="F41" s="1385" t="s">
        <v>685</v>
      </c>
    </row>
    <row r="42" spans="1:12" s="30" customFormat="1" ht="29" customHeight="1">
      <c r="A42" s="439" t="s">
        <v>710</v>
      </c>
      <c r="B42" s="440" t="s">
        <v>159</v>
      </c>
      <c r="C42" s="361">
        <v>230000</v>
      </c>
      <c r="D42" s="201">
        <v>4.0000000000000002E-4</v>
      </c>
      <c r="E42" s="31">
        <v>92</v>
      </c>
      <c r="F42" s="1385"/>
    </row>
    <row r="43" spans="1:12" s="30" customFormat="1" ht="27" customHeight="1">
      <c r="A43" s="439" t="s">
        <v>711</v>
      </c>
      <c r="B43" s="440" t="s">
        <v>159</v>
      </c>
      <c r="C43" s="361">
        <v>230000</v>
      </c>
      <c r="D43" s="201">
        <v>4.0000000000000002E-4</v>
      </c>
      <c r="E43" s="31">
        <v>92</v>
      </c>
      <c r="F43" s="1385"/>
    </row>
    <row r="44" spans="1:12" s="30" customFormat="1" ht="6.55" customHeight="1">
      <c r="A44" s="26"/>
      <c r="B44" s="440"/>
      <c r="C44" s="361"/>
      <c r="D44" s="92"/>
      <c r="E44" s="31"/>
      <c r="F44" s="1386"/>
    </row>
    <row r="45" spans="1:12" s="9" customFormat="1" ht="29.45" customHeight="1">
      <c r="A45" s="26" t="s">
        <v>171</v>
      </c>
      <c r="B45" s="438"/>
      <c r="C45" s="363">
        <f>C46</f>
        <v>10842070</v>
      </c>
      <c r="D45" s="91"/>
      <c r="E45" s="27">
        <f>E46</f>
        <v>20600</v>
      </c>
      <c r="F45" s="34"/>
      <c r="I45" s="826"/>
      <c r="L45" s="826"/>
    </row>
    <row r="46" spans="1:12" s="30" customFormat="1" ht="28.5" customHeight="1">
      <c r="A46" s="26" t="s">
        <v>170</v>
      </c>
      <c r="B46" s="438" t="s">
        <v>159</v>
      </c>
      <c r="C46" s="363">
        <f>SUM(C47:C48)</f>
        <v>10842070</v>
      </c>
      <c r="D46" s="224">
        <f>D47</f>
        <v>1.9E-3</v>
      </c>
      <c r="E46" s="27">
        <f>SUM(E47:E48)</f>
        <v>20600</v>
      </c>
      <c r="F46" s="728" t="s">
        <v>91</v>
      </c>
    </row>
    <row r="47" spans="1:12" s="30" customFormat="1" ht="27.65" customHeight="1">
      <c r="A47" s="439" t="s">
        <v>446</v>
      </c>
      <c r="B47" s="440" t="s">
        <v>159</v>
      </c>
      <c r="C47" s="361">
        <v>10780869</v>
      </c>
      <c r="D47" s="201">
        <v>1.9E-3</v>
      </c>
      <c r="E47" s="31">
        <v>20484</v>
      </c>
      <c r="F47" s="728"/>
    </row>
    <row r="48" spans="1:12" s="30" customFormat="1" ht="27.65" customHeight="1" thickBot="1">
      <c r="A48" s="441" t="s">
        <v>172</v>
      </c>
      <c r="B48" s="442" t="s">
        <v>159</v>
      </c>
      <c r="C48" s="669">
        <v>61201</v>
      </c>
      <c r="D48" s="326">
        <v>1.9E-3</v>
      </c>
      <c r="E48" s="99">
        <v>116</v>
      </c>
      <c r="F48" s="729"/>
    </row>
    <row r="49" spans="1:7" s="1060" customFormat="1" ht="28.5" customHeight="1">
      <c r="A49" s="26" t="s">
        <v>1129</v>
      </c>
      <c r="B49" s="438"/>
      <c r="C49" s="363">
        <f>C52+C50</f>
        <v>33851000</v>
      </c>
      <c r="D49" s="91"/>
      <c r="E49" s="27">
        <f>E52+E50</f>
        <v>143009</v>
      </c>
      <c r="F49" s="1062"/>
    </row>
    <row r="50" spans="1:7" s="30" customFormat="1" ht="29" customHeight="1">
      <c r="A50" s="26" t="s">
        <v>445</v>
      </c>
      <c r="B50" s="438" t="s">
        <v>159</v>
      </c>
      <c r="C50" s="668">
        <f>SUM(C51:C51)</f>
        <v>3700000</v>
      </c>
      <c r="D50" s="227"/>
      <c r="E50" s="225">
        <f>SUM(E51:E51)</f>
        <v>31450</v>
      </c>
      <c r="F50" s="29"/>
      <c r="G50" s="32"/>
    </row>
    <row r="51" spans="1:7" s="30" customFormat="1" ht="36" customHeight="1">
      <c r="A51" s="439" t="s">
        <v>174</v>
      </c>
      <c r="B51" s="440" t="s">
        <v>159</v>
      </c>
      <c r="C51" s="361">
        <v>3700000</v>
      </c>
      <c r="D51" s="201">
        <v>8.5000000000000006E-3</v>
      </c>
      <c r="E51" s="31">
        <v>31450</v>
      </c>
      <c r="F51" s="1062" t="s">
        <v>93</v>
      </c>
    </row>
    <row r="52" spans="1:7" s="30" customFormat="1" ht="25.55" customHeight="1">
      <c r="A52" s="26" t="s">
        <v>170</v>
      </c>
      <c r="B52" s="438" t="s">
        <v>159</v>
      </c>
      <c r="C52" s="363">
        <f>SUM(C53:C53)</f>
        <v>30151000</v>
      </c>
      <c r="D52" s="224"/>
      <c r="E52" s="27">
        <f>SUM(E53:E53)</f>
        <v>111559</v>
      </c>
      <c r="F52" s="771" t="s">
        <v>1130</v>
      </c>
    </row>
    <row r="53" spans="1:7" s="30" customFormat="1" ht="35.049999999999997" customHeight="1">
      <c r="A53" s="439" t="s">
        <v>176</v>
      </c>
      <c r="B53" s="440" t="s">
        <v>159</v>
      </c>
      <c r="C53" s="361">
        <v>30151000</v>
      </c>
      <c r="D53" s="201">
        <v>3.7000000000000002E-3</v>
      </c>
      <c r="E53" s="31">
        <v>111559</v>
      </c>
      <c r="F53" s="1061"/>
    </row>
    <row r="54" spans="1:7" ht="74.95" customHeight="1">
      <c r="A54" s="26"/>
      <c r="B54" s="438"/>
      <c r="C54" s="363"/>
      <c r="D54" s="91"/>
      <c r="E54" s="27"/>
      <c r="F54" s="1062"/>
    </row>
    <row r="55" spans="1:7" ht="74.95" customHeight="1">
      <c r="A55" s="26"/>
      <c r="B55" s="438"/>
      <c r="C55" s="363"/>
      <c r="D55" s="91"/>
      <c r="E55" s="27"/>
      <c r="F55" s="1062"/>
    </row>
    <row r="56" spans="1:7" ht="69.55" customHeight="1">
      <c r="A56" s="26"/>
      <c r="B56" s="438"/>
      <c r="C56" s="363"/>
      <c r="D56" s="224"/>
      <c r="E56" s="27"/>
      <c r="F56" s="1061"/>
    </row>
    <row r="57" spans="1:7" ht="187.2" customHeight="1">
      <c r="A57" s="439"/>
      <c r="B57" s="440"/>
      <c r="C57" s="361"/>
      <c r="D57" s="201"/>
      <c r="E57" s="31"/>
      <c r="F57" s="1061"/>
    </row>
    <row r="58" spans="1:7" ht="53.35" customHeight="1" thickBot="1">
      <c r="A58" s="441"/>
      <c r="B58" s="442"/>
      <c r="C58" s="669"/>
      <c r="D58" s="326"/>
      <c r="E58" s="99"/>
      <c r="F58" s="729"/>
    </row>
  </sheetData>
  <mergeCells count="13">
    <mergeCell ref="F41:F44"/>
    <mergeCell ref="E6:E7"/>
    <mergeCell ref="F24:F25"/>
    <mergeCell ref="A1:F1"/>
    <mergeCell ref="A2:F2"/>
    <mergeCell ref="A3:F3"/>
    <mergeCell ref="A4:F4"/>
    <mergeCell ref="A5:A7"/>
    <mergeCell ref="B5:B7"/>
    <mergeCell ref="C5:E5"/>
    <mergeCell ref="F5:F7"/>
    <mergeCell ref="C6:C7"/>
    <mergeCell ref="D6:D7"/>
  </mergeCells>
  <phoneticPr fontId="5" type="noConversion"/>
  <printOptions horizontalCentered="1"/>
  <pageMargins left="0.59055118110236227" right="0.59055118110236227" top="0.59055118110236227" bottom="0.78740157480314965" header="0.51181102362204722" footer="0.51181102362204722"/>
  <pageSetup paperSize="9" firstPageNumber="22" orientation="portrait" useFirstPageNumber="1" r:id="rId1"/>
  <headerFooter alignWithMargins="0">
    <oddFooter>&amp;C&amp;"Times New Roman,標準"&amp;P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F56"/>
  <sheetViews>
    <sheetView view="pageBreakPreview" topLeftCell="A10" workbookViewId="0">
      <selection activeCell="D18" sqref="D18"/>
    </sheetView>
  </sheetViews>
  <sheetFormatPr defaultColWidth="9" defaultRowHeight="15.05"/>
  <cols>
    <col min="1" max="1" width="27.5" style="6" customWidth="1"/>
    <col min="2" max="2" width="13.625" style="6" customWidth="1"/>
    <col min="3" max="3" width="49" style="6" customWidth="1"/>
    <col min="4" max="4" width="39" style="6" customWidth="1"/>
    <col min="5" max="5" width="9.375" style="6" bestFit="1" customWidth="1"/>
    <col min="6" max="6" width="26.375" style="6" customWidth="1"/>
    <col min="7" max="7" width="19.875" style="6" customWidth="1"/>
    <col min="8" max="16384" width="9" style="6"/>
  </cols>
  <sheetData>
    <row r="1" spans="1:6" s="2" customFormat="1" ht="22.25">
      <c r="A1" s="1266" t="s">
        <v>59</v>
      </c>
      <c r="B1" s="1266"/>
      <c r="C1" s="1266"/>
      <c r="D1" s="1"/>
      <c r="E1" s="1"/>
      <c r="F1" s="1"/>
    </row>
    <row r="2" spans="1:6" s="2" customFormat="1" ht="22.25">
      <c r="A2" s="1266" t="s">
        <v>60</v>
      </c>
      <c r="B2" s="1266"/>
      <c r="C2" s="1266"/>
      <c r="D2" s="1"/>
      <c r="E2" s="1"/>
      <c r="F2" s="1"/>
    </row>
    <row r="3" spans="1:6" s="2" customFormat="1" ht="24.75" customHeight="1">
      <c r="A3" s="1267" t="s">
        <v>1655</v>
      </c>
      <c r="B3" s="1268"/>
      <c r="C3" s="1268"/>
      <c r="D3" s="3"/>
      <c r="E3" s="3"/>
      <c r="F3" s="3"/>
    </row>
    <row r="4" spans="1:6" s="2" customFormat="1" ht="24.75" customHeight="1" thickBot="1">
      <c r="A4" s="1316" t="s">
        <v>1743</v>
      </c>
      <c r="B4" s="1287"/>
      <c r="C4" s="1287"/>
      <c r="D4" s="4"/>
      <c r="E4" s="4"/>
      <c r="F4" s="4"/>
    </row>
    <row r="5" spans="1:6" ht="15.75" customHeight="1">
      <c r="A5" s="1407" t="s">
        <v>156</v>
      </c>
      <c r="B5" s="1410" t="s">
        <v>154</v>
      </c>
      <c r="C5" s="1413" t="s">
        <v>155</v>
      </c>
      <c r="D5" s="4"/>
      <c r="E5" s="4"/>
      <c r="F5" s="4"/>
    </row>
    <row r="6" spans="1:6" ht="15.75" customHeight="1">
      <c r="A6" s="1408"/>
      <c r="B6" s="1411"/>
      <c r="C6" s="1414"/>
      <c r="D6" s="4"/>
      <c r="E6" s="4"/>
      <c r="F6" s="4"/>
    </row>
    <row r="7" spans="1:6" ht="15.75" customHeight="1">
      <c r="A7" s="1409"/>
      <c r="B7" s="1412"/>
      <c r="C7" s="1415"/>
    </row>
    <row r="8" spans="1:6" ht="8.1999999999999993" customHeight="1">
      <c r="A8" s="73"/>
      <c r="B8" s="726"/>
      <c r="C8" s="87"/>
    </row>
    <row r="9" spans="1:6" s="9" customFormat="1" ht="36" customHeight="1">
      <c r="A9" s="443" t="s">
        <v>178</v>
      </c>
      <c r="B9" s="20">
        <f>B10+B22+B27+B38+B43</f>
        <v>499649073</v>
      </c>
      <c r="C9" s="1249" t="s">
        <v>1783</v>
      </c>
      <c r="D9" s="927">
        <f>+B10+B22+B27+B43</f>
        <v>499498348</v>
      </c>
      <c r="E9" s="927">
        <f>+B38</f>
        <v>150725</v>
      </c>
      <c r="F9" s="927">
        <f>+D9+E9</f>
        <v>499649073</v>
      </c>
    </row>
    <row r="10" spans="1:6" s="9" customFormat="1" ht="19.149999999999999" customHeight="1">
      <c r="A10" s="444" t="s">
        <v>32</v>
      </c>
      <c r="B10" s="20">
        <f>+B11+B18</f>
        <v>458034704</v>
      </c>
      <c r="C10" s="732"/>
    </row>
    <row r="11" spans="1:6" s="30" customFormat="1" ht="20" customHeight="1">
      <c r="A11" s="445" t="s">
        <v>559</v>
      </c>
      <c r="B11" s="20">
        <f>B12+B15</f>
        <v>439465515</v>
      </c>
      <c r="C11" s="1176" t="s">
        <v>1636</v>
      </c>
      <c r="D11" s="35"/>
    </row>
    <row r="12" spans="1:6" s="30" customFormat="1" ht="57.6" customHeight="1">
      <c r="A12" s="446" t="s">
        <v>180</v>
      </c>
      <c r="B12" s="8">
        <f>B13+B14</f>
        <v>438997753</v>
      </c>
      <c r="C12" s="1406" t="s">
        <v>1552</v>
      </c>
      <c r="D12" s="35"/>
    </row>
    <row r="13" spans="1:6" s="30" customFormat="1" ht="20.45" customHeight="1">
      <c r="A13" s="446" t="s">
        <v>162</v>
      </c>
      <c r="B13" s="8">
        <v>436121456</v>
      </c>
      <c r="C13" s="1406"/>
      <c r="D13" s="35"/>
    </row>
    <row r="14" spans="1:6" s="30" customFormat="1" ht="20.45" customHeight="1">
      <c r="A14" s="446" t="s">
        <v>163</v>
      </c>
      <c r="B14" s="8">
        <v>2876297</v>
      </c>
      <c r="C14" s="1406"/>
      <c r="D14" s="35"/>
    </row>
    <row r="15" spans="1:6" s="30" customFormat="1" ht="20.45" customHeight="1">
      <c r="A15" s="446" t="s">
        <v>181</v>
      </c>
      <c r="B15" s="8">
        <f>SUM(B16:B17)</f>
        <v>467762</v>
      </c>
      <c r="C15" s="732"/>
      <c r="D15" s="35"/>
    </row>
    <row r="16" spans="1:6" s="30" customFormat="1" ht="20.45" customHeight="1">
      <c r="A16" s="446" t="s">
        <v>162</v>
      </c>
      <c r="B16" s="8">
        <v>462992</v>
      </c>
      <c r="C16" s="732"/>
      <c r="D16" s="35"/>
    </row>
    <row r="17" spans="1:4" s="30" customFormat="1" ht="20.45" customHeight="1">
      <c r="A17" s="446" t="s">
        <v>163</v>
      </c>
      <c r="B17" s="8">
        <v>4770</v>
      </c>
      <c r="C17" s="732"/>
      <c r="D17" s="35"/>
    </row>
    <row r="18" spans="1:4" s="761" customFormat="1" ht="54" customHeight="1">
      <c r="A18" s="1166" t="s">
        <v>182</v>
      </c>
      <c r="B18" s="1162">
        <f>+B19</f>
        <v>18569189</v>
      </c>
      <c r="C18" s="1248" t="s">
        <v>1784</v>
      </c>
    </row>
    <row r="19" spans="1:4" s="30" customFormat="1" ht="20.45" customHeight="1">
      <c r="A19" s="1167" t="s">
        <v>162</v>
      </c>
      <c r="B19" s="1161">
        <v>18569189</v>
      </c>
      <c r="C19" s="1169"/>
      <c r="D19" s="35"/>
    </row>
    <row r="20" spans="1:4" s="30" customFormat="1" ht="9.65" customHeight="1">
      <c r="A20" s="446"/>
      <c r="B20" s="8"/>
      <c r="C20" s="732"/>
      <c r="D20" s="35"/>
    </row>
    <row r="21" spans="1:4" s="30" customFormat="1" ht="6.75" hidden="1" customHeight="1">
      <c r="A21" s="445"/>
      <c r="B21" s="20"/>
      <c r="C21" s="732"/>
      <c r="D21" s="35"/>
    </row>
    <row r="22" spans="1:4" s="30" customFormat="1" ht="22.25" customHeight="1">
      <c r="A22" s="444" t="s">
        <v>33</v>
      </c>
      <c r="B22" s="20">
        <f>B23</f>
        <v>30396889</v>
      </c>
      <c r="C22" s="732"/>
      <c r="D22" s="35"/>
    </row>
    <row r="23" spans="1:4" s="30" customFormat="1" ht="24.05" customHeight="1">
      <c r="A23" s="445" t="s">
        <v>179</v>
      </c>
      <c r="B23" s="20">
        <f>SUM(B24:B25)</f>
        <v>30396889</v>
      </c>
      <c r="C23" s="1176" t="s">
        <v>1637</v>
      </c>
      <c r="D23" s="35"/>
    </row>
    <row r="24" spans="1:4" s="30" customFormat="1" ht="35.35" customHeight="1">
      <c r="A24" s="446" t="s">
        <v>180</v>
      </c>
      <c r="B24" s="8">
        <v>30372516</v>
      </c>
      <c r="C24" s="732" t="s">
        <v>921</v>
      </c>
      <c r="D24" s="35"/>
    </row>
    <row r="25" spans="1:4" s="30" customFormat="1" ht="22.25" customHeight="1">
      <c r="A25" s="446" t="s">
        <v>181</v>
      </c>
      <c r="B25" s="8">
        <v>24373</v>
      </c>
      <c r="C25" s="732"/>
      <c r="D25" s="35"/>
    </row>
    <row r="26" spans="1:4" s="9" customFormat="1" ht="8.1999999999999993" customHeight="1">
      <c r="A26" s="447"/>
      <c r="B26" s="40"/>
      <c r="C26" s="732"/>
    </row>
    <row r="27" spans="1:4" s="30" customFormat="1" ht="22.6" customHeight="1">
      <c r="A27" s="444" t="s">
        <v>712</v>
      </c>
      <c r="B27" s="20">
        <f>B28+B35</f>
        <v>3298898</v>
      </c>
      <c r="C27" s="732"/>
      <c r="D27" s="35"/>
    </row>
    <row r="28" spans="1:4" s="30" customFormat="1" ht="21.6" customHeight="1">
      <c r="A28" s="445" t="s">
        <v>179</v>
      </c>
      <c r="B28" s="20">
        <f>+B29+B32</f>
        <v>3265722</v>
      </c>
      <c r="C28" s="1176" t="s">
        <v>1638</v>
      </c>
      <c r="D28" s="35"/>
    </row>
    <row r="29" spans="1:4" s="30" customFormat="1" ht="26.35" customHeight="1">
      <c r="A29" s="446" t="s">
        <v>180</v>
      </c>
      <c r="B29" s="8">
        <f>+B30+B31</f>
        <v>3254654</v>
      </c>
      <c r="C29" s="732"/>
      <c r="D29" s="35"/>
    </row>
    <row r="30" spans="1:4" s="30" customFormat="1" ht="35.35" customHeight="1">
      <c r="A30" s="446" t="s">
        <v>713</v>
      </c>
      <c r="B30" s="8">
        <v>3158654</v>
      </c>
      <c r="C30" s="827" t="s">
        <v>922</v>
      </c>
      <c r="D30" s="35"/>
    </row>
    <row r="31" spans="1:4" s="30" customFormat="1" ht="35.35" customHeight="1">
      <c r="A31" s="446" t="s">
        <v>714</v>
      </c>
      <c r="B31" s="8">
        <v>96000</v>
      </c>
      <c r="C31" s="827" t="s">
        <v>923</v>
      </c>
      <c r="D31" s="35"/>
    </row>
    <row r="32" spans="1:4" s="30" customFormat="1" ht="20.45" customHeight="1">
      <c r="A32" s="446" t="s">
        <v>181</v>
      </c>
      <c r="B32" s="8">
        <f>+B33</f>
        <v>11068</v>
      </c>
      <c r="C32" s="732"/>
      <c r="D32" s="35"/>
    </row>
    <row r="33" spans="1:4" s="30" customFormat="1" ht="22.25" customHeight="1">
      <c r="A33" s="446" t="s">
        <v>713</v>
      </c>
      <c r="B33" s="8">
        <v>11068</v>
      </c>
      <c r="C33" s="827"/>
      <c r="D33" s="35"/>
    </row>
    <row r="34" spans="1:4" s="9" customFormat="1" ht="5.4" customHeight="1" thickBot="1">
      <c r="A34" s="449"/>
      <c r="B34" s="41"/>
      <c r="C34" s="862"/>
    </row>
    <row r="35" spans="1:4" s="954" customFormat="1" ht="54" customHeight="1">
      <c r="A35" s="1166" t="s">
        <v>182</v>
      </c>
      <c r="B35" s="1162">
        <f>+B36</f>
        <v>33176</v>
      </c>
      <c r="C35" s="1169" t="s">
        <v>1215</v>
      </c>
    </row>
    <row r="36" spans="1:4" s="30" customFormat="1" ht="20.45" customHeight="1">
      <c r="A36" s="1167" t="s">
        <v>714</v>
      </c>
      <c r="B36" s="1161">
        <v>33176</v>
      </c>
      <c r="C36" s="1169"/>
      <c r="D36" s="35"/>
    </row>
    <row r="37" spans="1:4" s="1163" customFormat="1" ht="6.55" customHeight="1">
      <c r="A37" s="1167"/>
      <c r="B37" s="1161"/>
      <c r="C37" s="1169"/>
      <c r="D37" s="1164"/>
    </row>
    <row r="38" spans="1:4" s="9" customFormat="1" ht="20.45" customHeight="1">
      <c r="A38" s="444" t="s">
        <v>20</v>
      </c>
      <c r="B38" s="20">
        <f>B39</f>
        <v>150725</v>
      </c>
      <c r="C38" s="732"/>
    </row>
    <row r="39" spans="1:4" s="9" customFormat="1" ht="65.95" customHeight="1">
      <c r="A39" s="1166" t="s">
        <v>182</v>
      </c>
      <c r="B39" s="1162">
        <f>SUM(B40:B41)</f>
        <v>150725</v>
      </c>
      <c r="C39" s="1169" t="s">
        <v>1213</v>
      </c>
    </row>
    <row r="40" spans="1:4" ht="23.4" customHeight="1">
      <c r="A40" s="1167" t="s">
        <v>447</v>
      </c>
      <c r="B40" s="1161">
        <v>150725</v>
      </c>
      <c r="C40" s="1170"/>
    </row>
    <row r="41" spans="1:4" ht="18.850000000000001" hidden="1" customHeight="1">
      <c r="A41" s="960" t="s">
        <v>748</v>
      </c>
      <c r="B41" s="961"/>
      <c r="C41" s="962"/>
    </row>
    <row r="42" spans="1:4" ht="15.05" customHeight="1">
      <c r="A42" s="1167"/>
      <c r="B42" s="1161"/>
      <c r="C42" s="1169"/>
    </row>
    <row r="43" spans="1:4" ht="35.049999999999997" customHeight="1">
      <c r="A43" s="1165" t="s">
        <v>1214</v>
      </c>
      <c r="B43" s="1162">
        <f>B47+B44</f>
        <v>7767857</v>
      </c>
      <c r="C43" s="1169"/>
    </row>
    <row r="44" spans="1:4" s="1163" customFormat="1" ht="24.05" customHeight="1">
      <c r="A44" s="1166" t="s">
        <v>179</v>
      </c>
      <c r="B44" s="1162">
        <f>SUM(B45:B46)</f>
        <v>6760215</v>
      </c>
      <c r="C44" s="1176" t="s">
        <v>1639</v>
      </c>
      <c r="D44" s="1164"/>
    </row>
    <row r="45" spans="1:4" s="1163" customFormat="1" ht="35.35" customHeight="1">
      <c r="A45" s="1167" t="s">
        <v>180</v>
      </c>
      <c r="B45" s="1161">
        <v>6749590</v>
      </c>
      <c r="C45" s="1248" t="s">
        <v>1682</v>
      </c>
      <c r="D45" s="1164"/>
    </row>
    <row r="46" spans="1:4" s="1163" customFormat="1" ht="22.25" customHeight="1">
      <c r="A46" s="1167" t="s">
        <v>181</v>
      </c>
      <c r="B46" s="1161">
        <v>10625</v>
      </c>
      <c r="C46" s="1169"/>
      <c r="D46" s="1164"/>
    </row>
    <row r="47" spans="1:4" ht="36.65" customHeight="1">
      <c r="A47" s="1171" t="s">
        <v>182</v>
      </c>
      <c r="B47" s="1172">
        <v>1007642</v>
      </c>
      <c r="C47" s="1405" t="s">
        <v>1785</v>
      </c>
    </row>
    <row r="48" spans="1:4" ht="35.049999999999997" customHeight="1">
      <c r="A48" s="446"/>
      <c r="B48" s="8"/>
      <c r="C48" s="1405"/>
    </row>
    <row r="49" spans="1:3" ht="35.049999999999997" customHeight="1">
      <c r="A49" s="446"/>
      <c r="B49" s="8"/>
      <c r="C49" s="763"/>
    </row>
    <row r="50" spans="1:3" ht="49.6" customHeight="1">
      <c r="A50" s="446"/>
      <c r="B50" s="8"/>
      <c r="C50" s="763"/>
    </row>
    <row r="51" spans="1:3" ht="36.65" customHeight="1">
      <c r="A51" s="446"/>
      <c r="B51" s="8"/>
      <c r="C51" s="763"/>
    </row>
    <row r="52" spans="1:3" ht="33.549999999999997" customHeight="1">
      <c r="A52" s="446"/>
      <c r="B52" s="8"/>
      <c r="C52" s="763"/>
    </row>
    <row r="53" spans="1:3" ht="24.55" customHeight="1">
      <c r="A53" s="446"/>
      <c r="B53" s="8"/>
      <c r="C53" s="763"/>
    </row>
    <row r="54" spans="1:3" ht="25.2" customHeight="1">
      <c r="A54" s="446"/>
      <c r="B54" s="8"/>
      <c r="C54" s="763"/>
    </row>
    <row r="55" spans="1:3" ht="22.6" customHeight="1" thickBot="1">
      <c r="A55" s="448"/>
      <c r="B55" s="37"/>
      <c r="C55" s="764"/>
    </row>
    <row r="56" spans="1:3" ht="22.6" customHeight="1">
      <c r="A56" s="864"/>
      <c r="B56" s="418"/>
      <c r="C56" s="4"/>
    </row>
  </sheetData>
  <mergeCells count="9">
    <mergeCell ref="C47:C48"/>
    <mergeCell ref="C12:C14"/>
    <mergeCell ref="A1:C1"/>
    <mergeCell ref="A5:A7"/>
    <mergeCell ref="B5:B7"/>
    <mergeCell ref="A4:C4"/>
    <mergeCell ref="A3:C3"/>
    <mergeCell ref="A2:C2"/>
    <mergeCell ref="C5:C7"/>
  </mergeCells>
  <phoneticPr fontId="5" type="noConversion"/>
  <printOptions horizontalCentered="1"/>
  <pageMargins left="0.59055118110236227" right="0.59055118110236227" top="0.59055118110236227" bottom="0.78740157480314965" header="0.51181102362204722" footer="0.51181102362204722"/>
  <pageSetup paperSize="9" firstPageNumber="25" orientation="portrait" useFirstPageNumber="1" r:id="rId1"/>
  <headerFooter alignWithMargins="0">
    <oddFooter>&amp;C&amp;"Times New Roman,標準"&amp;P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F30"/>
  <sheetViews>
    <sheetView view="pageBreakPreview" zoomScaleNormal="100" zoomScaleSheetLayoutView="100" workbookViewId="0">
      <selection activeCell="L13" sqref="L13"/>
    </sheetView>
  </sheetViews>
  <sheetFormatPr defaultColWidth="9" defaultRowHeight="15.05"/>
  <cols>
    <col min="1" max="1" width="27.625" style="6" customWidth="1"/>
    <col min="2" max="2" width="13.375" style="6" customWidth="1"/>
    <col min="3" max="3" width="49" style="6" customWidth="1"/>
    <col min="4" max="4" width="39" style="6" customWidth="1"/>
    <col min="5" max="5" width="9" style="6"/>
    <col min="6" max="6" width="26.375" style="6" customWidth="1"/>
    <col min="7" max="7" width="19.875" style="6" customWidth="1"/>
    <col min="8" max="16384" width="9" style="6"/>
  </cols>
  <sheetData>
    <row r="1" spans="1:6" s="2" customFormat="1" ht="22.25">
      <c r="A1" s="1266" t="s">
        <v>59</v>
      </c>
      <c r="B1" s="1266"/>
      <c r="C1" s="1266"/>
      <c r="D1" s="1"/>
      <c r="E1" s="1"/>
      <c r="F1" s="1"/>
    </row>
    <row r="2" spans="1:6" s="2" customFormat="1" ht="22.25">
      <c r="A2" s="1266" t="s">
        <v>60</v>
      </c>
      <c r="B2" s="1266"/>
      <c r="C2" s="1266"/>
      <c r="D2" s="1"/>
      <c r="E2" s="1"/>
      <c r="F2" s="1"/>
    </row>
    <row r="3" spans="1:6" s="2" customFormat="1" ht="24.75" customHeight="1">
      <c r="A3" s="1267" t="s">
        <v>1709</v>
      </c>
      <c r="B3" s="1268"/>
      <c r="C3" s="1268"/>
      <c r="D3" s="3"/>
      <c r="E3" s="3"/>
      <c r="F3" s="3"/>
    </row>
    <row r="4" spans="1:6" s="2" customFormat="1" ht="24.75" customHeight="1" thickBot="1">
      <c r="A4" s="1316" t="s">
        <v>1762</v>
      </c>
      <c r="B4" s="1287"/>
      <c r="C4" s="1287"/>
      <c r="D4" s="4"/>
      <c r="E4" s="4"/>
      <c r="F4" s="4"/>
    </row>
    <row r="5" spans="1:6">
      <c r="A5" s="1407" t="s">
        <v>156</v>
      </c>
      <c r="B5" s="1410" t="s">
        <v>154</v>
      </c>
      <c r="C5" s="1413" t="s">
        <v>155</v>
      </c>
      <c r="D5" s="5"/>
      <c r="E5" s="4"/>
      <c r="F5" s="4"/>
    </row>
    <row r="6" spans="1:6">
      <c r="A6" s="1408"/>
      <c r="B6" s="1411"/>
      <c r="C6" s="1414"/>
      <c r="D6" s="5"/>
      <c r="E6" s="4"/>
      <c r="F6" s="4"/>
    </row>
    <row r="7" spans="1:6">
      <c r="A7" s="1409"/>
      <c r="B7" s="1412"/>
      <c r="C7" s="1415"/>
    </row>
    <row r="8" spans="1:6" ht="8.1999999999999993" customHeight="1">
      <c r="A8" s="73"/>
      <c r="B8" s="384"/>
      <c r="C8" s="386"/>
    </row>
    <row r="9" spans="1:6" s="9" customFormat="1" ht="44.2" customHeight="1">
      <c r="A9" s="443" t="s">
        <v>183</v>
      </c>
      <c r="B9" s="20">
        <f>+B10+B13+B18</f>
        <v>33499014</v>
      </c>
      <c r="C9" s="1062" t="s">
        <v>1529</v>
      </c>
      <c r="D9" s="899">
        <f>+B10+B13</f>
        <v>33468014</v>
      </c>
      <c r="E9" s="927">
        <f>+B19</f>
        <v>31000</v>
      </c>
      <c r="F9" s="927">
        <f>+D9+E9</f>
        <v>33499014</v>
      </c>
    </row>
    <row r="10" spans="1:6" s="30" customFormat="1" ht="29.95" customHeight="1">
      <c r="A10" s="445" t="s">
        <v>746</v>
      </c>
      <c r="B10" s="20">
        <f>+B11</f>
        <v>30000000</v>
      </c>
      <c r="C10" s="833"/>
      <c r="D10" s="220"/>
    </row>
    <row r="11" spans="1:6" s="30" customFormat="1" ht="42.05" customHeight="1">
      <c r="A11" s="446" t="s">
        <v>184</v>
      </c>
      <c r="B11" s="1161">
        <v>30000000</v>
      </c>
      <c r="C11" s="833" t="s">
        <v>775</v>
      </c>
      <c r="D11" s="220"/>
    </row>
    <row r="12" spans="1:6" s="30" customFormat="1" ht="20.3" customHeight="1">
      <c r="A12" s="446"/>
      <c r="B12" s="8"/>
      <c r="C12" s="959"/>
      <c r="D12" s="220"/>
    </row>
    <row r="13" spans="1:6" s="9" customFormat="1" ht="29.95" customHeight="1">
      <c r="A13" s="445" t="s">
        <v>712</v>
      </c>
      <c r="B13" s="20">
        <f>B14</f>
        <v>3468014</v>
      </c>
      <c r="C13" s="34"/>
    </row>
    <row r="14" spans="1:6" s="30" customFormat="1" ht="26.35" customHeight="1">
      <c r="A14" s="446" t="s">
        <v>184</v>
      </c>
      <c r="B14" s="8">
        <f>+B15+B16</f>
        <v>3468014</v>
      </c>
      <c r="C14" s="34"/>
      <c r="D14" s="220"/>
    </row>
    <row r="15" spans="1:6" s="30" customFormat="1" ht="54" customHeight="1">
      <c r="A15" s="446" t="s">
        <v>715</v>
      </c>
      <c r="B15" s="8">
        <v>3468014</v>
      </c>
      <c r="C15" s="34" t="s">
        <v>932</v>
      </c>
      <c r="D15" s="220"/>
    </row>
    <row r="16" spans="1:6" s="30" customFormat="1" ht="55.15" hidden="1" customHeight="1">
      <c r="A16" s="446" t="s">
        <v>716</v>
      </c>
      <c r="B16" s="8"/>
      <c r="C16" s="34" t="s">
        <v>781</v>
      </c>
      <c r="D16" s="220"/>
    </row>
    <row r="17" spans="1:6" s="30" customFormat="1" ht="20.3" customHeight="1">
      <c r="A17" s="446"/>
      <c r="B17" s="8"/>
      <c r="C17" s="34"/>
      <c r="D17" s="220"/>
    </row>
    <row r="18" spans="1:6" s="30" customFormat="1" ht="29.95" customHeight="1">
      <c r="A18" s="445" t="s">
        <v>719</v>
      </c>
      <c r="B18" s="20">
        <f>B19+B20</f>
        <v>31000</v>
      </c>
      <c r="C18" s="34" t="s">
        <v>448</v>
      </c>
      <c r="D18" s="220"/>
    </row>
    <row r="19" spans="1:6" s="30" customFormat="1" ht="42.05" customHeight="1">
      <c r="A19" s="446" t="s">
        <v>184</v>
      </c>
      <c r="B19" s="8">
        <v>31000</v>
      </c>
      <c r="C19" s="34" t="s">
        <v>95</v>
      </c>
      <c r="D19" s="220"/>
    </row>
    <row r="20" spans="1:6" s="30" customFormat="1" ht="38" hidden="1" customHeight="1">
      <c r="A20" s="446" t="s">
        <v>185</v>
      </c>
      <c r="B20" s="8"/>
      <c r="C20" s="34" t="s">
        <v>680</v>
      </c>
      <c r="D20" s="36"/>
      <c r="F20" s="10"/>
    </row>
    <row r="21" spans="1:6" s="9" customFormat="1" ht="27.85" customHeight="1">
      <c r="A21" s="446"/>
      <c r="B21" s="40"/>
      <c r="C21" s="34"/>
    </row>
    <row r="22" spans="1:6" s="9" customFormat="1" ht="26.2" customHeight="1">
      <c r="A22" s="446"/>
      <c r="B22" s="40"/>
      <c r="C22" s="34"/>
    </row>
    <row r="23" spans="1:6" s="9" customFormat="1" ht="26.2" customHeight="1">
      <c r="A23" s="446"/>
      <c r="B23" s="40"/>
      <c r="C23" s="34"/>
    </row>
    <row r="24" spans="1:6" s="9" customFormat="1" ht="38.299999999999997" customHeight="1">
      <c r="A24" s="446"/>
      <c r="B24" s="40"/>
      <c r="C24" s="34"/>
    </row>
    <row r="25" spans="1:6" s="9" customFormat="1" ht="13.6" customHeight="1">
      <c r="A25" s="446"/>
      <c r="B25" s="40"/>
      <c r="C25" s="34"/>
    </row>
    <row r="26" spans="1:6" s="9" customFormat="1" ht="25.2" customHeight="1">
      <c r="A26" s="446"/>
      <c r="B26" s="40"/>
      <c r="C26" s="34"/>
    </row>
    <row r="27" spans="1:6" s="9" customFormat="1" ht="24.05" customHeight="1">
      <c r="A27" s="446"/>
      <c r="B27" s="40"/>
      <c r="C27" s="34"/>
    </row>
    <row r="28" spans="1:6" s="9" customFormat="1" ht="20.45" customHeight="1">
      <c r="A28" s="446"/>
      <c r="B28" s="40"/>
      <c r="C28" s="34"/>
    </row>
    <row r="29" spans="1:6" s="9" customFormat="1" ht="28.15" customHeight="1">
      <c r="A29" s="447"/>
      <c r="B29" s="40"/>
      <c r="C29" s="34"/>
    </row>
    <row r="30" spans="1:6" s="9" customFormat="1" ht="53.35" customHeight="1" thickBot="1">
      <c r="A30" s="449"/>
      <c r="B30" s="41"/>
      <c r="C30" s="38"/>
    </row>
  </sheetData>
  <mergeCells count="7">
    <mergeCell ref="A1:C1"/>
    <mergeCell ref="A5:A7"/>
    <mergeCell ref="B5:B7"/>
    <mergeCell ref="C5:C7"/>
    <mergeCell ref="A4:C4"/>
    <mergeCell ref="A3:C3"/>
    <mergeCell ref="A2:C2"/>
  </mergeCells>
  <phoneticPr fontId="5" type="noConversion"/>
  <printOptions horizontalCentered="1"/>
  <pageMargins left="0.59055118110236227" right="0.59055118110236227" top="0.59055118110236227" bottom="0.78740157480314965" header="0.51181102362204722" footer="0.51181102362204722"/>
  <pageSetup paperSize="9" firstPageNumber="27" orientation="portrait" useFirstPageNumber="1" r:id="rId1"/>
  <headerFooter alignWithMargins="0">
    <oddFooter>&amp;C&amp;"Times New Roman,標準"&amp;P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F55"/>
  <sheetViews>
    <sheetView view="pageBreakPreview" zoomScaleNormal="100" zoomScaleSheetLayoutView="100" workbookViewId="0">
      <selection activeCell="L13" sqref="L13"/>
    </sheetView>
  </sheetViews>
  <sheetFormatPr defaultColWidth="9" defaultRowHeight="16.399999999999999"/>
  <cols>
    <col min="1" max="1" width="25.5" style="462" bestFit="1" customWidth="1"/>
    <col min="2" max="2" width="24.625" style="6" customWidth="1"/>
    <col min="3" max="3" width="40.125" style="6" customWidth="1"/>
    <col min="4" max="4" width="39" style="6" customWidth="1"/>
    <col min="5" max="5" width="9" style="6"/>
    <col min="6" max="6" width="26.375" style="6" customWidth="1"/>
    <col min="7" max="7" width="19.875" style="6" customWidth="1"/>
    <col min="8" max="16384" width="9" style="6"/>
  </cols>
  <sheetData>
    <row r="1" spans="1:6" s="2" customFormat="1" ht="22.25">
      <c r="A1" s="1266" t="s">
        <v>59</v>
      </c>
      <c r="B1" s="1266"/>
      <c r="C1" s="1266"/>
      <c r="D1" s="1"/>
      <c r="E1" s="1"/>
      <c r="F1" s="1"/>
    </row>
    <row r="2" spans="1:6" s="2" customFormat="1" ht="22.25">
      <c r="A2" s="1266" t="s">
        <v>60</v>
      </c>
      <c r="B2" s="1266"/>
      <c r="C2" s="1266"/>
      <c r="D2" s="1"/>
      <c r="E2" s="1"/>
      <c r="F2" s="1"/>
    </row>
    <row r="3" spans="1:6" s="2" customFormat="1" ht="24.75" customHeight="1">
      <c r="A3" s="1267" t="s">
        <v>1710</v>
      </c>
      <c r="B3" s="1268"/>
      <c r="C3" s="1268"/>
      <c r="D3" s="3"/>
      <c r="E3" s="3"/>
      <c r="F3" s="3"/>
    </row>
    <row r="4" spans="1:6" s="2" customFormat="1" ht="24.75" customHeight="1" thickBot="1">
      <c r="A4" s="1316" t="s">
        <v>1744</v>
      </c>
      <c r="B4" s="1287"/>
      <c r="C4" s="1287"/>
      <c r="D4" s="4"/>
      <c r="E4" s="4"/>
      <c r="F4" s="4"/>
    </row>
    <row r="5" spans="1:6" ht="15.05">
      <c r="A5" s="1407" t="s">
        <v>156</v>
      </c>
      <c r="B5" s="1313" t="s">
        <v>62</v>
      </c>
      <c r="C5" s="1416" t="s">
        <v>63</v>
      </c>
      <c r="D5" s="5"/>
      <c r="E5" s="4"/>
      <c r="F5" s="4"/>
    </row>
    <row r="6" spans="1:6" ht="15.05">
      <c r="A6" s="1408"/>
      <c r="B6" s="1314"/>
      <c r="C6" s="1417"/>
      <c r="D6" s="5"/>
      <c r="E6" s="4"/>
      <c r="F6" s="4"/>
    </row>
    <row r="7" spans="1:6" ht="15.05">
      <c r="A7" s="1409"/>
      <c r="B7" s="1315"/>
      <c r="C7" s="1418"/>
    </row>
    <row r="8" spans="1:6" ht="3.6" customHeight="1">
      <c r="A8" s="73"/>
      <c r="B8" s="384"/>
      <c r="C8" s="386"/>
    </row>
    <row r="9" spans="1:6" s="30" customFormat="1" ht="48.6" customHeight="1">
      <c r="A9" s="460" t="s">
        <v>148</v>
      </c>
      <c r="B9" s="20">
        <f>+B10+B25+B31+B39+B43</f>
        <v>257048</v>
      </c>
      <c r="C9" s="34" t="s">
        <v>1216</v>
      </c>
    </row>
    <row r="10" spans="1:6" s="30" customFormat="1" ht="22.95" customHeight="1">
      <c r="A10" s="445" t="s">
        <v>160</v>
      </c>
      <c r="B10" s="20">
        <f>B11+B15</f>
        <v>232855</v>
      </c>
      <c r="C10" s="29"/>
    </row>
    <row r="11" spans="1:6" s="30" customFormat="1" ht="21.6" customHeight="1">
      <c r="A11" s="443" t="s">
        <v>194</v>
      </c>
      <c r="B11" s="20">
        <f>B12</f>
        <v>332</v>
      </c>
      <c r="C11" s="219"/>
      <c r="D11" s="220"/>
    </row>
    <row r="12" spans="1:6" s="9" customFormat="1" ht="81.650000000000006" customHeight="1">
      <c r="A12" s="447" t="s">
        <v>195</v>
      </c>
      <c r="B12" s="8">
        <f>SUM(B13:B14)</f>
        <v>332</v>
      </c>
      <c r="C12" s="860" t="s">
        <v>749</v>
      </c>
    </row>
    <row r="13" spans="1:6" s="30" customFormat="1" ht="26.05" customHeight="1">
      <c r="A13" s="446" t="s">
        <v>162</v>
      </c>
      <c r="B13" s="8">
        <v>326</v>
      </c>
      <c r="C13" s="861"/>
      <c r="D13" s="35"/>
    </row>
    <row r="14" spans="1:6" s="30" customFormat="1" ht="25.2" customHeight="1">
      <c r="A14" s="446" t="s">
        <v>163</v>
      </c>
      <c r="B14" s="8">
        <v>6</v>
      </c>
      <c r="C14" s="861"/>
      <c r="D14" s="35"/>
    </row>
    <row r="15" spans="1:6" s="30" customFormat="1" ht="27.65" customHeight="1">
      <c r="A15" s="443" t="s">
        <v>196</v>
      </c>
      <c r="B15" s="20">
        <f>B18+B21+B16</f>
        <v>232523</v>
      </c>
      <c r="C15" s="29"/>
      <c r="D15" s="36"/>
      <c r="F15" s="10"/>
    </row>
    <row r="16" spans="1:6" s="9" customFormat="1" ht="29.95" customHeight="1">
      <c r="A16" s="461" t="s">
        <v>449</v>
      </c>
      <c r="B16" s="8">
        <f>SUM(B17:B17)</f>
        <v>700</v>
      </c>
      <c r="C16" s="34" t="s">
        <v>750</v>
      </c>
    </row>
    <row r="17" spans="1:6" s="30" customFormat="1" ht="23.4" customHeight="1">
      <c r="A17" s="446" t="s">
        <v>162</v>
      </c>
      <c r="B17" s="8">
        <v>700</v>
      </c>
      <c r="C17" s="861"/>
      <c r="D17" s="35"/>
    </row>
    <row r="18" spans="1:6" s="9" customFormat="1" ht="24.55" customHeight="1">
      <c r="A18" s="461" t="s">
        <v>450</v>
      </c>
      <c r="B18" s="8">
        <f>SUM(B19:B20)</f>
        <v>223444</v>
      </c>
      <c r="C18" s="34" t="s">
        <v>97</v>
      </c>
    </row>
    <row r="19" spans="1:6" s="30" customFormat="1" ht="24.55" customHeight="1">
      <c r="A19" s="446" t="s">
        <v>439</v>
      </c>
      <c r="B19" s="8">
        <v>220419</v>
      </c>
      <c r="C19" s="861"/>
      <c r="D19" s="35"/>
    </row>
    <row r="20" spans="1:6" s="30" customFormat="1" ht="24.55" customHeight="1">
      <c r="A20" s="446" t="s">
        <v>438</v>
      </c>
      <c r="B20" s="8">
        <v>3025</v>
      </c>
      <c r="C20" s="861"/>
      <c r="D20" s="35"/>
    </row>
    <row r="21" spans="1:6" s="9" customFormat="1" ht="25.55" customHeight="1">
      <c r="A21" s="461" t="s">
        <v>451</v>
      </c>
      <c r="B21" s="8">
        <f>SUM(B22:B23)</f>
        <v>8379</v>
      </c>
      <c r="C21" s="833" t="s">
        <v>1615</v>
      </c>
    </row>
    <row r="22" spans="1:6" s="30" customFormat="1" ht="27" customHeight="1">
      <c r="A22" s="446" t="s">
        <v>439</v>
      </c>
      <c r="B22" s="8">
        <v>8378</v>
      </c>
      <c r="C22" s="861"/>
      <c r="D22" s="35"/>
    </row>
    <row r="23" spans="1:6" s="30" customFormat="1" ht="22.25" customHeight="1">
      <c r="A23" s="446" t="s">
        <v>438</v>
      </c>
      <c r="B23" s="8">
        <v>1</v>
      </c>
      <c r="C23" s="861"/>
      <c r="D23" s="35"/>
    </row>
    <row r="24" spans="1:6" s="9" customFormat="1" ht="4.25" customHeight="1">
      <c r="A24" s="447"/>
      <c r="B24" s="40"/>
      <c r="C24" s="34"/>
    </row>
    <row r="25" spans="1:6" s="30" customFormat="1" ht="23.25" customHeight="1">
      <c r="A25" s="445" t="s">
        <v>440</v>
      </c>
      <c r="B25" s="20">
        <f>B26+B28</f>
        <v>8512</v>
      </c>
      <c r="C25" s="29"/>
    </row>
    <row r="26" spans="1:6" s="30" customFormat="1" ht="25.2" customHeight="1">
      <c r="A26" s="443" t="s">
        <v>452</v>
      </c>
      <c r="B26" s="20">
        <f>B27</f>
        <v>73</v>
      </c>
      <c r="C26" s="219"/>
      <c r="D26" s="220"/>
    </row>
    <row r="27" spans="1:6" s="9" customFormat="1" ht="86.4" customHeight="1">
      <c r="A27" s="930" t="s">
        <v>453</v>
      </c>
      <c r="B27" s="1161">
        <v>73</v>
      </c>
      <c r="C27" s="1153" t="s">
        <v>58</v>
      </c>
    </row>
    <row r="28" spans="1:6" s="30" customFormat="1" ht="38" customHeight="1" thickBot="1">
      <c r="A28" s="1173" t="s">
        <v>454</v>
      </c>
      <c r="B28" s="277">
        <f>SUM(B29:B30)</f>
        <v>8439</v>
      </c>
      <c r="C28" s="1174"/>
      <c r="D28" s="36"/>
      <c r="F28" s="10"/>
    </row>
    <row r="29" spans="1:6" s="9" customFormat="1" ht="23.4" customHeight="1">
      <c r="A29" s="461" t="s">
        <v>455</v>
      </c>
      <c r="B29" s="8">
        <v>8060</v>
      </c>
      <c r="C29" s="34" t="s">
        <v>97</v>
      </c>
    </row>
    <row r="30" spans="1:6" s="9" customFormat="1" ht="23.4" customHeight="1">
      <c r="A30" s="461" t="s">
        <v>451</v>
      </c>
      <c r="B30" s="40">
        <v>379</v>
      </c>
      <c r="C30" s="833" t="s">
        <v>1614</v>
      </c>
    </row>
    <row r="31" spans="1:6" s="30" customFormat="1" ht="25.2" customHeight="1">
      <c r="A31" s="445" t="s">
        <v>1545</v>
      </c>
      <c r="B31" s="20">
        <f>B32+B35</f>
        <v>6065</v>
      </c>
      <c r="C31" s="29"/>
    </row>
    <row r="32" spans="1:6" s="30" customFormat="1" ht="21.6" customHeight="1">
      <c r="A32" s="443" t="s">
        <v>452</v>
      </c>
      <c r="B32" s="20">
        <f>B33</f>
        <v>3</v>
      </c>
      <c r="C32" s="219"/>
      <c r="D32" s="220"/>
    </row>
    <row r="33" spans="1:6" s="9" customFormat="1" ht="80.349999999999994" customHeight="1">
      <c r="A33" s="447" t="s">
        <v>453</v>
      </c>
      <c r="B33" s="8">
        <f>+B34</f>
        <v>3</v>
      </c>
      <c r="C33" s="860" t="s">
        <v>58</v>
      </c>
    </row>
    <row r="34" spans="1:6" s="831" customFormat="1" ht="21.6" customHeight="1">
      <c r="A34" s="447" t="s">
        <v>717</v>
      </c>
      <c r="B34" s="8">
        <v>3</v>
      </c>
      <c r="C34" s="860"/>
    </row>
    <row r="35" spans="1:6" s="30" customFormat="1" ht="26.35" customHeight="1">
      <c r="A35" s="443" t="s">
        <v>454</v>
      </c>
      <c r="B35" s="20">
        <f>+B36</f>
        <v>6062</v>
      </c>
      <c r="C35" s="29"/>
      <c r="D35" s="36"/>
      <c r="F35" s="10"/>
    </row>
    <row r="36" spans="1:6" s="9" customFormat="1" ht="24.05" customHeight="1">
      <c r="A36" s="461" t="s">
        <v>455</v>
      </c>
      <c r="B36" s="8">
        <f>+B37</f>
        <v>6062</v>
      </c>
      <c r="C36" s="34" t="s">
        <v>97</v>
      </c>
    </row>
    <row r="37" spans="1:6" s="30" customFormat="1" ht="25.2" customHeight="1">
      <c r="A37" s="461" t="s">
        <v>718</v>
      </c>
      <c r="B37" s="8">
        <v>6062</v>
      </c>
      <c r="C37" s="29"/>
    </row>
    <row r="38" spans="1:6" s="30" customFormat="1" ht="2.95" customHeight="1">
      <c r="A38" s="443"/>
      <c r="B38" s="20"/>
      <c r="C38" s="29"/>
      <c r="D38" s="36"/>
      <c r="F38" s="10"/>
    </row>
    <row r="39" spans="1:6" s="744" customFormat="1" ht="27" customHeight="1">
      <c r="A39" s="460" t="s">
        <v>1546</v>
      </c>
      <c r="B39" s="20">
        <f>B40+B42</f>
        <v>780</v>
      </c>
      <c r="C39" s="34"/>
    </row>
    <row r="40" spans="1:6" s="30" customFormat="1" ht="24.05" customHeight="1">
      <c r="A40" s="443" t="s">
        <v>196</v>
      </c>
      <c r="B40" s="20">
        <f>B41</f>
        <v>780</v>
      </c>
      <c r="C40" s="29"/>
      <c r="D40" s="36"/>
      <c r="F40" s="10"/>
    </row>
    <row r="41" spans="1:6" s="831" customFormat="1" ht="33.549999999999997" customHeight="1">
      <c r="A41" s="461" t="s">
        <v>449</v>
      </c>
      <c r="B41" s="8">
        <v>780</v>
      </c>
      <c r="C41" s="34" t="s">
        <v>751</v>
      </c>
    </row>
    <row r="42" spans="1:6" s="30" customFormat="1" ht="7.2" customHeight="1">
      <c r="A42" s="446"/>
      <c r="B42" s="8"/>
      <c r="C42" s="861"/>
      <c r="D42" s="35"/>
    </row>
    <row r="43" spans="1:6" s="1151" customFormat="1" ht="26.35" customHeight="1">
      <c r="A43" s="460" t="s">
        <v>1547</v>
      </c>
      <c r="B43" s="1162">
        <f>B46+B44</f>
        <v>8836</v>
      </c>
      <c r="C43" s="1062"/>
    </row>
    <row r="44" spans="1:6" s="1163" customFormat="1" ht="24.05" customHeight="1">
      <c r="A44" s="443" t="s">
        <v>194</v>
      </c>
      <c r="B44" s="1162">
        <f>B45</f>
        <v>13</v>
      </c>
      <c r="C44" s="219"/>
      <c r="D44" s="220"/>
    </row>
    <row r="45" spans="1:6" s="1151" customFormat="1" ht="81.650000000000006" customHeight="1">
      <c r="A45" s="930" t="s">
        <v>195</v>
      </c>
      <c r="B45" s="1161">
        <v>13</v>
      </c>
      <c r="C45" s="1153" t="s">
        <v>58</v>
      </c>
    </row>
    <row r="46" spans="1:6" s="1163" customFormat="1" ht="24.05" customHeight="1">
      <c r="A46" s="443" t="s">
        <v>196</v>
      </c>
      <c r="B46" s="1162">
        <f>SUM(B47:B49)</f>
        <v>8823</v>
      </c>
      <c r="C46" s="29"/>
      <c r="D46" s="36"/>
      <c r="F46" s="10"/>
    </row>
    <row r="47" spans="1:6" s="1151" customFormat="1" ht="40.25" customHeight="1">
      <c r="A47" s="461" t="s">
        <v>449</v>
      </c>
      <c r="B47" s="1161">
        <v>1770</v>
      </c>
      <c r="C47" s="833" t="s">
        <v>1553</v>
      </c>
    </row>
    <row r="48" spans="1:6" s="1151" customFormat="1" ht="24.55" customHeight="1">
      <c r="A48" s="461" t="s">
        <v>450</v>
      </c>
      <c r="B48" s="1161">
        <v>7050</v>
      </c>
      <c r="C48" s="1062" t="s">
        <v>97</v>
      </c>
    </row>
    <row r="49" spans="1:3" s="1151" customFormat="1" ht="32.4" customHeight="1">
      <c r="A49" s="461" t="s">
        <v>451</v>
      </c>
      <c r="B49" s="40">
        <v>3</v>
      </c>
      <c r="C49" s="833" t="s">
        <v>1619</v>
      </c>
    </row>
    <row r="50" spans="1:3" s="9" customFormat="1" ht="13.75" customHeight="1" thickBot="1">
      <c r="A50" s="449"/>
      <c r="B50" s="41"/>
      <c r="C50" s="38"/>
    </row>
    <row r="55" spans="1:3" hidden="1">
      <c r="C55" s="391" t="s">
        <v>98</v>
      </c>
    </row>
  </sheetData>
  <mergeCells count="7">
    <mergeCell ref="A1:C1"/>
    <mergeCell ref="A5:A7"/>
    <mergeCell ref="B5:B7"/>
    <mergeCell ref="C5:C7"/>
    <mergeCell ref="A4:C4"/>
    <mergeCell ref="A3:C3"/>
    <mergeCell ref="A2:C2"/>
  </mergeCells>
  <phoneticPr fontId="5" type="noConversion"/>
  <printOptions horizontalCentered="1"/>
  <pageMargins left="0.59055118110236227" right="0.59055118110236227" top="0.59055118110236227" bottom="0.78740157480314965" header="0.51181102362204722" footer="0.51181102362204722"/>
  <pageSetup paperSize="9" firstPageNumber="28" orientation="portrait" useFirstPageNumber="1" r:id="rId1"/>
  <headerFooter alignWithMargins="0">
    <oddFooter>&amp;C&amp;"Times New Roman,標準"&amp;P</oddFooter>
  </headerFooter>
  <rowBreaks count="1" manualBreakCount="1">
    <brk id="28" max="2" man="1"/>
  </rowBreak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E25"/>
  <sheetViews>
    <sheetView view="pageBreakPreview" zoomScaleNormal="100" zoomScaleSheetLayoutView="100" workbookViewId="0">
      <selection activeCell="L13" sqref="L13"/>
    </sheetView>
  </sheetViews>
  <sheetFormatPr defaultColWidth="9" defaultRowHeight="15.05"/>
  <cols>
    <col min="1" max="2" width="19.375" style="12" customWidth="1"/>
    <col min="3" max="3" width="31.75" style="12" customWidth="1"/>
    <col min="4" max="4" width="19.75" style="12" customWidth="1"/>
    <col min="5" max="16384" width="9" style="12"/>
  </cols>
  <sheetData>
    <row r="1" spans="1:5" s="93" customFormat="1" ht="22.25">
      <c r="A1" s="1296" t="s">
        <v>59</v>
      </c>
      <c r="B1" s="1296"/>
      <c r="C1" s="1296"/>
      <c r="D1" s="1296"/>
    </row>
    <row r="2" spans="1:5" s="93" customFormat="1" ht="22.25">
      <c r="A2" s="1296" t="s">
        <v>60</v>
      </c>
      <c r="B2" s="1296"/>
      <c r="C2" s="1296"/>
      <c r="D2" s="1296"/>
    </row>
    <row r="3" spans="1:5" s="93" customFormat="1" ht="24.9" customHeight="1">
      <c r="A3" s="1297" t="s">
        <v>345</v>
      </c>
      <c r="B3" s="1298"/>
      <c r="C3" s="1298"/>
      <c r="D3" s="1298"/>
    </row>
    <row r="4" spans="1:5" s="93" customFormat="1" ht="24.9" customHeight="1" thickBot="1">
      <c r="A4" s="1419" t="s">
        <v>1699</v>
      </c>
      <c r="B4" s="1420"/>
      <c r="C4" s="1420"/>
      <c r="D4" s="1420"/>
    </row>
    <row r="5" spans="1:5" s="94" customFormat="1" ht="29.95" customHeight="1">
      <c r="A5" s="392" t="s">
        <v>99</v>
      </c>
      <c r="B5" s="393" t="s">
        <v>76</v>
      </c>
      <c r="C5" s="450" t="s">
        <v>6</v>
      </c>
      <c r="D5" s="394" t="s">
        <v>77</v>
      </c>
    </row>
    <row r="6" spans="1:5" s="94" customFormat="1" ht="8.1999999999999993" customHeight="1">
      <c r="A6" s="395"/>
      <c r="B6" s="396"/>
      <c r="C6" s="451"/>
      <c r="D6" s="397"/>
    </row>
    <row r="7" spans="1:5" s="21" customFormat="1" ht="36" customHeight="1">
      <c r="A7" s="170">
        <v>37228</v>
      </c>
      <c r="B7" s="171">
        <f>+B8</f>
        <v>21280</v>
      </c>
      <c r="C7" s="452" t="s">
        <v>382</v>
      </c>
      <c r="D7" s="176">
        <f>+D8</f>
        <v>39738</v>
      </c>
      <c r="E7" s="657"/>
    </row>
    <row r="8" spans="1:5" s="21" customFormat="1" ht="33.049999999999997" customHeight="1">
      <c r="A8" s="170">
        <v>37228</v>
      </c>
      <c r="B8" s="171">
        <f>+B9</f>
        <v>21280</v>
      </c>
      <c r="C8" s="628" t="s">
        <v>160</v>
      </c>
      <c r="D8" s="176">
        <f>+D9</f>
        <v>39738</v>
      </c>
    </row>
    <row r="9" spans="1:5" s="21" customFormat="1" ht="44.35" customHeight="1">
      <c r="A9" s="170">
        <v>37228</v>
      </c>
      <c r="B9" s="171">
        <f>B10+B20+B17+B24</f>
        <v>21280</v>
      </c>
      <c r="C9" s="453" t="s">
        <v>383</v>
      </c>
      <c r="D9" s="176">
        <f>D10+D20+D17+D24</f>
        <v>39738</v>
      </c>
    </row>
    <row r="10" spans="1:5" s="21" customFormat="1" ht="36" customHeight="1">
      <c r="A10" s="173">
        <v>1433</v>
      </c>
      <c r="B10" s="174">
        <f>SUM(B11:B16)</f>
        <v>2867</v>
      </c>
      <c r="C10" s="454" t="s">
        <v>197</v>
      </c>
      <c r="D10" s="175">
        <f>SUM(D11:D16)</f>
        <v>2791</v>
      </c>
    </row>
    <row r="11" spans="1:5" s="21" customFormat="1" ht="33.049999999999997" customHeight="1">
      <c r="A11" s="173">
        <v>1</v>
      </c>
      <c r="B11" s="260">
        <v>7</v>
      </c>
      <c r="C11" s="454" t="s">
        <v>198</v>
      </c>
      <c r="D11" s="175">
        <v>7</v>
      </c>
    </row>
    <row r="12" spans="1:5" s="21" customFormat="1" ht="33.549999999999997" customHeight="1">
      <c r="A12" s="173">
        <v>1</v>
      </c>
      <c r="B12" s="260">
        <v>0</v>
      </c>
      <c r="C12" s="259" t="s">
        <v>1649</v>
      </c>
      <c r="D12" s="175">
        <v>1</v>
      </c>
    </row>
    <row r="13" spans="1:5" s="21" customFormat="1" ht="33.049999999999997" customHeight="1">
      <c r="A13" s="173">
        <v>1125</v>
      </c>
      <c r="B13" s="260">
        <v>2195</v>
      </c>
      <c r="C13" s="454" t="s">
        <v>199</v>
      </c>
      <c r="D13" s="175">
        <v>2118</v>
      </c>
    </row>
    <row r="14" spans="1:5" s="9" customFormat="1" ht="31.25" customHeight="1">
      <c r="A14" s="187">
        <v>0</v>
      </c>
      <c r="B14" s="380">
        <v>121</v>
      </c>
      <c r="C14" s="259" t="s">
        <v>200</v>
      </c>
      <c r="D14" s="381">
        <v>121</v>
      </c>
    </row>
    <row r="15" spans="1:5" s="21" customFormat="1" ht="37.5" customHeight="1">
      <c r="A15" s="173">
        <v>306</v>
      </c>
      <c r="B15" s="260">
        <v>394</v>
      </c>
      <c r="C15" s="454" t="s">
        <v>201</v>
      </c>
      <c r="D15" s="175">
        <v>394</v>
      </c>
    </row>
    <row r="16" spans="1:5" s="9" customFormat="1" ht="36" customHeight="1">
      <c r="A16" s="187">
        <v>0</v>
      </c>
      <c r="B16" s="380">
        <v>150</v>
      </c>
      <c r="C16" s="259" t="s">
        <v>202</v>
      </c>
      <c r="D16" s="381">
        <v>150</v>
      </c>
    </row>
    <row r="17" spans="1:4" s="21" customFormat="1" ht="35.049999999999997" customHeight="1">
      <c r="A17" s="173">
        <v>16764</v>
      </c>
      <c r="B17" s="174">
        <f>B18+B19</f>
        <v>16763</v>
      </c>
      <c r="C17" s="454" t="s">
        <v>362</v>
      </c>
      <c r="D17" s="175">
        <f>D18+D19</f>
        <v>16764</v>
      </c>
    </row>
    <row r="18" spans="1:4" s="21" customFormat="1" ht="36" customHeight="1">
      <c r="A18" s="173">
        <v>16155</v>
      </c>
      <c r="B18" s="260">
        <v>16154</v>
      </c>
      <c r="C18" s="454" t="s">
        <v>363</v>
      </c>
      <c r="D18" s="175">
        <v>16155</v>
      </c>
    </row>
    <row r="19" spans="1:4" s="773" customFormat="1" ht="33.049999999999997" customHeight="1">
      <c r="A19" s="173">
        <v>609</v>
      </c>
      <c r="B19" s="260">
        <v>609</v>
      </c>
      <c r="C19" s="454" t="s">
        <v>774</v>
      </c>
      <c r="D19" s="175">
        <v>609</v>
      </c>
    </row>
    <row r="20" spans="1:4" s="21" customFormat="1" ht="31.25" customHeight="1">
      <c r="A20" s="173">
        <v>19014</v>
      </c>
      <c r="B20" s="174">
        <f>SUM(B21:B23)</f>
        <v>1488</v>
      </c>
      <c r="C20" s="454" t="s">
        <v>385</v>
      </c>
      <c r="D20" s="175">
        <f>SUM(D21:D23)</f>
        <v>20021</v>
      </c>
    </row>
    <row r="21" spans="1:4" s="21" customFormat="1" ht="30.6" customHeight="1">
      <c r="A21" s="173">
        <v>19009</v>
      </c>
      <c r="B21" s="260">
        <v>1467</v>
      </c>
      <c r="C21" s="454" t="s">
        <v>203</v>
      </c>
      <c r="D21" s="175">
        <v>20000</v>
      </c>
    </row>
    <row r="22" spans="1:4" s="21" customFormat="1" ht="30.6" customHeight="1">
      <c r="A22" s="173">
        <v>1</v>
      </c>
      <c r="B22" s="260">
        <v>13</v>
      </c>
      <c r="C22" s="454" t="s">
        <v>205</v>
      </c>
      <c r="D22" s="175">
        <v>13</v>
      </c>
    </row>
    <row r="23" spans="1:4" s="21" customFormat="1" ht="30.8" customHeight="1">
      <c r="A23" s="173">
        <v>4</v>
      </c>
      <c r="B23" s="260">
        <v>8</v>
      </c>
      <c r="C23" s="454" t="s">
        <v>204</v>
      </c>
      <c r="D23" s="175">
        <v>8</v>
      </c>
    </row>
    <row r="24" spans="1:4" s="21" customFormat="1" ht="29.3" customHeight="1">
      <c r="A24" s="173">
        <v>16</v>
      </c>
      <c r="B24" s="174">
        <f>B25</f>
        <v>162</v>
      </c>
      <c r="C24" s="454" t="s">
        <v>206</v>
      </c>
      <c r="D24" s="175">
        <f>D25</f>
        <v>162</v>
      </c>
    </row>
    <row r="25" spans="1:4" s="21" customFormat="1" ht="29" customHeight="1" thickBot="1">
      <c r="A25" s="177">
        <v>16</v>
      </c>
      <c r="B25" s="328">
        <v>162</v>
      </c>
      <c r="C25" s="455" t="s">
        <v>207</v>
      </c>
      <c r="D25" s="178">
        <v>162</v>
      </c>
    </row>
  </sheetData>
  <mergeCells count="4">
    <mergeCell ref="A4:D4"/>
    <mergeCell ref="A3:D3"/>
    <mergeCell ref="A2:D2"/>
    <mergeCell ref="A1:D1"/>
  </mergeCells>
  <phoneticPr fontId="5" type="noConversion"/>
  <printOptions horizontalCentered="1"/>
  <pageMargins left="0.59055118110236227" right="0.59055118110236227" top="0.59055118110236227" bottom="0.78740157480314965" header="0.51181102362204722" footer="0.51181102362204722"/>
  <pageSetup paperSize="9" firstPageNumber="30" orientation="portrait" useFirstPageNumber="1" r:id="rId1"/>
  <headerFooter alignWithMargins="0">
    <oddFooter>&amp;C&amp;"Times New Roman,標準"&amp;P</oddFooter>
  </headerFooter>
  <legacy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H30"/>
  <sheetViews>
    <sheetView view="pageBreakPreview" zoomScaleNormal="100" zoomScaleSheetLayoutView="100" workbookViewId="0">
      <selection activeCell="L13" sqref="L13"/>
    </sheetView>
  </sheetViews>
  <sheetFormatPr defaultColWidth="9" defaultRowHeight="15.05"/>
  <cols>
    <col min="1" max="1" width="32" style="12" customWidth="1"/>
    <col min="2" max="2" width="58" style="12" customWidth="1"/>
    <col min="3" max="16384" width="9" style="12"/>
  </cols>
  <sheetData>
    <row r="1" spans="1:8" ht="20.95" customHeight="1">
      <c r="A1" s="1421" t="s">
        <v>59</v>
      </c>
      <c r="B1" s="1266"/>
      <c r="C1" s="11"/>
      <c r="D1" s="11"/>
      <c r="E1" s="11"/>
      <c r="F1" s="11"/>
      <c r="G1" s="11"/>
      <c r="H1" s="11"/>
    </row>
    <row r="2" spans="1:8" ht="22.25">
      <c r="A2" s="1421" t="s">
        <v>60</v>
      </c>
      <c r="B2" s="1266"/>
      <c r="C2" s="11"/>
      <c r="D2" s="11"/>
      <c r="E2" s="11"/>
      <c r="F2" s="11"/>
      <c r="G2" s="11"/>
      <c r="H2" s="11"/>
    </row>
    <row r="3" spans="1:8" ht="24.75" customHeight="1">
      <c r="A3" s="1297" t="s">
        <v>1703</v>
      </c>
      <c r="B3" s="1298"/>
      <c r="C3" s="13"/>
      <c r="D3" s="13"/>
      <c r="E3" s="13"/>
      <c r="F3" s="13"/>
      <c r="G3" s="13"/>
      <c r="H3" s="13"/>
    </row>
    <row r="4" spans="1:8" ht="24.75" customHeight="1" thickBot="1">
      <c r="A4" s="1419" t="s">
        <v>905</v>
      </c>
      <c r="B4" s="1420"/>
      <c r="C4" s="14"/>
      <c r="D4" s="14"/>
      <c r="E4" s="14"/>
      <c r="F4" s="14"/>
      <c r="G4" s="14"/>
      <c r="H4" s="14"/>
    </row>
    <row r="5" spans="1:8" s="16" customFormat="1" ht="29.95" customHeight="1">
      <c r="A5" s="18" t="s">
        <v>187</v>
      </c>
      <c r="B5" s="399" t="s">
        <v>101</v>
      </c>
      <c r="C5" s="15"/>
      <c r="D5" s="15"/>
      <c r="E5" s="15"/>
      <c r="F5" s="15"/>
      <c r="G5" s="15"/>
      <c r="H5" s="15"/>
    </row>
    <row r="6" spans="1:8" s="17" customFormat="1" ht="8.1999999999999993" customHeight="1">
      <c r="A6" s="471"/>
      <c r="B6" s="221"/>
      <c r="C6" s="43"/>
      <c r="D6" s="43"/>
      <c r="E6" s="43"/>
      <c r="F6" s="43"/>
      <c r="G6" s="43"/>
      <c r="H6" s="43"/>
    </row>
    <row r="7" spans="1:8" s="17" customFormat="1" ht="29.15" customHeight="1">
      <c r="A7" s="445" t="s">
        <v>456</v>
      </c>
      <c r="B7" s="44" t="s">
        <v>1217</v>
      </c>
    </row>
    <row r="8" spans="1:8" s="17" customFormat="1" ht="29.15" customHeight="1">
      <c r="A8" s="445" t="s">
        <v>160</v>
      </c>
      <c r="B8" s="44"/>
    </row>
    <row r="9" spans="1:8" s="17" customFormat="1" ht="38.950000000000003" customHeight="1">
      <c r="A9" s="445" t="s">
        <v>384</v>
      </c>
      <c r="B9" s="22"/>
    </row>
    <row r="10" spans="1:8" s="17" customFormat="1" ht="26.05" customHeight="1">
      <c r="A10" s="446" t="s">
        <v>250</v>
      </c>
      <c r="B10" s="22"/>
    </row>
    <row r="11" spans="1:8" s="23" customFormat="1" ht="33.549999999999997" customHeight="1">
      <c r="A11" s="446" t="s">
        <v>457</v>
      </c>
      <c r="B11" s="22" t="s">
        <v>102</v>
      </c>
    </row>
    <row r="12" spans="1:8" s="23" customFormat="1" ht="41.1" hidden="1" customHeight="1">
      <c r="A12" s="446" t="s">
        <v>401</v>
      </c>
      <c r="B12" s="22" t="s">
        <v>895</v>
      </c>
    </row>
    <row r="13" spans="1:8" s="17" customFormat="1" ht="31.25" customHeight="1">
      <c r="A13" s="472" t="s">
        <v>1650</v>
      </c>
      <c r="B13" s="957" t="s">
        <v>1218</v>
      </c>
    </row>
    <row r="14" spans="1:8" s="21" customFormat="1" ht="33.049999999999997" customHeight="1">
      <c r="A14" s="472" t="s">
        <v>458</v>
      </c>
      <c r="B14" s="22" t="s">
        <v>920</v>
      </c>
    </row>
    <row r="15" spans="1:8" s="21" customFormat="1" ht="33.049999999999997" customHeight="1">
      <c r="A15" s="472" t="s">
        <v>251</v>
      </c>
      <c r="B15" s="22" t="s">
        <v>103</v>
      </c>
    </row>
    <row r="16" spans="1:8" s="21" customFormat="1" ht="45" customHeight="1">
      <c r="A16" s="472" t="s">
        <v>459</v>
      </c>
      <c r="B16" s="22" t="s">
        <v>669</v>
      </c>
    </row>
    <row r="17" spans="1:2" s="21" customFormat="1" ht="45" customHeight="1">
      <c r="A17" s="472" t="s">
        <v>252</v>
      </c>
      <c r="B17" s="22" t="s">
        <v>1223</v>
      </c>
    </row>
    <row r="18" spans="1:2" s="21" customFormat="1" ht="33.049999999999997" customHeight="1">
      <c r="A18" s="472" t="s">
        <v>347</v>
      </c>
      <c r="B18" s="22"/>
    </row>
    <row r="19" spans="1:2" s="23" customFormat="1" ht="33.549999999999997" customHeight="1">
      <c r="A19" s="446" t="s">
        <v>348</v>
      </c>
      <c r="B19" s="22" t="s">
        <v>1222</v>
      </c>
    </row>
    <row r="20" spans="1:2" s="348" customFormat="1" ht="33.049999999999997" customHeight="1">
      <c r="A20" s="446" t="s">
        <v>668</v>
      </c>
      <c r="B20" s="935" t="s">
        <v>1221</v>
      </c>
    </row>
    <row r="21" spans="1:2" s="21" customFormat="1" ht="31.25" customHeight="1">
      <c r="A21" s="472" t="s">
        <v>460</v>
      </c>
      <c r="B21" s="45"/>
    </row>
    <row r="22" spans="1:2" s="21" customFormat="1" ht="31.25" customHeight="1">
      <c r="A22" s="472" t="s">
        <v>253</v>
      </c>
      <c r="B22" s="22" t="s">
        <v>1219</v>
      </c>
    </row>
    <row r="23" spans="1:2" s="21" customFormat="1" ht="33.049999999999997" customHeight="1">
      <c r="A23" s="472" t="s">
        <v>461</v>
      </c>
      <c r="B23" s="22" t="s">
        <v>896</v>
      </c>
    </row>
    <row r="24" spans="1:2" s="21" customFormat="1" ht="33.049999999999997" customHeight="1">
      <c r="A24" s="472" t="s">
        <v>462</v>
      </c>
      <c r="B24" s="22" t="s">
        <v>1220</v>
      </c>
    </row>
    <row r="25" spans="1:2" s="21" customFormat="1" ht="33.049999999999997" customHeight="1">
      <c r="A25" s="472" t="s">
        <v>189</v>
      </c>
      <c r="B25" s="45"/>
    </row>
    <row r="26" spans="1:2" s="21" customFormat="1" ht="30.6" customHeight="1">
      <c r="A26" s="472" t="s">
        <v>463</v>
      </c>
      <c r="B26" s="935" t="s">
        <v>897</v>
      </c>
    </row>
    <row r="27" spans="1:2" s="21" customFormat="1" ht="2.4500000000000002" customHeight="1" thickBot="1">
      <c r="A27" s="473"/>
      <c r="B27" s="729"/>
    </row>
    <row r="28" spans="1:2" s="21" customFormat="1" ht="24.75" hidden="1" customHeight="1">
      <c r="A28" s="472"/>
      <c r="B28" s="626"/>
    </row>
    <row r="29" spans="1:2" s="21" customFormat="1" ht="11.95" hidden="1" customHeight="1">
      <c r="A29" s="472"/>
      <c r="B29" s="626"/>
    </row>
    <row r="30" spans="1:2" s="21" customFormat="1" ht="18.850000000000001" hidden="1" customHeight="1" thickBot="1">
      <c r="A30" s="473"/>
      <c r="B30" s="353"/>
    </row>
  </sheetData>
  <mergeCells count="4">
    <mergeCell ref="A1:B1"/>
    <mergeCell ref="A2:B2"/>
    <mergeCell ref="A3:B3"/>
    <mergeCell ref="A4:B4"/>
  </mergeCells>
  <phoneticPr fontId="5" type="noConversion"/>
  <printOptions horizontalCentered="1"/>
  <pageMargins left="0.59055118110236227" right="0.59055118110236227" top="0.59055118110236227" bottom="0.78740157480314965" header="0.51181102362204722" footer="0.51181102362204722"/>
  <pageSetup paperSize="9" firstPageNumber="31" orientation="portrait" useFirstPageNumber="1" r:id="rId1"/>
  <headerFooter alignWithMargins="0">
    <oddFooter>&amp;C&amp;"Times New Roman,標準"&amp;P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F58"/>
  <sheetViews>
    <sheetView view="pageBreakPreview" zoomScaleNormal="100" zoomScaleSheetLayoutView="100" workbookViewId="0">
      <selection activeCell="L13" sqref="L13"/>
    </sheetView>
  </sheetViews>
  <sheetFormatPr defaultColWidth="9" defaultRowHeight="15.05"/>
  <cols>
    <col min="1" max="2" width="19.375" style="12" customWidth="1"/>
    <col min="3" max="3" width="31.75" style="12" customWidth="1"/>
    <col min="4" max="4" width="19.75" style="12" customWidth="1"/>
    <col min="5" max="5" width="14.625" style="12" bestFit="1" customWidth="1"/>
    <col min="6" max="16384" width="9" style="12"/>
  </cols>
  <sheetData>
    <row r="1" spans="1:6" s="625" customFormat="1" ht="22.25">
      <c r="A1" s="1296" t="s">
        <v>59</v>
      </c>
      <c r="B1" s="1296"/>
      <c r="C1" s="1296"/>
      <c r="D1" s="1296"/>
    </row>
    <row r="2" spans="1:6" s="625" customFormat="1" ht="22.25">
      <c r="A2" s="1296" t="s">
        <v>60</v>
      </c>
      <c r="B2" s="1296"/>
      <c r="C2" s="1296"/>
      <c r="D2" s="1296"/>
    </row>
    <row r="3" spans="1:6" s="625" customFormat="1" ht="24.9" customHeight="1">
      <c r="A3" s="1297" t="s">
        <v>1711</v>
      </c>
      <c r="B3" s="1298"/>
      <c r="C3" s="1298"/>
      <c r="D3" s="1298"/>
    </row>
    <row r="4" spans="1:6" s="625" customFormat="1" ht="24.9" customHeight="1" thickBot="1">
      <c r="A4" s="1419" t="s">
        <v>1745</v>
      </c>
      <c r="B4" s="1420"/>
      <c r="C4" s="1420"/>
      <c r="D4" s="1420"/>
    </row>
    <row r="5" spans="1:6" s="94" customFormat="1" ht="29.95" customHeight="1">
      <c r="A5" s="392" t="s">
        <v>99</v>
      </c>
      <c r="B5" s="393" t="s">
        <v>76</v>
      </c>
      <c r="C5" s="450" t="s">
        <v>6</v>
      </c>
      <c r="D5" s="394" t="s">
        <v>77</v>
      </c>
    </row>
    <row r="6" spans="1:6" s="94" customFormat="1" ht="8.1999999999999993" customHeight="1">
      <c r="A6" s="395"/>
      <c r="B6" s="396"/>
      <c r="C6" s="451"/>
      <c r="D6" s="397"/>
    </row>
    <row r="7" spans="1:6" s="21" customFormat="1" ht="26.35" customHeight="1">
      <c r="A7" s="170">
        <v>163640884</v>
      </c>
      <c r="B7" s="171">
        <f>B8+B37+B48</f>
        <v>973763</v>
      </c>
      <c r="C7" s="452" t="s">
        <v>186</v>
      </c>
      <c r="D7" s="172">
        <f>D8+D37+D48+D53</f>
        <v>1003916</v>
      </c>
      <c r="E7" s="658">
        <f>+A8+A37+A48</f>
        <v>163640884</v>
      </c>
      <c r="F7" s="938">
        <f>+A7-E7</f>
        <v>0</v>
      </c>
    </row>
    <row r="8" spans="1:6" s="21" customFormat="1" ht="26.05" customHeight="1">
      <c r="A8" s="627">
        <v>161837678</v>
      </c>
      <c r="B8" s="629">
        <f>+B9+B31+B34</f>
        <v>972909</v>
      </c>
      <c r="C8" s="628" t="s">
        <v>160</v>
      </c>
      <c r="D8" s="172">
        <f>+D9+D31+D34</f>
        <v>1003459</v>
      </c>
      <c r="E8" s="657">
        <f>+A9+A31+A34</f>
        <v>161837678</v>
      </c>
    </row>
    <row r="9" spans="1:6" s="21" customFormat="1" ht="31.25" customHeight="1">
      <c r="A9" s="358">
        <v>131380419</v>
      </c>
      <c r="B9" s="171">
        <f>B10+B28+B25+B22</f>
        <v>904909</v>
      </c>
      <c r="C9" s="453" t="s">
        <v>346</v>
      </c>
      <c r="D9" s="176">
        <f>D10+D28+D25+D22</f>
        <v>935459</v>
      </c>
      <c r="E9" s="657"/>
    </row>
    <row r="10" spans="1:6" s="21" customFormat="1" ht="31.25" customHeight="1">
      <c r="A10" s="357">
        <v>818002</v>
      </c>
      <c r="B10" s="260">
        <f>+B11+B13+B15+B17+B20</f>
        <v>904909</v>
      </c>
      <c r="C10" s="454" t="s">
        <v>464</v>
      </c>
      <c r="D10" s="175">
        <f>+D11+D13+D15+D17+D20</f>
        <v>935459</v>
      </c>
      <c r="E10" s="657"/>
    </row>
    <row r="11" spans="1:6" s="21" customFormat="1" ht="31.25" hidden="1" customHeight="1">
      <c r="A11" s="357">
        <v>0</v>
      </c>
      <c r="B11" s="174">
        <f>+B12</f>
        <v>0</v>
      </c>
      <c r="C11" s="454" t="s">
        <v>403</v>
      </c>
      <c r="D11" s="175">
        <f>+D12</f>
        <v>0</v>
      </c>
    </row>
    <row r="12" spans="1:6" s="21" customFormat="1" ht="31.25" hidden="1" customHeight="1">
      <c r="A12" s="357">
        <v>0</v>
      </c>
      <c r="B12" s="174">
        <v>0</v>
      </c>
      <c r="C12" s="454" t="s">
        <v>28</v>
      </c>
      <c r="D12" s="175">
        <v>0</v>
      </c>
    </row>
    <row r="13" spans="1:6" s="21" customFormat="1" ht="31.25" hidden="1" customHeight="1">
      <c r="A13" s="357">
        <v>0</v>
      </c>
      <c r="B13" s="174">
        <f>+B14</f>
        <v>0</v>
      </c>
      <c r="C13" s="454" t="s">
        <v>402</v>
      </c>
      <c r="D13" s="175">
        <f>+D14</f>
        <v>0</v>
      </c>
    </row>
    <row r="14" spans="1:6" s="21" customFormat="1" ht="31.25" hidden="1" customHeight="1">
      <c r="A14" s="357">
        <v>0</v>
      </c>
      <c r="B14" s="174">
        <v>0</v>
      </c>
      <c r="C14" s="454" t="s">
        <v>28</v>
      </c>
      <c r="D14" s="175">
        <v>0</v>
      </c>
    </row>
    <row r="15" spans="1:6" s="21" customFormat="1" ht="31.25" hidden="1" customHeight="1">
      <c r="A15" s="357">
        <v>0</v>
      </c>
      <c r="B15" s="174">
        <f>+B16</f>
        <v>0</v>
      </c>
      <c r="C15" s="454" t="s">
        <v>465</v>
      </c>
      <c r="D15" s="175">
        <f>+D16</f>
        <v>0</v>
      </c>
    </row>
    <row r="16" spans="1:6" s="21" customFormat="1" ht="31.25" hidden="1" customHeight="1">
      <c r="A16" s="357">
        <v>0</v>
      </c>
      <c r="B16" s="174">
        <v>0</v>
      </c>
      <c r="C16" s="454" t="s">
        <v>28</v>
      </c>
      <c r="D16" s="175">
        <v>0</v>
      </c>
    </row>
    <row r="17" spans="1:4" s="21" customFormat="1" ht="31.25" customHeight="1">
      <c r="A17" s="357">
        <v>808425</v>
      </c>
      <c r="B17" s="260">
        <f>SUM(B18:B19)</f>
        <v>868854</v>
      </c>
      <c r="C17" s="454" t="s">
        <v>209</v>
      </c>
      <c r="D17" s="175">
        <f>SUM(D18:D19)</f>
        <v>899877</v>
      </c>
    </row>
    <row r="18" spans="1:4" s="21" customFormat="1" ht="31.25" customHeight="1">
      <c r="A18" s="357">
        <v>808425</v>
      </c>
      <c r="B18" s="174">
        <v>868854</v>
      </c>
      <c r="C18" s="454" t="s">
        <v>208</v>
      </c>
      <c r="D18" s="175">
        <v>899877</v>
      </c>
    </row>
    <row r="19" spans="1:4" s="21" customFormat="1" ht="31.25" hidden="1" customHeight="1">
      <c r="A19" s="357">
        <v>0</v>
      </c>
      <c r="B19" s="260">
        <v>0</v>
      </c>
      <c r="C19" s="454" t="s">
        <v>466</v>
      </c>
      <c r="D19" s="175">
        <v>0</v>
      </c>
    </row>
    <row r="20" spans="1:4" s="21" customFormat="1" ht="31.25" customHeight="1">
      <c r="A20" s="357">
        <v>9577</v>
      </c>
      <c r="B20" s="260">
        <f>B21</f>
        <v>36055</v>
      </c>
      <c r="C20" s="454" t="s">
        <v>202</v>
      </c>
      <c r="D20" s="175">
        <f>D21</f>
        <v>35582</v>
      </c>
    </row>
    <row r="21" spans="1:4" s="21" customFormat="1" ht="31.25" customHeight="1">
      <c r="A21" s="357">
        <v>9577</v>
      </c>
      <c r="B21" s="174">
        <v>36055</v>
      </c>
      <c r="C21" s="454" t="s">
        <v>208</v>
      </c>
      <c r="D21" s="175">
        <v>35582</v>
      </c>
    </row>
    <row r="22" spans="1:4" s="21" customFormat="1" ht="31.25" hidden="1" customHeight="1">
      <c r="A22" s="357">
        <v>0</v>
      </c>
      <c r="B22" s="260">
        <f>B23</f>
        <v>0</v>
      </c>
      <c r="C22" s="454" t="s">
        <v>404</v>
      </c>
      <c r="D22" s="175">
        <f>D23</f>
        <v>0</v>
      </c>
    </row>
    <row r="23" spans="1:4" s="21" customFormat="1" ht="31.25" hidden="1" customHeight="1">
      <c r="A23" s="187">
        <v>0</v>
      </c>
      <c r="B23" s="174">
        <f>+B24</f>
        <v>0</v>
      </c>
      <c r="C23" s="454" t="s">
        <v>467</v>
      </c>
      <c r="D23" s="175">
        <f>+D24</f>
        <v>0</v>
      </c>
    </row>
    <row r="24" spans="1:4" s="21" customFormat="1" ht="31.25" hidden="1" customHeight="1">
      <c r="A24" s="187">
        <v>0</v>
      </c>
      <c r="B24" s="174">
        <v>0</v>
      </c>
      <c r="C24" s="454" t="s">
        <v>28</v>
      </c>
      <c r="D24" s="175">
        <v>0</v>
      </c>
    </row>
    <row r="25" spans="1:4" s="21" customFormat="1" ht="31.25" customHeight="1">
      <c r="A25" s="357">
        <v>67260</v>
      </c>
      <c r="B25" s="260">
        <f>B26</f>
        <v>0</v>
      </c>
      <c r="C25" s="454" t="s">
        <v>210</v>
      </c>
      <c r="D25" s="175">
        <f>D26</f>
        <v>0</v>
      </c>
    </row>
    <row r="26" spans="1:4" s="21" customFormat="1" ht="31.25" customHeight="1">
      <c r="A26" s="187">
        <v>67260</v>
      </c>
      <c r="B26" s="174">
        <f>+B27</f>
        <v>0</v>
      </c>
      <c r="C26" s="454" t="s">
        <v>211</v>
      </c>
      <c r="D26" s="175">
        <f>+D27</f>
        <v>0</v>
      </c>
    </row>
    <row r="27" spans="1:4" s="21" customFormat="1" ht="29" customHeight="1">
      <c r="A27" s="187">
        <v>67260</v>
      </c>
      <c r="B27" s="174">
        <v>0</v>
      </c>
      <c r="C27" s="454" t="s">
        <v>28</v>
      </c>
      <c r="D27" s="175">
        <v>0</v>
      </c>
    </row>
    <row r="28" spans="1:4" s="21" customFormat="1" ht="29.95" customHeight="1">
      <c r="A28" s="187">
        <v>130495156</v>
      </c>
      <c r="B28" s="174">
        <f>B29</f>
        <v>0</v>
      </c>
      <c r="C28" s="454" t="s">
        <v>468</v>
      </c>
      <c r="D28" s="175">
        <f>D29</f>
        <v>0</v>
      </c>
    </row>
    <row r="29" spans="1:4" s="21" customFormat="1" ht="32.25" customHeight="1">
      <c r="A29" s="187">
        <v>130495156</v>
      </c>
      <c r="B29" s="174">
        <v>0</v>
      </c>
      <c r="C29" s="454" t="s">
        <v>469</v>
      </c>
      <c r="D29" s="175">
        <v>0</v>
      </c>
    </row>
    <row r="30" spans="1:4" s="21" customFormat="1" ht="27" customHeight="1">
      <c r="A30" s="187">
        <v>130495156</v>
      </c>
      <c r="B30" s="174">
        <v>0</v>
      </c>
      <c r="C30" s="454" t="s">
        <v>28</v>
      </c>
      <c r="D30" s="175">
        <v>0</v>
      </c>
    </row>
    <row r="31" spans="1:4" s="21" customFormat="1" ht="40.6" customHeight="1">
      <c r="A31" s="170">
        <v>43990</v>
      </c>
      <c r="B31" s="171">
        <f>B32</f>
        <v>68000</v>
      </c>
      <c r="C31" s="453" t="s">
        <v>386</v>
      </c>
      <c r="D31" s="172">
        <f>D32</f>
        <v>68000</v>
      </c>
    </row>
    <row r="32" spans="1:4" s="21" customFormat="1" ht="36" customHeight="1">
      <c r="A32" s="173">
        <v>43990</v>
      </c>
      <c r="B32" s="174">
        <f>B33</f>
        <v>68000</v>
      </c>
      <c r="C32" s="454" t="s">
        <v>464</v>
      </c>
      <c r="D32" s="175">
        <f>D33</f>
        <v>68000</v>
      </c>
    </row>
    <row r="33" spans="1:5" s="21" customFormat="1" ht="28.15" customHeight="1">
      <c r="A33" s="173">
        <v>43990</v>
      </c>
      <c r="B33" s="260">
        <v>68000</v>
      </c>
      <c r="C33" s="454" t="s">
        <v>209</v>
      </c>
      <c r="D33" s="175">
        <v>68000</v>
      </c>
    </row>
    <row r="34" spans="1:5" s="21" customFormat="1" ht="34.549999999999997" customHeight="1">
      <c r="A34" s="170">
        <v>30413269</v>
      </c>
      <c r="B34" s="171">
        <f>B35</f>
        <v>0</v>
      </c>
      <c r="C34" s="453" t="s">
        <v>470</v>
      </c>
      <c r="D34" s="176">
        <f>D35</f>
        <v>0</v>
      </c>
    </row>
    <row r="35" spans="1:5" s="21" customFormat="1" ht="33.549999999999997" customHeight="1">
      <c r="A35" s="173">
        <v>30413269</v>
      </c>
      <c r="B35" s="174">
        <f>B36</f>
        <v>0</v>
      </c>
      <c r="C35" s="454" t="s">
        <v>468</v>
      </c>
      <c r="D35" s="175">
        <f>D36</f>
        <v>0</v>
      </c>
    </row>
    <row r="36" spans="1:5" s="21" customFormat="1" ht="31.25" customHeight="1" thickBot="1">
      <c r="A36" s="177">
        <v>30413269</v>
      </c>
      <c r="B36" s="630">
        <v>0</v>
      </c>
      <c r="C36" s="455" t="s">
        <v>256</v>
      </c>
      <c r="D36" s="178">
        <v>0</v>
      </c>
    </row>
    <row r="37" spans="1:5" s="21" customFormat="1" ht="29.95" customHeight="1">
      <c r="A37" s="170">
        <v>1803181</v>
      </c>
      <c r="B37" s="171">
        <f>B38+B45</f>
        <v>824</v>
      </c>
      <c r="C37" s="452" t="s">
        <v>169</v>
      </c>
      <c r="D37" s="172">
        <f>D38+D45</f>
        <v>450</v>
      </c>
      <c r="E37" s="657">
        <f>+E38+E45</f>
        <v>1803181</v>
      </c>
    </row>
    <row r="38" spans="1:5" s="21" customFormat="1" ht="31.25" customHeight="1">
      <c r="A38" s="170">
        <v>8306</v>
      </c>
      <c r="B38" s="171">
        <f>B39+B41+B43</f>
        <v>824</v>
      </c>
      <c r="C38" s="453" t="s">
        <v>346</v>
      </c>
      <c r="D38" s="176">
        <f>D39+D41+D43</f>
        <v>450</v>
      </c>
      <c r="E38" s="657">
        <f>+A39+A41+A43</f>
        <v>8306</v>
      </c>
    </row>
    <row r="39" spans="1:5" s="21" customFormat="1" ht="29" customHeight="1">
      <c r="A39" s="173">
        <v>277</v>
      </c>
      <c r="B39" s="174">
        <f>SUM(B40)</f>
        <v>318</v>
      </c>
      <c r="C39" s="454" t="s">
        <v>464</v>
      </c>
      <c r="D39" s="175">
        <f>SUM(D40)</f>
        <v>450</v>
      </c>
    </row>
    <row r="40" spans="1:5" s="21" customFormat="1" ht="31.25" customHeight="1">
      <c r="A40" s="173">
        <v>277</v>
      </c>
      <c r="B40" s="260">
        <v>318</v>
      </c>
      <c r="C40" s="454" t="s">
        <v>201</v>
      </c>
      <c r="D40" s="175">
        <v>450</v>
      </c>
    </row>
    <row r="41" spans="1:5" s="21" customFormat="1" ht="29.45" customHeight="1">
      <c r="A41" s="173">
        <v>504</v>
      </c>
      <c r="B41" s="174">
        <f>SUM(B42)</f>
        <v>506</v>
      </c>
      <c r="C41" s="454" t="s">
        <v>362</v>
      </c>
      <c r="D41" s="175">
        <f>SUM(D42)</f>
        <v>0</v>
      </c>
    </row>
    <row r="42" spans="1:5" s="21" customFormat="1" ht="29.95" customHeight="1">
      <c r="A42" s="173">
        <v>504</v>
      </c>
      <c r="B42" s="260">
        <v>506</v>
      </c>
      <c r="C42" s="454" t="s">
        <v>212</v>
      </c>
      <c r="D42" s="175">
        <v>0</v>
      </c>
    </row>
    <row r="43" spans="1:5" s="768" customFormat="1" ht="31.25" customHeight="1">
      <c r="A43" s="173">
        <v>7525</v>
      </c>
      <c r="B43" s="174">
        <f>B44</f>
        <v>0</v>
      </c>
      <c r="C43" s="454" t="s">
        <v>468</v>
      </c>
      <c r="D43" s="175">
        <f>D44</f>
        <v>0</v>
      </c>
    </row>
    <row r="44" spans="1:5" s="768" customFormat="1" ht="31.25" customHeight="1">
      <c r="A44" s="173">
        <v>7525</v>
      </c>
      <c r="B44" s="174">
        <v>0</v>
      </c>
      <c r="C44" s="454" t="s">
        <v>40</v>
      </c>
      <c r="D44" s="175">
        <v>0</v>
      </c>
    </row>
    <row r="45" spans="1:5" s="21" customFormat="1" ht="31.25" customHeight="1">
      <c r="A45" s="170">
        <v>1794875</v>
      </c>
      <c r="B45" s="171">
        <f>B46</f>
        <v>0</v>
      </c>
      <c r="C45" s="453" t="s">
        <v>471</v>
      </c>
      <c r="D45" s="176">
        <f>D46</f>
        <v>0</v>
      </c>
      <c r="E45" s="657">
        <f>+A45</f>
        <v>1794875</v>
      </c>
    </row>
    <row r="46" spans="1:5" s="21" customFormat="1" ht="31.25" customHeight="1">
      <c r="A46" s="173">
        <v>1794875</v>
      </c>
      <c r="B46" s="174">
        <f>B47</f>
        <v>0</v>
      </c>
      <c r="C46" s="454" t="s">
        <v>468</v>
      </c>
      <c r="D46" s="175">
        <f>D47</f>
        <v>0</v>
      </c>
    </row>
    <row r="47" spans="1:5" s="21" customFormat="1" ht="31.25" customHeight="1">
      <c r="A47" s="173">
        <v>1794875</v>
      </c>
      <c r="B47" s="174">
        <v>0</v>
      </c>
      <c r="C47" s="454" t="s">
        <v>40</v>
      </c>
      <c r="D47" s="175">
        <v>0</v>
      </c>
    </row>
    <row r="48" spans="1:5" s="21" customFormat="1" ht="31.25" customHeight="1">
      <c r="A48" s="627">
        <v>25</v>
      </c>
      <c r="B48" s="629">
        <f>B49+B59</f>
        <v>30</v>
      </c>
      <c r="C48" s="452" t="s">
        <v>1605</v>
      </c>
      <c r="D48" s="172">
        <f>D49+D59</f>
        <v>2</v>
      </c>
      <c r="E48" s="657">
        <f>+A48</f>
        <v>25</v>
      </c>
    </row>
    <row r="49" spans="1:5" s="21" customFormat="1" ht="31.25" customHeight="1">
      <c r="A49" s="627">
        <v>25</v>
      </c>
      <c r="B49" s="629">
        <f>B50+B57</f>
        <v>30</v>
      </c>
      <c r="C49" s="453" t="s">
        <v>346</v>
      </c>
      <c r="D49" s="176">
        <f>D50+D57</f>
        <v>2</v>
      </c>
    </row>
    <row r="50" spans="1:5" s="21" customFormat="1" ht="31.25" customHeight="1">
      <c r="A50" s="645">
        <v>25</v>
      </c>
      <c r="B50" s="260">
        <f>SUM(B51)</f>
        <v>30</v>
      </c>
      <c r="C50" s="454" t="s">
        <v>197</v>
      </c>
      <c r="D50" s="175">
        <f>SUM(D51)</f>
        <v>2</v>
      </c>
    </row>
    <row r="51" spans="1:5" ht="31.25" customHeight="1">
      <c r="A51" s="645">
        <v>25</v>
      </c>
      <c r="B51" s="260">
        <f>+B52</f>
        <v>30</v>
      </c>
      <c r="C51" s="454" t="s">
        <v>201</v>
      </c>
      <c r="D51" s="175">
        <f>+D52</f>
        <v>2</v>
      </c>
    </row>
    <row r="52" spans="1:5" ht="26.05" customHeight="1">
      <c r="A52" s="645">
        <v>25</v>
      </c>
      <c r="B52" s="260">
        <v>30</v>
      </c>
      <c r="C52" s="454" t="s">
        <v>678</v>
      </c>
      <c r="D52" s="175">
        <v>2</v>
      </c>
    </row>
    <row r="53" spans="1:5" s="1152" customFormat="1" ht="29.45" customHeight="1">
      <c r="A53" s="627">
        <v>0</v>
      </c>
      <c r="B53" s="629">
        <f>B54+B65</f>
        <v>0</v>
      </c>
      <c r="C53" s="452" t="s">
        <v>1473</v>
      </c>
      <c r="D53" s="172">
        <f>D54+D65</f>
        <v>5</v>
      </c>
      <c r="E53" s="657"/>
    </row>
    <row r="54" spans="1:5" s="1152" customFormat="1" ht="29.95" customHeight="1">
      <c r="A54" s="627">
        <v>0</v>
      </c>
      <c r="B54" s="629">
        <f>B55+B63</f>
        <v>0</v>
      </c>
      <c r="C54" s="453" t="s">
        <v>346</v>
      </c>
      <c r="D54" s="176">
        <f>D55+D63</f>
        <v>5</v>
      </c>
    </row>
    <row r="55" spans="1:5" s="1152" customFormat="1" ht="29.45" customHeight="1">
      <c r="A55" s="645">
        <v>0</v>
      </c>
      <c r="B55" s="260">
        <f>SUM(B56)</f>
        <v>0</v>
      </c>
      <c r="C55" s="454" t="s">
        <v>197</v>
      </c>
      <c r="D55" s="175">
        <f>SUM(D56)</f>
        <v>5</v>
      </c>
    </row>
    <row r="56" spans="1:5" ht="26.05" customHeight="1">
      <c r="A56" s="645">
        <v>0</v>
      </c>
      <c r="B56" s="260">
        <f>+B57</f>
        <v>0</v>
      </c>
      <c r="C56" s="454" t="s">
        <v>201</v>
      </c>
      <c r="D56" s="175">
        <v>5</v>
      </c>
    </row>
    <row r="57" spans="1:5" ht="16.2" customHeight="1">
      <c r="A57" s="631"/>
      <c r="B57" s="694"/>
      <c r="C57" s="696"/>
      <c r="D57" s="632"/>
    </row>
    <row r="58" spans="1:5" ht="13.25" customHeight="1" thickBot="1">
      <c r="A58" s="633"/>
      <c r="B58" s="635"/>
      <c r="C58" s="697"/>
      <c r="D58" s="634"/>
    </row>
  </sheetData>
  <mergeCells count="4">
    <mergeCell ref="A1:D1"/>
    <mergeCell ref="A2:D2"/>
    <mergeCell ref="A3:D3"/>
    <mergeCell ref="A4:D4"/>
  </mergeCells>
  <phoneticPr fontId="5" type="noConversion"/>
  <printOptions horizontalCentered="1"/>
  <pageMargins left="0.59055118110236227" right="0.59055118110236227" top="0.59055118110236227" bottom="0.78740157480314965" header="0.51181102362204722" footer="0.51181102362204722"/>
  <pageSetup paperSize="9" firstPageNumber="32" orientation="portrait" useFirstPageNumber="1" r:id="rId1"/>
  <headerFooter alignWithMargins="0">
    <oddFooter>&amp;C&amp;"Times New Roman,標準"&amp;P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K35"/>
  <sheetViews>
    <sheetView view="pageBreakPreview" zoomScaleNormal="100" zoomScaleSheetLayoutView="100" workbookViewId="0">
      <selection activeCell="L13" sqref="L13"/>
    </sheetView>
  </sheetViews>
  <sheetFormatPr defaultColWidth="9" defaultRowHeight="15.05"/>
  <cols>
    <col min="1" max="1" width="32" style="12" customWidth="1"/>
    <col min="2" max="2" width="58" style="12" customWidth="1"/>
    <col min="3" max="16384" width="9" style="12"/>
  </cols>
  <sheetData>
    <row r="1" spans="1:11" ht="20.95" customHeight="1">
      <c r="A1" s="1266" t="s">
        <v>59</v>
      </c>
      <c r="B1" s="1266"/>
      <c r="C1" s="11"/>
      <c r="D1" s="11"/>
      <c r="E1" s="11"/>
      <c r="F1" s="11"/>
      <c r="G1" s="11"/>
      <c r="H1" s="11"/>
    </row>
    <row r="2" spans="1:11" ht="22.25">
      <c r="A2" s="1266" t="s">
        <v>60</v>
      </c>
      <c r="B2" s="1266"/>
      <c r="C2" s="11"/>
      <c r="D2" s="11"/>
      <c r="E2" s="11"/>
      <c r="F2" s="11"/>
      <c r="G2" s="11"/>
      <c r="H2" s="11"/>
    </row>
    <row r="3" spans="1:11" ht="24.75" customHeight="1">
      <c r="A3" s="1297" t="s">
        <v>1704</v>
      </c>
      <c r="B3" s="1298"/>
      <c r="C3" s="13"/>
      <c r="D3" s="13"/>
      <c r="E3" s="13"/>
      <c r="F3" s="13"/>
      <c r="G3" s="13"/>
      <c r="H3" s="13"/>
    </row>
    <row r="4" spans="1:11" ht="24.75" customHeight="1" thickBot="1">
      <c r="A4" s="1419" t="s">
        <v>905</v>
      </c>
      <c r="B4" s="1420"/>
      <c r="C4" s="14"/>
      <c r="D4" s="14"/>
      <c r="E4" s="14"/>
      <c r="F4" s="14"/>
      <c r="G4" s="14"/>
      <c r="H4" s="14"/>
    </row>
    <row r="5" spans="1:11" s="16" customFormat="1" ht="29.95" customHeight="1">
      <c r="A5" s="18" t="s">
        <v>187</v>
      </c>
      <c r="B5" s="399" t="s">
        <v>101</v>
      </c>
      <c r="C5" s="15"/>
      <c r="D5" s="15"/>
      <c r="E5" s="15"/>
      <c r="F5" s="15"/>
      <c r="G5" s="15"/>
      <c r="H5" s="15"/>
    </row>
    <row r="6" spans="1:11" s="17" customFormat="1" ht="8.1999999999999993" customHeight="1">
      <c r="A6" s="471"/>
      <c r="B6" s="221"/>
      <c r="C6" s="43"/>
      <c r="D6" s="43"/>
      <c r="E6" s="43"/>
      <c r="F6" s="43"/>
      <c r="G6" s="43"/>
      <c r="H6" s="43"/>
    </row>
    <row r="7" spans="1:11" s="17" customFormat="1" ht="38.950000000000003" customHeight="1">
      <c r="A7" s="443" t="s">
        <v>186</v>
      </c>
      <c r="B7" s="44" t="s">
        <v>1428</v>
      </c>
    </row>
    <row r="8" spans="1:11" s="17" customFormat="1" ht="21.8" customHeight="1">
      <c r="A8" s="445" t="s">
        <v>160</v>
      </c>
      <c r="B8" s="44"/>
    </row>
    <row r="9" spans="1:11" s="21" customFormat="1" ht="20.95" customHeight="1">
      <c r="A9" s="474" t="s">
        <v>349</v>
      </c>
      <c r="B9" s="45"/>
    </row>
    <row r="10" spans="1:11" s="21" customFormat="1" ht="23.25" customHeight="1">
      <c r="A10" s="446" t="s">
        <v>472</v>
      </c>
      <c r="B10" s="45"/>
    </row>
    <row r="11" spans="1:11" s="23" customFormat="1" ht="29.95" hidden="1" customHeight="1">
      <c r="A11" s="446" t="s">
        <v>473</v>
      </c>
      <c r="B11" s="748" t="s">
        <v>554</v>
      </c>
    </row>
    <row r="12" spans="1:11" s="23" customFormat="1" ht="29.95" hidden="1" customHeight="1">
      <c r="A12" s="446" t="s">
        <v>405</v>
      </c>
      <c r="B12" s="771" t="s">
        <v>665</v>
      </c>
    </row>
    <row r="13" spans="1:11" s="23" customFormat="1" ht="29.95" hidden="1" customHeight="1">
      <c r="A13" s="446" t="s">
        <v>474</v>
      </c>
      <c r="B13" s="771" t="s">
        <v>666</v>
      </c>
    </row>
    <row r="14" spans="1:11" s="23" customFormat="1" ht="29" customHeight="1">
      <c r="A14" s="446" t="s">
        <v>475</v>
      </c>
      <c r="B14" s="22" t="s">
        <v>1224</v>
      </c>
    </row>
    <row r="15" spans="1:11" s="21" customFormat="1" ht="88.2" customHeight="1">
      <c r="A15" s="472" t="s">
        <v>476</v>
      </c>
      <c r="B15" s="42" t="s">
        <v>931</v>
      </c>
    </row>
    <row r="16" spans="1:11" s="17" customFormat="1" ht="26.2" hidden="1" customHeight="1">
      <c r="A16" s="446" t="s">
        <v>406</v>
      </c>
      <c r="B16" s="661"/>
      <c r="K16" s="111"/>
    </row>
    <row r="17" spans="1:11" s="17" customFormat="1" ht="27" hidden="1" customHeight="1">
      <c r="A17" s="446" t="s">
        <v>477</v>
      </c>
      <c r="B17" s="771" t="s">
        <v>667</v>
      </c>
    </row>
    <row r="18" spans="1:11" s="17" customFormat="1" ht="27.85" customHeight="1">
      <c r="A18" s="445" t="s">
        <v>249</v>
      </c>
      <c r="B18" s="45"/>
    </row>
    <row r="19" spans="1:11" s="17" customFormat="1" ht="26.2" customHeight="1">
      <c r="A19" s="446" t="s">
        <v>472</v>
      </c>
      <c r="B19" s="45"/>
      <c r="K19" s="111"/>
    </row>
    <row r="20" spans="1:11" s="17" customFormat="1" ht="36.65" customHeight="1">
      <c r="A20" s="446" t="s">
        <v>475</v>
      </c>
      <c r="B20" s="22" t="s">
        <v>1225</v>
      </c>
    </row>
    <row r="21" spans="1:11" s="17" customFormat="1" ht="26.2" customHeight="1">
      <c r="A21" s="445" t="s">
        <v>169</v>
      </c>
      <c r="B21" s="44"/>
    </row>
    <row r="22" spans="1:11" s="21" customFormat="1" ht="24.05" customHeight="1">
      <c r="A22" s="474" t="s">
        <v>349</v>
      </c>
      <c r="B22" s="45"/>
    </row>
    <row r="23" spans="1:11" s="21" customFormat="1" ht="23.25" customHeight="1">
      <c r="A23" s="446" t="s">
        <v>472</v>
      </c>
      <c r="B23" s="45"/>
    </row>
    <row r="24" spans="1:11" s="23" customFormat="1" ht="29.3" customHeight="1">
      <c r="A24" s="446" t="s">
        <v>475</v>
      </c>
      <c r="B24" s="957" t="s">
        <v>1554</v>
      </c>
    </row>
    <row r="25" spans="1:11" s="23" customFormat="1" ht="29.3" hidden="1" customHeight="1">
      <c r="A25" s="446" t="s">
        <v>407</v>
      </c>
      <c r="B25" s="748"/>
    </row>
    <row r="26" spans="1:11" s="23" customFormat="1" ht="38.950000000000003" hidden="1" customHeight="1">
      <c r="A26" s="446" t="s">
        <v>478</v>
      </c>
      <c r="B26" s="22" t="s">
        <v>782</v>
      </c>
    </row>
    <row r="27" spans="1:11" s="17" customFormat="1" ht="26.2" customHeight="1">
      <c r="A27" s="445" t="s">
        <v>1227</v>
      </c>
      <c r="B27" s="44"/>
    </row>
    <row r="28" spans="1:11" s="746" customFormat="1" ht="30.8" customHeight="1">
      <c r="A28" s="474" t="s">
        <v>349</v>
      </c>
      <c r="B28" s="45"/>
    </row>
    <row r="29" spans="1:11" s="746" customFormat="1" ht="26.2" customHeight="1">
      <c r="A29" s="446" t="s">
        <v>472</v>
      </c>
      <c r="B29" s="45"/>
    </row>
    <row r="30" spans="1:11" s="23" customFormat="1" ht="20.95" customHeight="1">
      <c r="A30" s="446" t="s">
        <v>475</v>
      </c>
      <c r="B30" s="957" t="s">
        <v>1555</v>
      </c>
    </row>
    <row r="31" spans="1:11" s="17" customFormat="1" ht="26.2" customHeight="1">
      <c r="A31" s="1166" t="s">
        <v>1226</v>
      </c>
      <c r="B31" s="44"/>
    </row>
    <row r="32" spans="1:11" s="1152" customFormat="1" ht="30.8" customHeight="1">
      <c r="A32" s="474" t="s">
        <v>349</v>
      </c>
      <c r="B32" s="45"/>
    </row>
    <row r="33" spans="1:2" s="1152" customFormat="1" ht="26.2" customHeight="1">
      <c r="A33" s="1167" t="s">
        <v>472</v>
      </c>
      <c r="B33" s="45"/>
    </row>
    <row r="34" spans="1:2" s="23" customFormat="1" ht="20.95" customHeight="1">
      <c r="A34" s="1167" t="s">
        <v>475</v>
      </c>
      <c r="B34" s="957" t="s">
        <v>1556</v>
      </c>
    </row>
    <row r="35" spans="1:2" s="23" customFormat="1" ht="17.05" customHeight="1" thickBot="1">
      <c r="A35" s="448"/>
      <c r="B35" s="222"/>
    </row>
  </sheetData>
  <mergeCells count="4">
    <mergeCell ref="A1:B1"/>
    <mergeCell ref="A2:B2"/>
    <mergeCell ref="A3:B3"/>
    <mergeCell ref="A4:B4"/>
  </mergeCells>
  <phoneticPr fontId="5" type="noConversion"/>
  <printOptions horizontalCentered="1"/>
  <pageMargins left="0.59055118110236227" right="0.59055118110236227" top="0.59055118110236227" bottom="0.78740157480314965" header="0.51181102362204722" footer="0.51181102362204722"/>
  <pageSetup paperSize="9" firstPageNumber="34" orientation="portrait" useFirstPageNumber="1" r:id="rId1"/>
  <headerFooter alignWithMargins="0">
    <oddFooter>&amp;C&amp;"Times New Roman,標準"&amp;P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F68"/>
  <sheetViews>
    <sheetView view="pageBreakPreview" zoomScaleNormal="100" zoomScaleSheetLayoutView="100" workbookViewId="0">
      <selection activeCell="D66" sqref="D66"/>
    </sheetView>
  </sheetViews>
  <sheetFormatPr defaultColWidth="9" defaultRowHeight="15.05"/>
  <cols>
    <col min="1" max="2" width="19.625" style="2" customWidth="1"/>
    <col min="3" max="3" width="31.375" style="2" customWidth="1"/>
    <col min="4" max="4" width="19.5" style="2" customWidth="1"/>
    <col min="5" max="5" width="15.125" style="2" bestFit="1" customWidth="1"/>
    <col min="6" max="6" width="13.5" style="2" bestFit="1" customWidth="1"/>
    <col min="7" max="16384" width="9" style="2"/>
  </cols>
  <sheetData>
    <row r="1" spans="1:6" s="6" customFormat="1" ht="22.25">
      <c r="A1" s="1265" t="s">
        <v>34</v>
      </c>
      <c r="B1" s="1266"/>
      <c r="C1" s="1266"/>
      <c r="D1" s="1266"/>
    </row>
    <row r="2" spans="1:6" s="6" customFormat="1" ht="22.25">
      <c r="A2" s="1265" t="s">
        <v>18</v>
      </c>
      <c r="B2" s="1266"/>
      <c r="C2" s="1266"/>
      <c r="D2" s="1266"/>
    </row>
    <row r="3" spans="1:6" s="6" customFormat="1" ht="24.9" customHeight="1">
      <c r="A3" s="1267" t="s">
        <v>12</v>
      </c>
      <c r="B3" s="1267"/>
      <c r="C3" s="1267"/>
      <c r="D3" s="1267"/>
    </row>
    <row r="4" spans="1:6" s="6" customFormat="1" ht="24.9" customHeight="1" thickBot="1">
      <c r="A4" s="1269" t="s">
        <v>1763</v>
      </c>
      <c r="B4" s="1270"/>
      <c r="C4" s="1270"/>
      <c r="D4" s="1270"/>
    </row>
    <row r="5" spans="1:6" s="56" customFormat="1" ht="29.95" customHeight="1">
      <c r="A5" s="670" t="s">
        <v>4</v>
      </c>
      <c r="B5" s="903" t="s">
        <v>5</v>
      </c>
      <c r="C5" s="903" t="s">
        <v>6</v>
      </c>
      <c r="D5" s="97" t="s">
        <v>3</v>
      </c>
    </row>
    <row r="6" spans="1:6" s="56" customFormat="1" ht="2.95" customHeight="1">
      <c r="A6" s="671"/>
      <c r="B6" s="904"/>
      <c r="C6" s="904"/>
      <c r="D6" s="75"/>
    </row>
    <row r="7" spans="1:6" s="9" customFormat="1" ht="20.95" customHeight="1">
      <c r="A7" s="672">
        <v>528468804</v>
      </c>
      <c r="B7" s="79">
        <f>B8+B25+B36+B49</f>
        <v>529456737</v>
      </c>
      <c r="C7" s="257" t="s">
        <v>13</v>
      </c>
      <c r="D7" s="180">
        <f>D8+D25+D36+D49+D62</f>
        <v>564491226</v>
      </c>
      <c r="E7" s="659">
        <f>+A8+A25+A36+A49</f>
        <v>528468804</v>
      </c>
      <c r="F7" s="659">
        <f>+A7-E7</f>
        <v>0</v>
      </c>
    </row>
    <row r="8" spans="1:6" s="9" customFormat="1" ht="20.95" customHeight="1">
      <c r="A8" s="672">
        <v>493324218</v>
      </c>
      <c r="B8" s="79">
        <f>B9+B14+B19</f>
        <v>493513068</v>
      </c>
      <c r="C8" s="258" t="s">
        <v>32</v>
      </c>
      <c r="D8" s="180">
        <f>D9+D14+D19</f>
        <v>522207384</v>
      </c>
      <c r="E8" s="662">
        <f>+A9+A14+A19</f>
        <v>493324218</v>
      </c>
      <c r="F8" s="659">
        <f>+A8-E8</f>
        <v>0</v>
      </c>
    </row>
    <row r="9" spans="1:6" s="183" customFormat="1" ht="20.95" customHeight="1">
      <c r="A9" s="672">
        <v>456241973</v>
      </c>
      <c r="B9" s="27">
        <f>B10</f>
        <v>491651979</v>
      </c>
      <c r="C9" s="258" t="s">
        <v>7</v>
      </c>
      <c r="D9" s="181">
        <f>D10</f>
        <v>520975856</v>
      </c>
    </row>
    <row r="10" spans="1:6" s="9" customFormat="1" ht="20.95" customHeight="1">
      <c r="A10" s="673">
        <v>456241973</v>
      </c>
      <c r="B10" s="31">
        <f>B11</f>
        <v>491651979</v>
      </c>
      <c r="C10" s="259" t="s">
        <v>37</v>
      </c>
      <c r="D10" s="185">
        <f>D11</f>
        <v>520975856</v>
      </c>
    </row>
    <row r="11" spans="1:6" s="9" customFormat="1" ht="20.95" customHeight="1">
      <c r="A11" s="673">
        <v>456241973</v>
      </c>
      <c r="B11" s="31">
        <f>SUM(B12:B13)</f>
        <v>491651979</v>
      </c>
      <c r="C11" s="259" t="s">
        <v>38</v>
      </c>
      <c r="D11" s="185">
        <f>SUM(D12:D13)</f>
        <v>520975856</v>
      </c>
    </row>
    <row r="12" spans="1:6" s="9" customFormat="1" ht="20.95" customHeight="1">
      <c r="A12" s="673">
        <v>448797088</v>
      </c>
      <c r="B12" s="31">
        <v>484271046</v>
      </c>
      <c r="C12" s="259" t="s">
        <v>28</v>
      </c>
      <c r="D12" s="185">
        <v>518440489</v>
      </c>
    </row>
    <row r="13" spans="1:6" s="9" customFormat="1" ht="20.95" customHeight="1">
      <c r="A13" s="673">
        <v>7444884</v>
      </c>
      <c r="B13" s="31">
        <v>7380933</v>
      </c>
      <c r="C13" s="259" t="s">
        <v>29</v>
      </c>
      <c r="D13" s="185">
        <v>2535367</v>
      </c>
    </row>
    <row r="14" spans="1:6" s="9" customFormat="1" ht="20.95" customHeight="1">
      <c r="A14" s="672">
        <v>36327167</v>
      </c>
      <c r="B14" s="27">
        <f>B15</f>
        <v>1159558</v>
      </c>
      <c r="C14" s="258" t="s">
        <v>11</v>
      </c>
      <c r="D14" s="181">
        <f>D15</f>
        <v>387583</v>
      </c>
    </row>
    <row r="15" spans="1:6" s="9" customFormat="1" ht="20.95" customHeight="1">
      <c r="A15" s="673">
        <v>36327167</v>
      </c>
      <c r="B15" s="31">
        <f>B16</f>
        <v>1159558</v>
      </c>
      <c r="C15" s="259" t="s">
        <v>37</v>
      </c>
      <c r="D15" s="185">
        <f>D16</f>
        <v>387583</v>
      </c>
    </row>
    <row r="16" spans="1:6" s="9" customFormat="1" ht="20.95" customHeight="1">
      <c r="A16" s="673">
        <v>36327167</v>
      </c>
      <c r="B16" s="31">
        <f>SUM(B17:B18)</f>
        <v>1159558</v>
      </c>
      <c r="C16" s="259" t="s">
        <v>39</v>
      </c>
      <c r="D16" s="185">
        <f>SUM(D17:D18)</f>
        <v>387583</v>
      </c>
    </row>
    <row r="17" spans="1:6" s="9" customFormat="1" ht="20.95" customHeight="1">
      <c r="A17" s="673">
        <v>35590076</v>
      </c>
      <c r="B17" s="837">
        <v>0</v>
      </c>
      <c r="C17" s="259" t="s">
        <v>28</v>
      </c>
      <c r="D17" s="664">
        <v>0</v>
      </c>
    </row>
    <row r="18" spans="1:6" s="9" customFormat="1" ht="20.95" customHeight="1">
      <c r="A18" s="187">
        <v>737091</v>
      </c>
      <c r="B18" s="260">
        <v>1159558</v>
      </c>
      <c r="C18" s="259" t="s">
        <v>29</v>
      </c>
      <c r="D18" s="175">
        <v>387583</v>
      </c>
    </row>
    <row r="19" spans="1:6" s="9" customFormat="1" ht="20.95" customHeight="1">
      <c r="A19" s="358">
        <v>755078</v>
      </c>
      <c r="B19" s="27">
        <f>B20</f>
        <v>701531</v>
      </c>
      <c r="C19" s="258" t="s">
        <v>0</v>
      </c>
      <c r="D19" s="181">
        <f>D20</f>
        <v>843945</v>
      </c>
    </row>
    <row r="20" spans="1:6" s="9" customFormat="1" ht="20.95" customHeight="1">
      <c r="A20" s="357">
        <v>755078</v>
      </c>
      <c r="B20" s="31">
        <f>B21</f>
        <v>701531</v>
      </c>
      <c r="C20" s="259" t="s">
        <v>37</v>
      </c>
      <c r="D20" s="185">
        <f>D21</f>
        <v>843945</v>
      </c>
    </row>
    <row r="21" spans="1:6" s="9" customFormat="1" ht="20.95" customHeight="1">
      <c r="A21" s="357">
        <v>755078</v>
      </c>
      <c r="B21" s="31">
        <f>SUM(B22:B23)</f>
        <v>701531</v>
      </c>
      <c r="C21" s="259" t="s">
        <v>40</v>
      </c>
      <c r="D21" s="185">
        <f>SUM(D22:D23)</f>
        <v>843945</v>
      </c>
    </row>
    <row r="22" spans="1:6" s="9" customFormat="1" ht="20.95" customHeight="1">
      <c r="A22" s="673">
        <v>734129</v>
      </c>
      <c r="B22" s="31">
        <v>681537</v>
      </c>
      <c r="C22" s="259" t="s">
        <v>28</v>
      </c>
      <c r="D22" s="185">
        <v>835749</v>
      </c>
    </row>
    <row r="23" spans="1:6" s="9" customFormat="1" ht="20.95" customHeight="1">
      <c r="A23" s="673">
        <v>20949</v>
      </c>
      <c r="B23" s="31">
        <v>19994</v>
      </c>
      <c r="C23" s="259" t="s">
        <v>29</v>
      </c>
      <c r="D23" s="185">
        <v>8196</v>
      </c>
    </row>
    <row r="24" spans="1:6" s="9" customFormat="1" ht="2.4500000000000002" customHeight="1">
      <c r="A24" s="674"/>
      <c r="B24" s="31"/>
      <c r="C24" s="259"/>
      <c r="D24" s="185"/>
    </row>
    <row r="25" spans="1:6" s="9" customFormat="1" ht="20.95" customHeight="1">
      <c r="A25" s="672">
        <v>27464684</v>
      </c>
      <c r="B25" s="79">
        <f>B26+B29+B32</f>
        <v>28391151</v>
      </c>
      <c r="C25" s="258" t="s">
        <v>33</v>
      </c>
      <c r="D25" s="180">
        <f>D26+D29+D32</f>
        <v>28401381</v>
      </c>
      <c r="E25" s="663">
        <f>+A26+A29+A32</f>
        <v>27464684</v>
      </c>
      <c r="F25" s="663">
        <f>+A25-E25</f>
        <v>0</v>
      </c>
    </row>
    <row r="26" spans="1:6" s="183" customFormat="1" ht="20.95" customHeight="1">
      <c r="A26" s="672">
        <v>23106476</v>
      </c>
      <c r="B26" s="27">
        <f>B27</f>
        <v>22823256</v>
      </c>
      <c r="C26" s="258" t="s">
        <v>7</v>
      </c>
      <c r="D26" s="181">
        <f>D27</f>
        <v>23777464</v>
      </c>
    </row>
    <row r="27" spans="1:6" s="9" customFormat="1" ht="20.95" customHeight="1">
      <c r="A27" s="673">
        <v>23106476</v>
      </c>
      <c r="B27" s="31">
        <f>B28</f>
        <v>22823256</v>
      </c>
      <c r="C27" s="259" t="s">
        <v>37</v>
      </c>
      <c r="D27" s="185">
        <f>D28</f>
        <v>23777464</v>
      </c>
    </row>
    <row r="28" spans="1:6" s="9" customFormat="1" ht="20.95" customHeight="1">
      <c r="A28" s="673">
        <v>23106476</v>
      </c>
      <c r="B28" s="31">
        <v>22823256</v>
      </c>
      <c r="C28" s="259" t="s">
        <v>38</v>
      </c>
      <c r="D28" s="185">
        <v>23777464</v>
      </c>
    </row>
    <row r="29" spans="1:6" s="9" customFormat="1" ht="20.95" customHeight="1">
      <c r="A29" s="672">
        <v>4319223</v>
      </c>
      <c r="B29" s="27">
        <f>B30</f>
        <v>5527767</v>
      </c>
      <c r="C29" s="258" t="s">
        <v>11</v>
      </c>
      <c r="D29" s="181">
        <f>D30</f>
        <v>4573039</v>
      </c>
    </row>
    <row r="30" spans="1:6" s="9" customFormat="1" ht="20.95" customHeight="1">
      <c r="A30" s="673">
        <v>4319223</v>
      </c>
      <c r="B30" s="31">
        <f>B31</f>
        <v>5527767</v>
      </c>
      <c r="C30" s="259" t="s">
        <v>37</v>
      </c>
      <c r="D30" s="185">
        <f>D31</f>
        <v>4573039</v>
      </c>
    </row>
    <row r="31" spans="1:6" s="9" customFormat="1" ht="20.95" customHeight="1">
      <c r="A31" s="673">
        <v>4319223</v>
      </c>
      <c r="B31" s="31">
        <v>5527767</v>
      </c>
      <c r="C31" s="259" t="s">
        <v>39</v>
      </c>
      <c r="D31" s="185">
        <v>4573039</v>
      </c>
    </row>
    <row r="32" spans="1:6" s="9" customFormat="1" ht="20.95" customHeight="1">
      <c r="A32" s="358">
        <v>38985</v>
      </c>
      <c r="B32" s="27">
        <f>B33</f>
        <v>40128</v>
      </c>
      <c r="C32" s="258" t="s">
        <v>0</v>
      </c>
      <c r="D32" s="181">
        <f>D33</f>
        <v>50878</v>
      </c>
    </row>
    <row r="33" spans="1:6" s="9" customFormat="1" ht="20.95" customHeight="1">
      <c r="A33" s="357">
        <v>38985</v>
      </c>
      <c r="B33" s="31">
        <f>B34</f>
        <v>40128</v>
      </c>
      <c r="C33" s="259" t="s">
        <v>37</v>
      </c>
      <c r="D33" s="185">
        <f>D34</f>
        <v>50878</v>
      </c>
    </row>
    <row r="34" spans="1:6" s="9" customFormat="1" ht="20.95" customHeight="1">
      <c r="A34" s="357">
        <v>38985</v>
      </c>
      <c r="B34" s="31">
        <v>40128</v>
      </c>
      <c r="C34" s="259" t="s">
        <v>40</v>
      </c>
      <c r="D34" s="185">
        <v>50878</v>
      </c>
    </row>
    <row r="35" spans="1:6" s="9" customFormat="1" ht="2.4500000000000002" customHeight="1">
      <c r="A35" s="357"/>
      <c r="B35" s="31"/>
      <c r="C35" s="259"/>
      <c r="D35" s="185"/>
    </row>
    <row r="36" spans="1:6" s="9" customFormat="1" ht="20.95" customHeight="1">
      <c r="A36" s="672">
        <v>7152718</v>
      </c>
      <c r="B36" s="79">
        <f>B37+B45+B42</f>
        <v>6925121</v>
      </c>
      <c r="C36" s="258" t="s">
        <v>722</v>
      </c>
      <c r="D36" s="180">
        <f>D37+D45+D42</f>
        <v>6759343</v>
      </c>
      <c r="E36" s="662">
        <f>+A37+A45</f>
        <v>6946546</v>
      </c>
      <c r="F36" s="662">
        <f>+A36-E36</f>
        <v>206172</v>
      </c>
    </row>
    <row r="37" spans="1:6" s="183" customFormat="1" ht="20" customHeight="1">
      <c r="A37" s="672">
        <v>6940840</v>
      </c>
      <c r="B37" s="27">
        <f>B38</f>
        <v>6916286</v>
      </c>
      <c r="C37" s="258" t="s">
        <v>7</v>
      </c>
      <c r="D37" s="181">
        <f>D38</f>
        <v>6752689</v>
      </c>
    </row>
    <row r="38" spans="1:6" s="9" customFormat="1" ht="26.35" customHeight="1" thickBot="1">
      <c r="A38" s="682">
        <v>6940840</v>
      </c>
      <c r="B38" s="99">
        <f>B39</f>
        <v>6916286</v>
      </c>
      <c r="C38" s="290" t="s">
        <v>37</v>
      </c>
      <c r="D38" s="963">
        <f>D39</f>
        <v>6752689</v>
      </c>
    </row>
    <row r="39" spans="1:6" s="9" customFormat="1" ht="20.95" customHeight="1">
      <c r="A39" s="357">
        <v>6940840</v>
      </c>
      <c r="B39" s="31">
        <f>+B40+B41</f>
        <v>6916286</v>
      </c>
      <c r="C39" s="259" t="s">
        <v>38</v>
      </c>
      <c r="D39" s="185">
        <f>+D40+D41</f>
        <v>6752689</v>
      </c>
    </row>
    <row r="40" spans="1:6" s="832" customFormat="1" ht="20.95" customHeight="1">
      <c r="A40" s="673">
        <v>6868551</v>
      </c>
      <c r="B40" s="186">
        <v>6794437</v>
      </c>
      <c r="C40" s="259" t="s">
        <v>720</v>
      </c>
      <c r="D40" s="202">
        <v>6623421</v>
      </c>
    </row>
    <row r="41" spans="1:6" s="832" customFormat="1" ht="20.95" customHeight="1">
      <c r="A41" s="334">
        <v>72288</v>
      </c>
      <c r="B41" s="260">
        <v>121849</v>
      </c>
      <c r="C41" s="259" t="s">
        <v>721</v>
      </c>
      <c r="D41" s="175">
        <v>129268</v>
      </c>
    </row>
    <row r="42" spans="1:6" s="954" customFormat="1" ht="20.95" customHeight="1">
      <c r="A42" s="672">
        <v>206173</v>
      </c>
      <c r="B42" s="143">
        <f>B43</f>
        <v>0</v>
      </c>
      <c r="C42" s="258" t="s">
        <v>928</v>
      </c>
      <c r="D42" s="664">
        <f>D43</f>
        <v>0</v>
      </c>
    </row>
    <row r="43" spans="1:6" s="954" customFormat="1" ht="20.95" customHeight="1">
      <c r="A43" s="673">
        <v>206173</v>
      </c>
      <c r="B43" s="186">
        <f>B44</f>
        <v>0</v>
      </c>
      <c r="C43" s="259" t="s">
        <v>37</v>
      </c>
      <c r="D43" s="202">
        <f>D44</f>
        <v>0</v>
      </c>
    </row>
    <row r="44" spans="1:6" s="954" customFormat="1" ht="20.95" customHeight="1">
      <c r="A44" s="673">
        <v>206173</v>
      </c>
      <c r="B44" s="186">
        <v>0</v>
      </c>
      <c r="C44" s="259" t="s">
        <v>39</v>
      </c>
      <c r="D44" s="202">
        <v>0</v>
      </c>
    </row>
    <row r="45" spans="1:6" s="9" customFormat="1" ht="20.95" customHeight="1">
      <c r="A45" s="358">
        <v>5706</v>
      </c>
      <c r="B45" s="27">
        <f>B46</f>
        <v>8835</v>
      </c>
      <c r="C45" s="258" t="s">
        <v>927</v>
      </c>
      <c r="D45" s="181">
        <f>D46</f>
        <v>6654</v>
      </c>
    </row>
    <row r="46" spans="1:6" s="9" customFormat="1" ht="20.95" customHeight="1">
      <c r="A46" s="357">
        <v>5706</v>
      </c>
      <c r="B46" s="31">
        <f>B47</f>
        <v>8835</v>
      </c>
      <c r="C46" s="259" t="s">
        <v>37</v>
      </c>
      <c r="D46" s="185">
        <f>D47</f>
        <v>6654</v>
      </c>
    </row>
    <row r="47" spans="1:6" s="9" customFormat="1" ht="20.95" customHeight="1">
      <c r="A47" s="357">
        <v>5706</v>
      </c>
      <c r="B47" s="186">
        <v>8835</v>
      </c>
      <c r="C47" s="259" t="s">
        <v>40</v>
      </c>
      <c r="D47" s="202">
        <v>6654</v>
      </c>
    </row>
    <row r="48" spans="1:6" s="9" customFormat="1" ht="3.6" customHeight="1">
      <c r="A48" s="357"/>
      <c r="B48" s="31"/>
      <c r="C48" s="259"/>
      <c r="D48" s="185"/>
    </row>
    <row r="49" spans="1:6" s="9" customFormat="1" ht="20.95" customHeight="1">
      <c r="A49" s="672">
        <v>527184</v>
      </c>
      <c r="B49" s="79">
        <f>B50+B53+B56</f>
        <v>627397</v>
      </c>
      <c r="C49" s="258" t="s">
        <v>20</v>
      </c>
      <c r="D49" s="180">
        <f>D50+D53+D56</f>
        <v>187217</v>
      </c>
      <c r="E49" s="662">
        <f>+A50+A56</f>
        <v>527184</v>
      </c>
    </row>
    <row r="50" spans="1:6" s="183" customFormat="1" ht="20.95" customHeight="1">
      <c r="A50" s="672">
        <v>526300</v>
      </c>
      <c r="B50" s="27">
        <f>B51</f>
        <v>627397</v>
      </c>
      <c r="C50" s="258" t="s">
        <v>926</v>
      </c>
      <c r="D50" s="181">
        <f>D51</f>
        <v>171207</v>
      </c>
    </row>
    <row r="51" spans="1:6" s="9" customFormat="1" ht="20.95" customHeight="1">
      <c r="A51" s="673">
        <v>526300</v>
      </c>
      <c r="B51" s="31">
        <f>B52</f>
        <v>627397</v>
      </c>
      <c r="C51" s="259" t="s">
        <v>37</v>
      </c>
      <c r="D51" s="185">
        <f>D52</f>
        <v>171207</v>
      </c>
    </row>
    <row r="52" spans="1:6" s="9" customFormat="1" ht="20.95" customHeight="1">
      <c r="A52" s="673">
        <v>526300</v>
      </c>
      <c r="B52" s="31">
        <v>627397</v>
      </c>
      <c r="C52" s="259" t="s">
        <v>38</v>
      </c>
      <c r="D52" s="185">
        <v>171207</v>
      </c>
    </row>
    <row r="53" spans="1:6" s="9" customFormat="1" ht="20.95" customHeight="1">
      <c r="A53" s="358">
        <v>0</v>
      </c>
      <c r="B53" s="143">
        <f>B54</f>
        <v>0</v>
      </c>
      <c r="C53" s="258" t="s">
        <v>17</v>
      </c>
      <c r="D53" s="172">
        <f>D54</f>
        <v>16010</v>
      </c>
    </row>
    <row r="54" spans="1:6" s="9" customFormat="1" ht="20.95" customHeight="1">
      <c r="A54" s="357">
        <v>0</v>
      </c>
      <c r="B54" s="186">
        <f>B55</f>
        <v>0</v>
      </c>
      <c r="C54" s="259" t="s">
        <v>37</v>
      </c>
      <c r="D54" s="175">
        <f>D55</f>
        <v>16010</v>
      </c>
    </row>
    <row r="55" spans="1:6" s="9" customFormat="1" ht="20.95" customHeight="1">
      <c r="A55" s="937">
        <v>0</v>
      </c>
      <c r="B55" s="260">
        <v>0</v>
      </c>
      <c r="C55" s="259" t="s">
        <v>39</v>
      </c>
      <c r="D55" s="175">
        <v>16010</v>
      </c>
    </row>
    <row r="56" spans="1:6" s="9" customFormat="1" ht="20.95" customHeight="1">
      <c r="A56" s="358">
        <v>884</v>
      </c>
      <c r="B56" s="143">
        <f>B57</f>
        <v>0</v>
      </c>
      <c r="C56" s="258" t="s">
        <v>929</v>
      </c>
      <c r="D56" s="664">
        <f>D57</f>
        <v>0</v>
      </c>
    </row>
    <row r="57" spans="1:6" s="9" customFormat="1" ht="20.95" customHeight="1">
      <c r="A57" s="357">
        <v>884</v>
      </c>
      <c r="B57" s="186">
        <f>B58</f>
        <v>0</v>
      </c>
      <c r="C57" s="259" t="s">
        <v>37</v>
      </c>
      <c r="D57" s="202">
        <f>D58</f>
        <v>0</v>
      </c>
    </row>
    <row r="58" spans="1:6" s="9" customFormat="1" ht="20.95" customHeight="1">
      <c r="A58" s="357">
        <v>884</v>
      </c>
      <c r="B58" s="186">
        <f>SUM(B59:B60)</f>
        <v>0</v>
      </c>
      <c r="C58" s="259" t="s">
        <v>40</v>
      </c>
      <c r="D58" s="202">
        <f>SUM(D59:D60)</f>
        <v>0</v>
      </c>
    </row>
    <row r="59" spans="1:6" s="9" customFormat="1" ht="20.95" customHeight="1">
      <c r="A59" s="357">
        <v>140</v>
      </c>
      <c r="B59" s="909">
        <v>0</v>
      </c>
      <c r="C59" s="259" t="s">
        <v>30</v>
      </c>
      <c r="D59" s="836">
        <v>0</v>
      </c>
    </row>
    <row r="60" spans="1:6" s="9" customFormat="1" ht="20.95" customHeight="1">
      <c r="A60" s="357">
        <v>743</v>
      </c>
      <c r="B60" s="186">
        <v>0</v>
      </c>
      <c r="C60" s="259" t="s">
        <v>31</v>
      </c>
      <c r="D60" s="202">
        <v>0</v>
      </c>
    </row>
    <row r="61" spans="1:6" s="1151" customFormat="1" ht="5.4" customHeight="1">
      <c r="A61" s="357"/>
      <c r="B61" s="186"/>
      <c r="C61" s="259"/>
      <c r="D61" s="202"/>
    </row>
    <row r="62" spans="1:6" s="1151" customFormat="1" ht="20.95" customHeight="1">
      <c r="A62" s="358">
        <v>0</v>
      </c>
      <c r="B62" s="143">
        <f>B63+B66</f>
        <v>0</v>
      </c>
      <c r="C62" s="258" t="s">
        <v>1228</v>
      </c>
      <c r="D62" s="180">
        <f>D63+D66</f>
        <v>6935901</v>
      </c>
      <c r="E62" s="663"/>
      <c r="F62" s="663"/>
    </row>
    <row r="63" spans="1:6" s="183" customFormat="1" ht="20.95" customHeight="1">
      <c r="A63" s="358">
        <v>0</v>
      </c>
      <c r="B63" s="143">
        <f>B64</f>
        <v>0</v>
      </c>
      <c r="C63" s="258" t="s">
        <v>7</v>
      </c>
      <c r="D63" s="181">
        <f>D64</f>
        <v>6919510</v>
      </c>
    </row>
    <row r="64" spans="1:6" s="1151" customFormat="1" ht="20.95" customHeight="1">
      <c r="A64" s="357">
        <v>0</v>
      </c>
      <c r="B64" s="909">
        <f>B65</f>
        <v>0</v>
      </c>
      <c r="C64" s="259" t="s">
        <v>37</v>
      </c>
      <c r="D64" s="185">
        <f>D65</f>
        <v>6919510</v>
      </c>
    </row>
    <row r="65" spans="1:4" s="1151" customFormat="1" ht="20.95" customHeight="1">
      <c r="A65" s="937">
        <v>0</v>
      </c>
      <c r="B65" s="909">
        <v>0</v>
      </c>
      <c r="C65" s="259" t="s">
        <v>38</v>
      </c>
      <c r="D65" s="185">
        <v>6919510</v>
      </c>
    </row>
    <row r="66" spans="1:4" s="1151" customFormat="1" ht="20.95" customHeight="1">
      <c r="A66" s="358">
        <v>0</v>
      </c>
      <c r="B66" s="143">
        <f>B67</f>
        <v>0</v>
      </c>
      <c r="C66" s="258" t="s">
        <v>0</v>
      </c>
      <c r="D66" s="181">
        <f>D67</f>
        <v>16391</v>
      </c>
    </row>
    <row r="67" spans="1:4" s="1151" customFormat="1" ht="20.95" customHeight="1">
      <c r="A67" s="357">
        <v>0</v>
      </c>
      <c r="B67" s="909">
        <f>B68</f>
        <v>0</v>
      </c>
      <c r="C67" s="259" t="s">
        <v>37</v>
      </c>
      <c r="D67" s="185">
        <f>D68</f>
        <v>16391</v>
      </c>
    </row>
    <row r="68" spans="1:4" s="1151" customFormat="1" ht="65.45" customHeight="1" thickBot="1">
      <c r="A68" s="682">
        <v>0</v>
      </c>
      <c r="B68" s="190">
        <v>0</v>
      </c>
      <c r="C68" s="290" t="s">
        <v>40</v>
      </c>
      <c r="D68" s="963">
        <v>16391</v>
      </c>
    </row>
  </sheetData>
  <mergeCells count="4">
    <mergeCell ref="A4:D4"/>
    <mergeCell ref="A3:D3"/>
    <mergeCell ref="A2:D2"/>
    <mergeCell ref="A1:D1"/>
  </mergeCells>
  <phoneticPr fontId="5" type="noConversion"/>
  <printOptions horizontalCentered="1"/>
  <pageMargins left="0.59055118110236227" right="0.59055118110236227" top="0.59055118110236227" bottom="0.78740157480314965" header="0.51181102362204722" footer="0.51181102362204722"/>
  <pageSetup paperSize="9" firstPageNumber="35" fitToHeight="2" orientation="portrait" useFirstPageNumber="1" r:id="rId1"/>
  <headerFooter alignWithMargins="0">
    <oddFooter>&amp;C&amp;"Times New Roman,標準"&amp;P</oddFooter>
  </headerFooter>
  <rowBreaks count="1" manualBreakCount="1">
    <brk id="38" max="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G73"/>
  <sheetViews>
    <sheetView view="pageBreakPreview" topLeftCell="A49" zoomScaleNormal="100" zoomScaleSheetLayoutView="100" workbookViewId="0">
      <selection activeCell="C58" sqref="C58"/>
    </sheetView>
  </sheetViews>
  <sheetFormatPr defaultColWidth="9" defaultRowHeight="15.05"/>
  <cols>
    <col min="1" max="1" width="29.125" style="245" customWidth="1"/>
    <col min="2" max="2" width="2.5" style="245" customWidth="1"/>
    <col min="3" max="3" width="58.625" style="245" customWidth="1"/>
    <col min="4" max="4" width="9" style="245"/>
    <col min="5" max="5" width="11.125" style="245" bestFit="1" customWidth="1"/>
    <col min="6" max="7" width="15.625" style="245" bestFit="1" customWidth="1"/>
    <col min="8" max="16384" width="9" style="245"/>
  </cols>
  <sheetData>
    <row r="1" spans="1:7" ht="22.25">
      <c r="A1" s="1435" t="s">
        <v>59</v>
      </c>
      <c r="B1" s="1435"/>
      <c r="C1" s="1435"/>
    </row>
    <row r="2" spans="1:7" ht="22.25">
      <c r="A2" s="1435" t="s">
        <v>60</v>
      </c>
      <c r="B2" s="1435"/>
      <c r="C2" s="1435"/>
    </row>
    <row r="3" spans="1:7" ht="24.75" customHeight="1">
      <c r="A3" s="1436" t="s">
        <v>1691</v>
      </c>
      <c r="B3" s="1437"/>
      <c r="C3" s="1437"/>
    </row>
    <row r="4" spans="1:7" ht="24.75" customHeight="1" thickBot="1">
      <c r="A4" s="1419" t="s">
        <v>905</v>
      </c>
      <c r="B4" s="1420"/>
      <c r="C4" s="1420"/>
    </row>
    <row r="5" spans="1:7" s="246" customFormat="1" ht="29.95" customHeight="1">
      <c r="A5" s="398" t="s">
        <v>100</v>
      </c>
      <c r="B5" s="1438" t="s">
        <v>101</v>
      </c>
      <c r="C5" s="1439"/>
    </row>
    <row r="6" spans="1:7" s="246" customFormat="1" ht="9.65" customHeight="1">
      <c r="A6" s="50"/>
      <c r="B6" s="248"/>
      <c r="C6" s="51"/>
    </row>
    <row r="7" spans="1:7" s="43" customFormat="1" ht="39.6" customHeight="1">
      <c r="A7" s="26" t="s">
        <v>13</v>
      </c>
      <c r="B7" s="1442" t="s">
        <v>1786</v>
      </c>
      <c r="C7" s="1286"/>
      <c r="E7" s="1175">
        <v>355552</v>
      </c>
      <c r="F7" s="1175">
        <v>564136674</v>
      </c>
      <c r="G7" s="1175">
        <f>+E7+F7</f>
        <v>564492226</v>
      </c>
    </row>
    <row r="8" spans="1:7" s="43" customFormat="1" ht="23.4" customHeight="1">
      <c r="A8" s="134" t="s">
        <v>32</v>
      </c>
      <c r="B8" s="249"/>
      <c r="C8" s="48"/>
    </row>
    <row r="9" spans="1:7" s="43" customFormat="1" ht="22.6" customHeight="1">
      <c r="A9" s="134" t="s">
        <v>7</v>
      </c>
      <c r="B9" s="249"/>
      <c r="C9" s="48"/>
    </row>
    <row r="10" spans="1:7" s="43" customFormat="1" ht="32.4" customHeight="1">
      <c r="A10" s="139" t="s">
        <v>37</v>
      </c>
      <c r="B10" s="249"/>
      <c r="C10" s="48"/>
    </row>
    <row r="11" spans="1:7" s="43" customFormat="1" ht="47.45" customHeight="1">
      <c r="A11" s="139" t="s">
        <v>38</v>
      </c>
      <c r="B11" s="1440" t="s">
        <v>1634</v>
      </c>
      <c r="C11" s="1441"/>
    </row>
    <row r="12" spans="1:7" s="43" customFormat="1" ht="32.75">
      <c r="A12" s="100"/>
      <c r="B12" s="1204" t="s">
        <v>1429</v>
      </c>
      <c r="C12" s="877" t="s">
        <v>1431</v>
      </c>
    </row>
    <row r="13" spans="1:7" s="43" customFormat="1" ht="32.75">
      <c r="A13" s="100"/>
      <c r="B13" s="1204" t="s">
        <v>1430</v>
      </c>
      <c r="C13" s="877" t="s">
        <v>1432</v>
      </c>
    </row>
    <row r="14" spans="1:7" s="43" customFormat="1" ht="21.6" customHeight="1">
      <c r="A14" s="134" t="s">
        <v>11</v>
      </c>
      <c r="B14" s="250"/>
      <c r="C14" s="297"/>
    </row>
    <row r="15" spans="1:7" s="43" customFormat="1" ht="31.25" customHeight="1">
      <c r="A15" s="139" t="s">
        <v>37</v>
      </c>
      <c r="B15" s="250"/>
      <c r="C15" s="297"/>
    </row>
    <row r="16" spans="1:7" s="43" customFormat="1" ht="35.049999999999997" customHeight="1">
      <c r="A16" s="139" t="s">
        <v>39</v>
      </c>
      <c r="B16" s="1424" t="s">
        <v>1229</v>
      </c>
      <c r="C16" s="1425"/>
    </row>
    <row r="17" spans="1:3" s="43" customFormat="1" ht="26.35" customHeight="1">
      <c r="A17" s="134" t="s">
        <v>0</v>
      </c>
      <c r="B17" s="400"/>
      <c r="C17" s="878"/>
    </row>
    <row r="18" spans="1:3" s="43" customFormat="1" ht="30.6" customHeight="1">
      <c r="A18" s="139" t="s">
        <v>37</v>
      </c>
      <c r="B18" s="400"/>
      <c r="C18" s="878"/>
    </row>
    <row r="19" spans="1:3" s="247" customFormat="1" ht="33.049999999999997" customHeight="1">
      <c r="A19" s="139" t="s">
        <v>40</v>
      </c>
      <c r="B19" s="1434" t="s">
        <v>1230</v>
      </c>
      <c r="C19" s="1360"/>
    </row>
    <row r="20" spans="1:3" s="247" customFormat="1" ht="2.4500000000000002" customHeight="1">
      <c r="A20" s="47"/>
      <c r="B20" s="882"/>
      <c r="C20" s="877"/>
    </row>
    <row r="21" spans="1:3" s="43" customFormat="1" ht="26.35" customHeight="1">
      <c r="A21" s="134" t="s">
        <v>33</v>
      </c>
      <c r="B21" s="249"/>
      <c r="C21" s="48"/>
    </row>
    <row r="22" spans="1:3" s="43" customFormat="1" ht="26.35" customHeight="1">
      <c r="A22" s="134" t="s">
        <v>7</v>
      </c>
      <c r="B22" s="249"/>
      <c r="C22" s="48"/>
    </row>
    <row r="23" spans="1:3" s="43" customFormat="1" ht="31.95" customHeight="1">
      <c r="A23" s="139" t="s">
        <v>37</v>
      </c>
      <c r="B23" s="249"/>
      <c r="C23" s="48"/>
    </row>
    <row r="24" spans="1:3" s="43" customFormat="1" ht="65" customHeight="1">
      <c r="A24" s="139" t="s">
        <v>38</v>
      </c>
      <c r="B24" s="1431" t="s">
        <v>1642</v>
      </c>
      <c r="C24" s="1423"/>
    </row>
    <row r="25" spans="1:3" s="43" customFormat="1" ht="26.35" customHeight="1">
      <c r="A25" s="134" t="s">
        <v>11</v>
      </c>
      <c r="B25" s="883"/>
      <c r="C25" s="879"/>
    </row>
    <row r="26" spans="1:3" s="43" customFormat="1" ht="31.25" customHeight="1">
      <c r="A26" s="139" t="s">
        <v>37</v>
      </c>
      <c r="B26" s="883"/>
      <c r="C26" s="879"/>
    </row>
    <row r="27" spans="1:3" s="43" customFormat="1" ht="42.05" customHeight="1" thickBot="1">
      <c r="A27" s="475" t="s">
        <v>39</v>
      </c>
      <c r="B27" s="1432" t="s">
        <v>1231</v>
      </c>
      <c r="C27" s="1433"/>
    </row>
    <row r="28" spans="1:3" s="43" customFormat="1" ht="24.55" customHeight="1">
      <c r="A28" s="134" t="s">
        <v>0</v>
      </c>
      <c r="B28" s="400"/>
      <c r="C28" s="878"/>
    </row>
    <row r="29" spans="1:3" s="43" customFormat="1" ht="29" customHeight="1">
      <c r="A29" s="139" t="s">
        <v>37</v>
      </c>
      <c r="B29" s="400"/>
      <c r="C29" s="878"/>
    </row>
    <row r="30" spans="1:3" s="247" customFormat="1" ht="33.049999999999997" customHeight="1">
      <c r="A30" s="139" t="s">
        <v>40</v>
      </c>
      <c r="B30" s="1434" t="s">
        <v>930</v>
      </c>
      <c r="C30" s="1360"/>
    </row>
    <row r="31" spans="1:3" s="247" customFormat="1" ht="4.5999999999999996" customHeight="1">
      <c r="A31" s="47"/>
      <c r="B31" s="882"/>
      <c r="C31" s="877"/>
    </row>
    <row r="32" spans="1:3" s="43" customFormat="1" ht="22.6" customHeight="1">
      <c r="A32" s="134" t="s">
        <v>722</v>
      </c>
      <c r="B32" s="249"/>
      <c r="C32" s="48"/>
    </row>
    <row r="33" spans="1:3" s="43" customFormat="1" ht="20.3" customHeight="1">
      <c r="A33" s="134" t="s">
        <v>7</v>
      </c>
      <c r="B33" s="249"/>
      <c r="C33" s="48"/>
    </row>
    <row r="34" spans="1:3" s="43" customFormat="1" ht="31.95" customHeight="1">
      <c r="A34" s="139" t="s">
        <v>37</v>
      </c>
      <c r="B34" s="249"/>
      <c r="C34" s="48"/>
    </row>
    <row r="35" spans="1:3" s="43" customFormat="1" ht="33.049999999999997" customHeight="1">
      <c r="A35" s="139" t="s">
        <v>38</v>
      </c>
      <c r="B35" s="1431" t="s">
        <v>1643</v>
      </c>
      <c r="C35" s="1423"/>
    </row>
    <row r="36" spans="1:3" s="356" customFormat="1" ht="34.200000000000003" customHeight="1">
      <c r="A36" s="476"/>
      <c r="B36" s="1204" t="s">
        <v>1429</v>
      </c>
      <c r="C36" s="877" t="s">
        <v>1433</v>
      </c>
    </row>
    <row r="37" spans="1:3" s="356" customFormat="1" ht="33.049999999999997" customHeight="1">
      <c r="A37" s="476"/>
      <c r="B37" s="1204" t="s">
        <v>1430</v>
      </c>
      <c r="C37" s="877" t="s">
        <v>1434</v>
      </c>
    </row>
    <row r="38" spans="1:3" s="43" customFormat="1" ht="26.35" customHeight="1">
      <c r="A38" s="134" t="s">
        <v>0</v>
      </c>
      <c r="B38" s="250"/>
      <c r="C38" s="297"/>
    </row>
    <row r="39" spans="1:3" s="43" customFormat="1" ht="30.6" customHeight="1">
      <c r="A39" s="139" t="s">
        <v>37</v>
      </c>
      <c r="B39" s="250"/>
      <c r="C39" s="297"/>
    </row>
    <row r="40" spans="1:3" s="247" customFormat="1" ht="35.200000000000003" customHeight="1">
      <c r="A40" s="139" t="s">
        <v>40</v>
      </c>
      <c r="B40" s="1428" t="s">
        <v>1527</v>
      </c>
      <c r="C40" s="1360"/>
    </row>
    <row r="41" spans="1:3" s="247" customFormat="1" ht="6.75" customHeight="1">
      <c r="A41" s="477"/>
      <c r="B41" s="883"/>
      <c r="C41" s="879"/>
    </row>
    <row r="42" spans="1:3" s="43" customFormat="1" ht="20.95" customHeight="1">
      <c r="A42" s="134" t="s">
        <v>20</v>
      </c>
      <c r="B42" s="1359" t="s">
        <v>754</v>
      </c>
      <c r="C42" s="1286"/>
    </row>
    <row r="43" spans="1:3" s="43" customFormat="1" ht="20.95" customHeight="1">
      <c r="A43" s="134" t="s">
        <v>7</v>
      </c>
      <c r="B43" s="182"/>
      <c r="C43" s="336"/>
    </row>
    <row r="44" spans="1:3" s="43" customFormat="1" ht="33.049999999999997" customHeight="1">
      <c r="A44" s="139" t="s">
        <v>37</v>
      </c>
      <c r="B44" s="182"/>
      <c r="C44" s="336"/>
    </row>
    <row r="45" spans="1:3" s="356" customFormat="1" ht="23.25" customHeight="1">
      <c r="A45" s="139" t="s">
        <v>38</v>
      </c>
      <c r="B45" s="1422" t="s">
        <v>1644</v>
      </c>
      <c r="C45" s="1423"/>
    </row>
    <row r="46" spans="1:3" s="356" customFormat="1" ht="33.049999999999997" customHeight="1">
      <c r="A46" s="139"/>
      <c r="B46" s="1204" t="s">
        <v>1435</v>
      </c>
      <c r="C46" s="1205" t="s">
        <v>1535</v>
      </c>
    </row>
    <row r="47" spans="1:3" s="356" customFormat="1" ht="50.4" customHeight="1">
      <c r="A47" s="139"/>
      <c r="B47" s="1204" t="s">
        <v>1436</v>
      </c>
      <c r="C47" s="1205" t="s">
        <v>1536</v>
      </c>
    </row>
    <row r="48" spans="1:3" s="43" customFormat="1" ht="29.95" customHeight="1">
      <c r="A48" s="134" t="s">
        <v>11</v>
      </c>
      <c r="B48" s="337"/>
      <c r="C48" s="338"/>
    </row>
    <row r="49" spans="1:3" s="43" customFormat="1" ht="29.95" customHeight="1">
      <c r="A49" s="139" t="s">
        <v>37</v>
      </c>
      <c r="B49" s="337"/>
      <c r="C49" s="338"/>
    </row>
    <row r="50" spans="1:3" s="43" customFormat="1" ht="35.200000000000003" customHeight="1">
      <c r="A50" s="139" t="s">
        <v>39</v>
      </c>
      <c r="B50" s="1424" t="s">
        <v>1606</v>
      </c>
      <c r="C50" s="1425"/>
    </row>
    <row r="51" spans="1:3" s="43" customFormat="1" ht="19.5" customHeight="1" thickBot="1">
      <c r="A51" s="468"/>
      <c r="B51" s="1188"/>
      <c r="C51" s="1189"/>
    </row>
    <row r="52" spans="1:3" s="43" customFormat="1" ht="29.45" customHeight="1">
      <c r="A52" s="134" t="s">
        <v>1228</v>
      </c>
      <c r="B52" s="1429" t="s">
        <v>1787</v>
      </c>
      <c r="C52" s="1430"/>
    </row>
    <row r="53" spans="1:3" s="43" customFormat="1" ht="29.95" customHeight="1">
      <c r="A53" s="134" t="s">
        <v>7</v>
      </c>
      <c r="B53" s="1429"/>
      <c r="C53" s="1430"/>
    </row>
    <row r="54" spans="1:3" s="43" customFormat="1" ht="31.95" customHeight="1">
      <c r="A54" s="139" t="s">
        <v>37</v>
      </c>
      <c r="B54" s="249"/>
      <c r="C54" s="48"/>
    </row>
    <row r="55" spans="1:3" s="43" customFormat="1" ht="26.35" customHeight="1">
      <c r="A55" s="139" t="s">
        <v>38</v>
      </c>
      <c r="B55" s="1427" t="s">
        <v>1788</v>
      </c>
      <c r="C55" s="1423"/>
    </row>
    <row r="56" spans="1:3" s="356" customFormat="1" ht="49.1">
      <c r="A56" s="476"/>
      <c r="B56" s="1204" t="s">
        <v>1429</v>
      </c>
      <c r="C56" s="1238" t="s">
        <v>1607</v>
      </c>
    </row>
    <row r="57" spans="1:3" s="356" customFormat="1" ht="49.1">
      <c r="A57" s="476"/>
      <c r="B57" s="1204" t="s">
        <v>1430</v>
      </c>
      <c r="C57" s="1250" t="s">
        <v>1789</v>
      </c>
    </row>
    <row r="58" spans="1:3" s="43" customFormat="1" ht="26.35" customHeight="1">
      <c r="A58" s="134" t="s">
        <v>0</v>
      </c>
      <c r="B58" s="250"/>
      <c r="C58" s="297"/>
    </row>
    <row r="59" spans="1:3" s="43" customFormat="1" ht="30.6" customHeight="1">
      <c r="A59" s="139" t="s">
        <v>37</v>
      </c>
      <c r="B59" s="250"/>
      <c r="C59" s="297"/>
    </row>
    <row r="60" spans="1:3" s="247" customFormat="1" ht="35.200000000000003" customHeight="1">
      <c r="A60" s="139" t="s">
        <v>40</v>
      </c>
      <c r="B60" s="1428" t="s">
        <v>1232</v>
      </c>
      <c r="C60" s="1360"/>
    </row>
    <row r="61" spans="1:3" s="43" customFormat="1" ht="99.65" customHeight="1">
      <c r="A61" s="139"/>
      <c r="B61" s="880"/>
      <c r="C61" s="881"/>
    </row>
    <row r="62" spans="1:3" s="247" customFormat="1" ht="114.05" customHeight="1">
      <c r="A62" s="139"/>
      <c r="B62" s="1426"/>
      <c r="C62" s="1286"/>
    </row>
    <row r="63" spans="1:3" s="247" customFormat="1" ht="76.95" customHeight="1">
      <c r="A63" s="139"/>
      <c r="B63" s="883"/>
      <c r="C63" s="879"/>
    </row>
    <row r="64" spans="1:3" s="247" customFormat="1" ht="30.6" customHeight="1">
      <c r="A64" s="139"/>
      <c r="B64" s="400"/>
      <c r="C64" s="878"/>
    </row>
    <row r="65" spans="1:3" s="247" customFormat="1" ht="31.25" customHeight="1" thickBot="1">
      <c r="A65" s="475"/>
      <c r="B65" s="463"/>
      <c r="C65" s="464"/>
    </row>
    <row r="66" spans="1:3" s="247" customFormat="1" ht="38.950000000000003" customHeight="1">
      <c r="A66" s="335"/>
      <c r="B66" s="251"/>
      <c r="C66" s="251"/>
    </row>
    <row r="67" spans="1:3" s="247" customFormat="1" ht="29.95" customHeight="1">
      <c r="A67" s="252"/>
      <c r="B67" s="251"/>
      <c r="C67" s="251"/>
    </row>
    <row r="68" spans="1:3" s="247" customFormat="1" ht="29.95" customHeight="1">
      <c r="A68" s="252"/>
      <c r="B68" s="251"/>
      <c r="C68" s="251"/>
    </row>
    <row r="69" spans="1:3" s="247" customFormat="1" ht="29.95" customHeight="1">
      <c r="A69" s="252"/>
      <c r="B69" s="251"/>
      <c r="C69" s="251"/>
    </row>
    <row r="70" spans="1:3" s="247" customFormat="1" ht="29.95" customHeight="1">
      <c r="A70" s="252"/>
      <c r="B70" s="251"/>
      <c r="C70" s="251"/>
    </row>
    <row r="71" spans="1:3" s="247" customFormat="1" ht="29.95" customHeight="1">
      <c r="A71" s="252"/>
      <c r="B71" s="251"/>
      <c r="C71" s="251"/>
    </row>
    <row r="72" spans="1:3" s="247" customFormat="1" ht="29.95" customHeight="1">
      <c r="A72" s="252"/>
      <c r="B72" s="251"/>
      <c r="C72" s="251"/>
    </row>
    <row r="73" spans="1:3" s="247" customFormat="1" ht="29.95" customHeight="1">
      <c r="A73" s="252"/>
      <c r="B73" s="251"/>
      <c r="C73" s="251"/>
    </row>
  </sheetData>
  <mergeCells count="21">
    <mergeCell ref="A1:C1"/>
    <mergeCell ref="A2:C2"/>
    <mergeCell ref="A3:C3"/>
    <mergeCell ref="A4:C4"/>
    <mergeCell ref="B19:C19"/>
    <mergeCell ref="B5:C5"/>
    <mergeCell ref="B11:C11"/>
    <mergeCell ref="B16:C16"/>
    <mergeCell ref="B7:C7"/>
    <mergeCell ref="B40:C40"/>
    <mergeCell ref="B24:C24"/>
    <mergeCell ref="B27:C27"/>
    <mergeCell ref="B30:C30"/>
    <mergeCell ref="B35:C35"/>
    <mergeCell ref="B42:C42"/>
    <mergeCell ref="B45:C45"/>
    <mergeCell ref="B50:C50"/>
    <mergeCell ref="B62:C62"/>
    <mergeCell ref="B55:C55"/>
    <mergeCell ref="B60:C60"/>
    <mergeCell ref="B52:C53"/>
  </mergeCells>
  <phoneticPr fontId="5" type="noConversion"/>
  <printOptions horizontalCentered="1"/>
  <pageMargins left="0.59055118110236227" right="0.59055118110236227" top="0.59055118110236227" bottom="0.78740157480314965" header="0.51181102362204722" footer="0.51181102362204722"/>
  <pageSetup paperSize="9" scale="97" firstPageNumber="37" orientation="portrait" useFirstPageNumber="1" r:id="rId1"/>
  <headerFooter alignWithMargins="0">
    <oddFooter>&amp;C&amp;"Times New Roman,標準"&amp;P</oddFooter>
  </headerFooter>
  <rowBreaks count="2" manualBreakCount="2">
    <brk id="27" max="2" man="1"/>
    <brk id="51" max="2" man="1"/>
  </rowBreak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E56"/>
  <sheetViews>
    <sheetView view="pageBreakPreview" zoomScaleNormal="100" zoomScaleSheetLayoutView="100" workbookViewId="0">
      <selection activeCell="C58" sqref="C58"/>
    </sheetView>
  </sheetViews>
  <sheetFormatPr defaultColWidth="9" defaultRowHeight="15.05"/>
  <cols>
    <col min="1" max="2" width="18.875" style="2" customWidth="1"/>
    <col min="3" max="3" width="32.625" style="2" customWidth="1"/>
    <col min="4" max="4" width="19.75" style="2" customWidth="1"/>
    <col min="5" max="5" width="10.5" style="2" bestFit="1" customWidth="1"/>
    <col min="6" max="16384" width="9" style="2"/>
  </cols>
  <sheetData>
    <row r="1" spans="1:5" s="6" customFormat="1" ht="22.25">
      <c r="A1" s="1266" t="s">
        <v>1109</v>
      </c>
      <c r="B1" s="1266"/>
      <c r="C1" s="1266"/>
      <c r="D1" s="1266"/>
    </row>
    <row r="2" spans="1:5" s="6" customFormat="1" ht="22.25">
      <c r="A2" s="1266" t="s">
        <v>1108</v>
      </c>
      <c r="B2" s="1266"/>
      <c r="C2" s="1266"/>
      <c r="D2" s="1266"/>
    </row>
    <row r="3" spans="1:5" s="6" customFormat="1" ht="24.9" customHeight="1">
      <c r="A3" s="1267" t="s">
        <v>1712</v>
      </c>
      <c r="B3" s="1268"/>
      <c r="C3" s="1268"/>
      <c r="D3" s="1268"/>
    </row>
    <row r="4" spans="1:5" s="6" customFormat="1" ht="24.9" customHeight="1" thickBot="1">
      <c r="A4" s="1336" t="s">
        <v>1746</v>
      </c>
      <c r="B4" s="1270"/>
      <c r="C4" s="1270"/>
      <c r="D4" s="1270"/>
    </row>
    <row r="5" spans="1:5" s="56" customFormat="1" ht="29.95" customHeight="1">
      <c r="A5" s="402" t="s">
        <v>99</v>
      </c>
      <c r="B5" s="403" t="s">
        <v>76</v>
      </c>
      <c r="C5" s="1020" t="s">
        <v>6</v>
      </c>
      <c r="D5" s="404" t="s">
        <v>77</v>
      </c>
    </row>
    <row r="6" spans="1:5" s="56" customFormat="1" ht="8.1999999999999993" customHeight="1">
      <c r="A6" s="7"/>
      <c r="B6" s="1019"/>
      <c r="C6" s="1021"/>
      <c r="D6" s="405"/>
    </row>
    <row r="7" spans="1:5" s="1017" customFormat="1" ht="29.95" customHeight="1">
      <c r="A7" s="179">
        <v>2616877</v>
      </c>
      <c r="B7" s="79">
        <f>B13+B18+B23+B8</f>
        <v>3512763</v>
      </c>
      <c r="C7" s="257" t="s">
        <v>1107</v>
      </c>
      <c r="D7" s="180">
        <f>D13+D18+D23+D8+D28</f>
        <v>4713511</v>
      </c>
      <c r="E7" s="659">
        <f>+A8+A13+A18+A23</f>
        <v>2616877</v>
      </c>
    </row>
    <row r="8" spans="1:5" s="1017" customFormat="1" ht="29.95" hidden="1" customHeight="1">
      <c r="A8" s="179"/>
      <c r="B8" s="926">
        <f>B9</f>
        <v>0</v>
      </c>
      <c r="C8" s="258" t="s">
        <v>1106</v>
      </c>
      <c r="D8" s="924">
        <f>D9</f>
        <v>0</v>
      </c>
      <c r="E8" s="659"/>
    </row>
    <row r="9" spans="1:5" s="183" customFormat="1" ht="29.95" hidden="1" customHeight="1">
      <c r="A9" s="179"/>
      <c r="B9" s="186">
        <f>B10</f>
        <v>0</v>
      </c>
      <c r="C9" s="258" t="s">
        <v>1105</v>
      </c>
      <c r="D9" s="925">
        <f>D10</f>
        <v>0</v>
      </c>
      <c r="E9" s="659"/>
    </row>
    <row r="10" spans="1:5" s="1017" customFormat="1" ht="29.95" hidden="1" customHeight="1">
      <c r="A10" s="187"/>
      <c r="B10" s="186">
        <f>+B11</f>
        <v>0</v>
      </c>
      <c r="C10" s="259" t="s">
        <v>1102</v>
      </c>
      <c r="D10" s="924">
        <f>+D11</f>
        <v>0</v>
      </c>
      <c r="E10" s="659"/>
    </row>
    <row r="11" spans="1:5" s="1017" customFormat="1" ht="29.95" hidden="1" customHeight="1">
      <c r="A11" s="187"/>
      <c r="B11" s="186">
        <v>0</v>
      </c>
      <c r="C11" s="259" t="s">
        <v>1101</v>
      </c>
      <c r="D11" s="924">
        <v>0</v>
      </c>
      <c r="E11" s="659"/>
    </row>
    <row r="12" spans="1:5" s="1017" customFormat="1" ht="26.35" hidden="1" customHeight="1">
      <c r="A12" s="187"/>
      <c r="B12" s="31"/>
      <c r="C12" s="259"/>
      <c r="D12" s="185"/>
      <c r="E12" s="659"/>
    </row>
    <row r="13" spans="1:5" s="1017" customFormat="1" ht="29.95" customHeight="1">
      <c r="A13" s="179">
        <v>2500411</v>
      </c>
      <c r="B13" s="79">
        <f>B14</f>
        <v>3428053</v>
      </c>
      <c r="C13" s="258" t="s">
        <v>1104</v>
      </c>
      <c r="D13" s="180">
        <f>D14</f>
        <v>3700011</v>
      </c>
      <c r="E13" s="659"/>
    </row>
    <row r="14" spans="1:5" s="183" customFormat="1" ht="29.95" customHeight="1">
      <c r="A14" s="179">
        <v>2500411</v>
      </c>
      <c r="B14" s="27">
        <f>B15</f>
        <v>3428053</v>
      </c>
      <c r="C14" s="258" t="s">
        <v>1103</v>
      </c>
      <c r="D14" s="181">
        <f>D15</f>
        <v>3700011</v>
      </c>
      <c r="E14" s="659"/>
    </row>
    <row r="15" spans="1:5" s="1017" customFormat="1" ht="29.95" customHeight="1">
      <c r="A15" s="187">
        <v>2500411</v>
      </c>
      <c r="B15" s="31">
        <f>B16</f>
        <v>3428053</v>
      </c>
      <c r="C15" s="259" t="s">
        <v>1102</v>
      </c>
      <c r="D15" s="185">
        <f>D16</f>
        <v>3700011</v>
      </c>
      <c r="E15" s="659"/>
    </row>
    <row r="16" spans="1:5" s="1017" customFormat="1" ht="29.95" customHeight="1">
      <c r="A16" s="187">
        <v>2500411</v>
      </c>
      <c r="B16" s="31">
        <v>3428053</v>
      </c>
      <c r="C16" s="259" t="s">
        <v>1101</v>
      </c>
      <c r="D16" s="185">
        <f>3702011-2000</f>
        <v>3700011</v>
      </c>
      <c r="E16" s="659"/>
    </row>
    <row r="17" spans="1:5" s="1017" customFormat="1" ht="26.35" customHeight="1">
      <c r="A17" s="188"/>
      <c r="B17" s="31"/>
      <c r="C17" s="259"/>
      <c r="D17" s="185"/>
      <c r="E17" s="659"/>
    </row>
    <row r="18" spans="1:5" s="1017" customFormat="1" ht="29.95" customHeight="1">
      <c r="A18" s="179">
        <v>76198</v>
      </c>
      <c r="B18" s="79">
        <f>B19</f>
        <v>32750</v>
      </c>
      <c r="C18" s="258" t="s">
        <v>1100</v>
      </c>
      <c r="D18" s="180">
        <f>D19</f>
        <v>13818</v>
      </c>
      <c r="E18" s="659"/>
    </row>
    <row r="19" spans="1:5" s="183" customFormat="1" ht="29.95" customHeight="1">
      <c r="A19" s="179">
        <v>76198</v>
      </c>
      <c r="B19" s="27">
        <f>B20</f>
        <v>32750</v>
      </c>
      <c r="C19" s="258" t="s">
        <v>1099</v>
      </c>
      <c r="D19" s="181">
        <f>D20</f>
        <v>13818</v>
      </c>
      <c r="E19" s="659"/>
    </row>
    <row r="20" spans="1:5" s="1017" customFormat="1" ht="29.95" customHeight="1">
      <c r="A20" s="184">
        <v>76198</v>
      </c>
      <c r="B20" s="31">
        <f>B21</f>
        <v>32750</v>
      </c>
      <c r="C20" s="259" t="s">
        <v>1098</v>
      </c>
      <c r="D20" s="185">
        <f>D21</f>
        <v>13818</v>
      </c>
      <c r="E20" s="659"/>
    </row>
    <row r="21" spans="1:5" s="1017" customFormat="1" ht="29.95" customHeight="1">
      <c r="A21" s="184">
        <v>76198</v>
      </c>
      <c r="B21" s="31">
        <v>32750</v>
      </c>
      <c r="C21" s="259" t="s">
        <v>1097</v>
      </c>
      <c r="D21" s="185">
        <v>13818</v>
      </c>
      <c r="E21" s="659"/>
    </row>
    <row r="22" spans="1:5" s="1017" customFormat="1" ht="27" customHeight="1">
      <c r="A22" s="188"/>
      <c r="B22" s="31"/>
      <c r="C22" s="259"/>
      <c r="D22" s="185"/>
      <c r="E22" s="659"/>
    </row>
    <row r="23" spans="1:5" s="1017" customFormat="1" ht="29.95" customHeight="1">
      <c r="A23" s="179">
        <v>40268</v>
      </c>
      <c r="B23" s="79">
        <f>B24</f>
        <v>51960</v>
      </c>
      <c r="C23" s="258" t="s">
        <v>1096</v>
      </c>
      <c r="D23" s="180">
        <f>D24</f>
        <v>15886</v>
      </c>
      <c r="E23" s="659"/>
    </row>
    <row r="24" spans="1:5" s="183" customFormat="1" ht="29.95" customHeight="1">
      <c r="A24" s="179">
        <v>40268</v>
      </c>
      <c r="B24" s="27">
        <f>B25+B27</f>
        <v>51960</v>
      </c>
      <c r="C24" s="258" t="s">
        <v>1095</v>
      </c>
      <c r="D24" s="181">
        <f>D25+D27</f>
        <v>15886</v>
      </c>
      <c r="E24" s="659"/>
    </row>
    <row r="25" spans="1:5" s="1018" customFormat="1" ht="29.95" customHeight="1">
      <c r="A25" s="173">
        <v>40268</v>
      </c>
      <c r="B25" s="260">
        <f>B26</f>
        <v>51960</v>
      </c>
      <c r="C25" s="259" t="s">
        <v>1094</v>
      </c>
      <c r="D25" s="175">
        <f>D26</f>
        <v>15886</v>
      </c>
      <c r="E25" s="659"/>
    </row>
    <row r="26" spans="1:5" s="1017" customFormat="1" ht="30.8" customHeight="1">
      <c r="A26" s="187">
        <v>40268</v>
      </c>
      <c r="B26" s="31">
        <v>51960</v>
      </c>
      <c r="C26" s="259" t="s">
        <v>1093</v>
      </c>
      <c r="D26" s="185">
        <v>15886</v>
      </c>
      <c r="E26" s="659"/>
    </row>
    <row r="27" spans="1:5" s="1018" customFormat="1" ht="29.95" customHeight="1">
      <c r="A27" s="173"/>
      <c r="B27" s="260"/>
      <c r="C27" s="259"/>
      <c r="D27" s="175"/>
      <c r="E27" s="659"/>
    </row>
    <row r="28" spans="1:5" s="1089" customFormat="1" ht="29.95" customHeight="1">
      <c r="A28" s="1145">
        <f>A29</f>
        <v>0</v>
      </c>
      <c r="B28" s="143">
        <f>B29</f>
        <v>0</v>
      </c>
      <c r="C28" s="1143" t="s">
        <v>1159</v>
      </c>
      <c r="D28" s="180">
        <f>D29</f>
        <v>983796</v>
      </c>
    </row>
    <row r="29" spans="1:5" s="183" customFormat="1" ht="29.95" customHeight="1">
      <c r="A29" s="1145">
        <f>SUM(A30,A40,A43,A49)</f>
        <v>0</v>
      </c>
      <c r="B29" s="143">
        <f>SUM(B30,B40,B43,B49)</f>
        <v>0</v>
      </c>
      <c r="C29" s="1143" t="s">
        <v>1160</v>
      </c>
      <c r="D29" s="181">
        <f>SUM(D30,D40,D43,D49)</f>
        <v>983796</v>
      </c>
    </row>
    <row r="30" spans="1:5" s="1089" customFormat="1" ht="26.05" customHeight="1">
      <c r="A30" s="187">
        <f t="shared" ref="A30" si="0">SUM(A31:A39)</f>
        <v>0</v>
      </c>
      <c r="B30" s="186">
        <f>SUM(B31:B39)</f>
        <v>0</v>
      </c>
      <c r="C30" s="1142" t="s">
        <v>1161</v>
      </c>
      <c r="D30" s="185">
        <f>SUM(D31:D39)</f>
        <v>440749</v>
      </c>
    </row>
    <row r="31" spans="1:5" s="1089" customFormat="1" ht="26.05" customHeight="1">
      <c r="A31" s="187">
        <v>0</v>
      </c>
      <c r="B31" s="186">
        <v>0</v>
      </c>
      <c r="C31" s="1142" t="s">
        <v>1162</v>
      </c>
      <c r="D31" s="185">
        <v>569</v>
      </c>
    </row>
    <row r="32" spans="1:5" s="1089" customFormat="1" ht="26.05" customHeight="1">
      <c r="A32" s="187">
        <v>0</v>
      </c>
      <c r="B32" s="186">
        <v>0</v>
      </c>
      <c r="C32" s="1144" t="s">
        <v>1163</v>
      </c>
      <c r="D32" s="202">
        <v>872</v>
      </c>
    </row>
    <row r="33" spans="1:4" s="1089" customFormat="1" ht="27" customHeight="1" thickBot="1">
      <c r="A33" s="189">
        <v>0</v>
      </c>
      <c r="B33" s="190">
        <v>0</v>
      </c>
      <c r="C33" s="1146" t="s">
        <v>1164</v>
      </c>
      <c r="D33" s="218">
        <v>5967</v>
      </c>
    </row>
    <row r="34" spans="1:4" s="1089" customFormat="1" ht="26.05" customHeight="1">
      <c r="A34" s="187">
        <v>0</v>
      </c>
      <c r="B34" s="186">
        <v>0</v>
      </c>
      <c r="C34" s="1144" t="s">
        <v>1474</v>
      </c>
      <c r="D34" s="202">
        <v>1700</v>
      </c>
    </row>
    <row r="35" spans="1:4" s="1089" customFormat="1" ht="26.05" customHeight="1">
      <c r="A35" s="187">
        <v>0</v>
      </c>
      <c r="B35" s="186">
        <v>0</v>
      </c>
      <c r="C35" s="1144" t="s">
        <v>1165</v>
      </c>
      <c r="D35" s="202">
        <v>60</v>
      </c>
    </row>
    <row r="36" spans="1:4" s="1089" customFormat="1" ht="26.05" customHeight="1">
      <c r="A36" s="187">
        <v>0</v>
      </c>
      <c r="B36" s="186">
        <v>0</v>
      </c>
      <c r="C36" s="1144" t="s">
        <v>1166</v>
      </c>
      <c r="D36" s="202">
        <v>149859</v>
      </c>
    </row>
    <row r="37" spans="1:4" s="1089" customFormat="1" ht="26.05" customHeight="1">
      <c r="A37" s="187">
        <v>0</v>
      </c>
      <c r="B37" s="186">
        <v>0</v>
      </c>
      <c r="C37" s="1144" t="s">
        <v>1167</v>
      </c>
      <c r="D37" s="202">
        <f>11124+260896</f>
        <v>272020</v>
      </c>
    </row>
    <row r="38" spans="1:4" s="1089" customFormat="1" ht="26.05" customHeight="1">
      <c r="A38" s="187">
        <v>0</v>
      </c>
      <c r="B38" s="186">
        <v>0</v>
      </c>
      <c r="C38" s="1144" t="s">
        <v>1204</v>
      </c>
      <c r="D38" s="202">
        <v>672</v>
      </c>
    </row>
    <row r="39" spans="1:4" s="1089" customFormat="1" ht="26.05" customHeight="1">
      <c r="A39" s="187">
        <v>0</v>
      </c>
      <c r="B39" s="186">
        <v>0</v>
      </c>
      <c r="C39" s="1144" t="s">
        <v>1205</v>
      </c>
      <c r="D39" s="202">
        <f>10030-1000</f>
        <v>9030</v>
      </c>
    </row>
    <row r="40" spans="1:4" s="1089" customFormat="1" ht="26.05" customHeight="1">
      <c r="A40" s="187">
        <f>SUM(A41:A42)</f>
        <v>0</v>
      </c>
      <c r="B40" s="186">
        <f>SUM(B41:B42)</f>
        <v>0</v>
      </c>
      <c r="C40" s="1144" t="s">
        <v>1168</v>
      </c>
      <c r="D40" s="202">
        <f>SUM(D41:D42)</f>
        <v>3100</v>
      </c>
    </row>
    <row r="41" spans="1:4" s="1089" customFormat="1" ht="26.05" customHeight="1">
      <c r="A41" s="187">
        <v>0</v>
      </c>
      <c r="B41" s="186">
        <v>0</v>
      </c>
      <c r="C41" s="1144" t="s">
        <v>1169</v>
      </c>
      <c r="D41" s="202">
        <v>1567</v>
      </c>
    </row>
    <row r="42" spans="1:4" s="1089" customFormat="1" ht="26.05" customHeight="1">
      <c r="A42" s="187">
        <v>0</v>
      </c>
      <c r="B42" s="186">
        <v>0</v>
      </c>
      <c r="C42" s="1144" t="s">
        <v>1170</v>
      </c>
      <c r="D42" s="202">
        <v>1533</v>
      </c>
    </row>
    <row r="43" spans="1:4" s="1089" customFormat="1" ht="26.05" customHeight="1">
      <c r="A43" s="187">
        <f>SUM(A44:A48)</f>
        <v>0</v>
      </c>
      <c r="B43" s="186">
        <f>SUM(B44:B48)</f>
        <v>0</v>
      </c>
      <c r="C43" s="1142" t="s">
        <v>1171</v>
      </c>
      <c r="D43" s="202">
        <f>SUM(D44:D48)</f>
        <v>2839</v>
      </c>
    </row>
    <row r="44" spans="1:4" s="1089" customFormat="1" ht="26.05" customHeight="1">
      <c r="A44" s="187">
        <v>0</v>
      </c>
      <c r="B44" s="186">
        <v>0</v>
      </c>
      <c r="C44" s="1142" t="s">
        <v>1172</v>
      </c>
      <c r="D44" s="202">
        <v>10</v>
      </c>
    </row>
    <row r="45" spans="1:4" s="1089" customFormat="1" ht="26.05" customHeight="1">
      <c r="A45" s="187">
        <v>0</v>
      </c>
      <c r="B45" s="186">
        <v>0</v>
      </c>
      <c r="C45" s="1142" t="s">
        <v>1173</v>
      </c>
      <c r="D45" s="202">
        <v>1189</v>
      </c>
    </row>
    <row r="46" spans="1:4" s="1089" customFormat="1" ht="26.05" customHeight="1">
      <c r="A46" s="187">
        <v>0</v>
      </c>
      <c r="B46" s="186">
        <v>0</v>
      </c>
      <c r="C46" s="1142" t="s">
        <v>1174</v>
      </c>
      <c r="D46" s="202">
        <v>500</v>
      </c>
    </row>
    <row r="47" spans="1:4" s="1089" customFormat="1" ht="26.05" customHeight="1">
      <c r="A47" s="187">
        <v>0</v>
      </c>
      <c r="B47" s="186">
        <v>0</v>
      </c>
      <c r="C47" s="1142" t="s">
        <v>1175</v>
      </c>
      <c r="D47" s="202">
        <v>1100</v>
      </c>
    </row>
    <row r="48" spans="1:4" ht="26.05" customHeight="1">
      <c r="A48" s="187">
        <v>0</v>
      </c>
      <c r="B48" s="186">
        <v>0</v>
      </c>
      <c r="C48" s="1142" t="s">
        <v>1176</v>
      </c>
      <c r="D48" s="202">
        <v>40</v>
      </c>
    </row>
    <row r="49" spans="1:5" ht="40.25" customHeight="1">
      <c r="A49" s="187">
        <f>SUM(A50:A51)</f>
        <v>0</v>
      </c>
      <c r="B49" s="186">
        <f>SUM(B50:B51)</f>
        <v>0</v>
      </c>
      <c r="C49" s="1142" t="s">
        <v>1177</v>
      </c>
      <c r="D49" s="202">
        <f>SUM(D50:D51)</f>
        <v>537108</v>
      </c>
    </row>
    <row r="50" spans="1:5" ht="26.35" customHeight="1">
      <c r="A50" s="187">
        <v>0</v>
      </c>
      <c r="B50" s="186">
        <v>0</v>
      </c>
      <c r="C50" s="1142" t="s">
        <v>1178</v>
      </c>
      <c r="D50" s="202">
        <f>457108+50000</f>
        <v>507108</v>
      </c>
    </row>
    <row r="51" spans="1:5" ht="33.549999999999997" customHeight="1">
      <c r="A51" s="187">
        <v>0</v>
      </c>
      <c r="B51" s="186">
        <v>0</v>
      </c>
      <c r="C51" s="1142" t="s">
        <v>1179</v>
      </c>
      <c r="D51" s="202">
        <v>30000</v>
      </c>
    </row>
    <row r="52" spans="1:5" s="1017" customFormat="1" ht="36" customHeight="1">
      <c r="A52" s="187"/>
      <c r="B52" s="260"/>
      <c r="C52" s="259"/>
      <c r="D52" s="175"/>
      <c r="E52" s="659"/>
    </row>
    <row r="53" spans="1:5" s="1017" customFormat="1" ht="74.95" customHeight="1">
      <c r="A53" s="187"/>
      <c r="B53" s="186"/>
      <c r="C53" s="259"/>
      <c r="D53" s="202"/>
      <c r="E53" s="659"/>
    </row>
    <row r="54" spans="1:5" ht="37.15" customHeight="1" thickBot="1">
      <c r="A54" s="189"/>
      <c r="B54" s="190"/>
      <c r="C54" s="456"/>
      <c r="D54" s="218"/>
      <c r="E54" s="659"/>
    </row>
    <row r="56" spans="1:5">
      <c r="C56" s="1242"/>
    </row>
  </sheetData>
  <mergeCells count="4">
    <mergeCell ref="A4:D4"/>
    <mergeCell ref="A3:D3"/>
    <mergeCell ref="A2:D2"/>
    <mergeCell ref="A1:D1"/>
  </mergeCells>
  <phoneticPr fontId="5" type="noConversion"/>
  <printOptions horizontalCentered="1"/>
  <pageMargins left="0.59055118110236227" right="0.59055118110236227" top="0.59055118110236227" bottom="0.78740157480314965" header="0.51181102362204722" footer="0.51181102362204722"/>
  <pageSetup paperSize="9" firstPageNumber="40" orientation="portrait" useFirstPageNumber="1" r:id="rId1"/>
  <headerFooter alignWithMargins="0">
    <oddFooter>&amp;C&amp;"Times New Roman,標準"&amp;P</oddFooter>
  </headerFooter>
  <legacy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H48"/>
  <sheetViews>
    <sheetView view="pageBreakPreview" topLeftCell="A19" zoomScaleNormal="100" zoomScaleSheetLayoutView="100" workbookViewId="0">
      <selection activeCell="L13" sqref="L13"/>
    </sheetView>
  </sheetViews>
  <sheetFormatPr defaultColWidth="9" defaultRowHeight="15.05"/>
  <cols>
    <col min="1" max="1" width="31" style="12" customWidth="1"/>
    <col min="2" max="2" width="59.25" style="12" customWidth="1"/>
    <col min="3" max="3" width="9" style="12"/>
    <col min="4" max="4" width="12.375" style="12" bestFit="1" customWidth="1"/>
    <col min="5" max="6" width="10.5" style="12" bestFit="1" customWidth="1"/>
    <col min="7" max="7" width="12.375" style="12" bestFit="1" customWidth="1"/>
    <col min="8" max="16384" width="9" style="12"/>
  </cols>
  <sheetData>
    <row r="1" spans="1:8" ht="22.25">
      <c r="A1" s="1266" t="s">
        <v>59</v>
      </c>
      <c r="B1" s="1266"/>
    </row>
    <row r="2" spans="1:8" ht="22.25">
      <c r="A2" s="1266" t="s">
        <v>60</v>
      </c>
      <c r="B2" s="1266"/>
    </row>
    <row r="3" spans="1:8" ht="24.75" customHeight="1">
      <c r="A3" s="1297" t="s">
        <v>1700</v>
      </c>
      <c r="B3" s="1298"/>
    </row>
    <row r="4" spans="1:8" ht="24.9" customHeight="1" thickBot="1">
      <c r="A4" s="1419" t="s">
        <v>905</v>
      </c>
      <c r="B4" s="1420"/>
    </row>
    <row r="5" spans="1:8" s="16" customFormat="1" ht="29.95" customHeight="1">
      <c r="A5" s="18" t="s">
        <v>187</v>
      </c>
      <c r="B5" s="387" t="s">
        <v>101</v>
      </c>
    </row>
    <row r="6" spans="1:8" s="16" customFormat="1" ht="4.25" customHeight="1">
      <c r="A6" s="457"/>
      <c r="B6" s="51"/>
    </row>
    <row r="7" spans="1:8" s="17" customFormat="1" ht="37.799999999999997" customHeight="1">
      <c r="A7" s="443" t="s">
        <v>479</v>
      </c>
      <c r="B7" s="65" t="s">
        <v>1206</v>
      </c>
      <c r="C7" s="400"/>
      <c r="D7" s="1206">
        <v>3700011</v>
      </c>
      <c r="E7" s="1206">
        <v>274714</v>
      </c>
      <c r="F7" s="1206">
        <v>738786</v>
      </c>
      <c r="G7" s="1206">
        <f>SUM(D7:F7)</f>
        <v>4713511</v>
      </c>
      <c r="H7" s="1206"/>
    </row>
    <row r="8" spans="1:8" s="17" customFormat="1" ht="22.1" customHeight="1">
      <c r="A8" s="445" t="s">
        <v>33</v>
      </c>
      <c r="B8" s="401"/>
    </row>
    <row r="9" spans="1:8" s="17" customFormat="1" ht="22.1" customHeight="1">
      <c r="A9" s="445" t="s">
        <v>480</v>
      </c>
      <c r="B9" s="401"/>
    </row>
    <row r="10" spans="1:8" s="17" customFormat="1" ht="22.1" customHeight="1">
      <c r="A10" s="446" t="s">
        <v>190</v>
      </c>
      <c r="B10" s="364"/>
    </row>
    <row r="11" spans="1:8" s="17" customFormat="1" ht="65.45" customHeight="1">
      <c r="A11" s="446" t="s">
        <v>207</v>
      </c>
      <c r="B11" s="65" t="s">
        <v>1201</v>
      </c>
    </row>
    <row r="12" spans="1:8" s="17" customFormat="1" ht="5.4" customHeight="1">
      <c r="A12" s="446"/>
      <c r="B12" s="364"/>
    </row>
    <row r="13" spans="1:8" s="17" customFormat="1" ht="22.1" customHeight="1">
      <c r="A13" s="445" t="s">
        <v>777</v>
      </c>
      <c r="B13" s="401"/>
    </row>
    <row r="14" spans="1:8" s="17" customFormat="1" ht="22.1" customHeight="1">
      <c r="A14" s="445" t="s">
        <v>480</v>
      </c>
      <c r="B14" s="401"/>
    </row>
    <row r="15" spans="1:8" s="17" customFormat="1" ht="22.1" customHeight="1">
      <c r="A15" s="446" t="s">
        <v>188</v>
      </c>
      <c r="B15" s="364"/>
    </row>
    <row r="16" spans="1:8" s="39" customFormat="1" ht="65.45" customHeight="1">
      <c r="A16" s="446" t="s">
        <v>481</v>
      </c>
      <c r="B16" s="1406" t="s">
        <v>1199</v>
      </c>
    </row>
    <row r="17" spans="1:6" s="39" customFormat="1" ht="6.55" customHeight="1">
      <c r="A17" s="446"/>
      <c r="B17" s="1406"/>
    </row>
    <row r="18" spans="1:6" s="17" customFormat="1" ht="22.1" customHeight="1">
      <c r="A18" s="445" t="s">
        <v>20</v>
      </c>
      <c r="B18" s="401"/>
    </row>
    <row r="19" spans="1:6" s="17" customFormat="1" ht="22.1" customHeight="1">
      <c r="A19" s="445" t="s">
        <v>480</v>
      </c>
      <c r="B19" s="401"/>
    </row>
    <row r="20" spans="1:6" s="17" customFormat="1" ht="22.1" customHeight="1">
      <c r="A20" s="446" t="s">
        <v>468</v>
      </c>
      <c r="B20" s="364"/>
    </row>
    <row r="21" spans="1:6" s="17" customFormat="1" ht="65.95" customHeight="1">
      <c r="A21" s="1167" t="s">
        <v>191</v>
      </c>
      <c r="B21" s="1148" t="s">
        <v>1640</v>
      </c>
    </row>
    <row r="22" spans="1:6" s="17" customFormat="1" ht="5.4" customHeight="1">
      <c r="A22" s="1167"/>
      <c r="B22" s="1187"/>
    </row>
    <row r="23" spans="1:6" s="17" customFormat="1" ht="22.1" customHeight="1">
      <c r="A23" s="1166" t="s">
        <v>1180</v>
      </c>
      <c r="B23" s="1190"/>
    </row>
    <row r="24" spans="1:6" s="17" customFormat="1" ht="68.400000000000006" customHeight="1">
      <c r="A24" s="1166" t="s">
        <v>1181</v>
      </c>
      <c r="B24" s="1244" t="s">
        <v>1641</v>
      </c>
      <c r="D24" s="1206">
        <v>260896</v>
      </c>
      <c r="E24" s="1206">
        <v>722900</v>
      </c>
      <c r="F24" s="1207">
        <f>SUM(D24:E24)</f>
        <v>983796</v>
      </c>
    </row>
    <row r="25" spans="1:6" s="17" customFormat="1" ht="22.25" customHeight="1">
      <c r="A25" s="1167" t="s">
        <v>1182</v>
      </c>
      <c r="B25" s="1070"/>
    </row>
    <row r="26" spans="1:6" s="17" customFormat="1" ht="22.1" customHeight="1">
      <c r="A26" s="1167" t="s">
        <v>1183</v>
      </c>
      <c r="B26" s="1244" t="s">
        <v>1608</v>
      </c>
    </row>
    <row r="27" spans="1:6" s="17" customFormat="1" ht="22.1" customHeight="1">
      <c r="A27" s="1167" t="s">
        <v>1184</v>
      </c>
      <c r="B27" s="1244" t="s">
        <v>1437</v>
      </c>
    </row>
    <row r="28" spans="1:6" s="17" customFormat="1" ht="39.950000000000003" customHeight="1" thickBot="1">
      <c r="A28" s="448" t="s">
        <v>1185</v>
      </c>
      <c r="B28" s="1203" t="s">
        <v>1438</v>
      </c>
    </row>
    <row r="29" spans="1:6" s="17" customFormat="1" ht="38.450000000000003" customHeight="1">
      <c r="A29" s="446" t="s">
        <v>1474</v>
      </c>
      <c r="B29" s="1149" t="s">
        <v>1439</v>
      </c>
    </row>
    <row r="30" spans="1:6" s="17" customFormat="1" ht="24.05" customHeight="1">
      <c r="A30" s="446" t="s">
        <v>1186</v>
      </c>
      <c r="B30" s="1147" t="s">
        <v>1444</v>
      </c>
    </row>
    <row r="31" spans="1:6" s="17" customFormat="1" ht="53.35" customHeight="1">
      <c r="A31" s="446" t="s">
        <v>1187</v>
      </c>
      <c r="B31" s="1147" t="s">
        <v>1651</v>
      </c>
    </row>
    <row r="32" spans="1:6" s="17" customFormat="1" ht="53.35" customHeight="1">
      <c r="A32" s="446" t="s">
        <v>1188</v>
      </c>
      <c r="B32" s="1147" t="s">
        <v>1609</v>
      </c>
    </row>
    <row r="33" spans="1:2" s="17" customFormat="1" ht="40.75" customHeight="1">
      <c r="A33" s="446" t="s">
        <v>1207</v>
      </c>
      <c r="B33" s="1147" t="s">
        <v>1541</v>
      </c>
    </row>
    <row r="34" spans="1:2" s="17" customFormat="1" ht="54.65" customHeight="1">
      <c r="A34" s="446" t="s">
        <v>1208</v>
      </c>
      <c r="B34" s="1147" t="s">
        <v>1440</v>
      </c>
    </row>
    <row r="35" spans="1:2" s="1090" customFormat="1" ht="26.35" customHeight="1">
      <c r="A35" s="446" t="s">
        <v>1189</v>
      </c>
      <c r="B35" s="1147"/>
    </row>
    <row r="36" spans="1:2" ht="24.05" customHeight="1">
      <c r="A36" s="446" t="s">
        <v>1190</v>
      </c>
      <c r="B36" s="1147" t="s">
        <v>1471</v>
      </c>
    </row>
    <row r="37" spans="1:2" ht="24.05" customHeight="1">
      <c r="A37" s="446" t="s">
        <v>1191</v>
      </c>
      <c r="B37" s="1147" t="s">
        <v>1472</v>
      </c>
    </row>
    <row r="38" spans="1:2" ht="26.35" customHeight="1">
      <c r="A38" s="446" t="s">
        <v>1171</v>
      </c>
      <c r="B38" s="1147"/>
    </row>
    <row r="39" spans="1:2" ht="24.05" customHeight="1">
      <c r="A39" s="446" t="s">
        <v>1192</v>
      </c>
      <c r="B39" s="1149" t="s">
        <v>1542</v>
      </c>
    </row>
    <row r="40" spans="1:2" ht="24.05" customHeight="1">
      <c r="A40" s="446" t="s">
        <v>1193</v>
      </c>
      <c r="B40" s="1147" t="s">
        <v>1543</v>
      </c>
    </row>
    <row r="41" spans="1:2" ht="24.05" customHeight="1">
      <c r="A41" s="446" t="s">
        <v>1194</v>
      </c>
      <c r="B41" s="1147" t="s">
        <v>1647</v>
      </c>
    </row>
    <row r="42" spans="1:2" ht="24.05" customHeight="1">
      <c r="A42" s="446" t="s">
        <v>1195</v>
      </c>
      <c r="B42" s="1147" t="s">
        <v>1441</v>
      </c>
    </row>
    <row r="43" spans="1:2" ht="24.05" customHeight="1">
      <c r="A43" s="446" t="s">
        <v>1196</v>
      </c>
      <c r="B43" s="1147" t="s">
        <v>1544</v>
      </c>
    </row>
    <row r="44" spans="1:2" ht="39.6" customHeight="1">
      <c r="A44" s="446" t="s">
        <v>1197</v>
      </c>
      <c r="B44" s="1147"/>
    </row>
    <row r="45" spans="1:2" ht="74" customHeight="1">
      <c r="A45" s="446" t="s">
        <v>1198</v>
      </c>
      <c r="B45" s="1147" t="s">
        <v>1442</v>
      </c>
    </row>
    <row r="46" spans="1:2" ht="34.200000000000003" customHeight="1">
      <c r="A46" s="139" t="s">
        <v>1179</v>
      </c>
      <c r="B46" s="1150" t="s">
        <v>1443</v>
      </c>
    </row>
    <row r="47" spans="1:2" s="21" customFormat="1" ht="15.75" customHeight="1" thickBot="1">
      <c r="A47" s="458"/>
      <c r="B47" s="49"/>
    </row>
    <row r="48" spans="1:2" ht="29.95" customHeight="1"/>
  </sheetData>
  <mergeCells count="5">
    <mergeCell ref="A1:B1"/>
    <mergeCell ref="A2:B2"/>
    <mergeCell ref="A3:B3"/>
    <mergeCell ref="A4:B4"/>
    <mergeCell ref="B16:B17"/>
  </mergeCells>
  <phoneticPr fontId="5" type="noConversion"/>
  <printOptions horizontalCentered="1"/>
  <pageMargins left="0.59055118110236227" right="0.59055118110236227" top="0.59055118110236227" bottom="0.78740157480314965" header="0.51181102362204722" footer="0.51181102362204722"/>
  <pageSetup paperSize="9" firstPageNumber="42" orientation="portrait" useFirstPageNumber="1" r:id="rId1"/>
  <headerFooter alignWithMargins="0">
    <oddFooter>&amp;C&amp;"Times New Roman,標準"&amp;P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F47"/>
  <sheetViews>
    <sheetView view="pageBreakPreview" zoomScaleNormal="100" zoomScaleSheetLayoutView="100" workbookViewId="0">
      <selection activeCell="L13" sqref="L13"/>
    </sheetView>
  </sheetViews>
  <sheetFormatPr defaultColWidth="9" defaultRowHeight="15.05"/>
  <cols>
    <col min="1" max="2" width="19" style="2" customWidth="1"/>
    <col min="3" max="3" width="32.75" style="2" bestFit="1" customWidth="1"/>
    <col min="4" max="4" width="19.5" style="2" customWidth="1"/>
    <col min="5" max="16384" width="9" style="2"/>
  </cols>
  <sheetData>
    <row r="1" spans="1:6" s="6" customFormat="1" ht="22.25">
      <c r="A1" s="1266" t="s">
        <v>59</v>
      </c>
      <c r="B1" s="1266"/>
      <c r="C1" s="1266"/>
      <c r="D1" s="1266"/>
      <c r="E1" s="1"/>
      <c r="F1" s="1"/>
    </row>
    <row r="2" spans="1:6" s="6" customFormat="1" ht="22.25">
      <c r="A2" s="1421" t="s">
        <v>60</v>
      </c>
      <c r="B2" s="1266"/>
      <c r="C2" s="1266"/>
      <c r="D2" s="1266"/>
      <c r="E2" s="1"/>
      <c r="F2" s="1"/>
    </row>
    <row r="3" spans="1:6" s="6" customFormat="1" ht="24.9" customHeight="1">
      <c r="A3" s="1267" t="s">
        <v>1692</v>
      </c>
      <c r="B3" s="1268"/>
      <c r="C3" s="1268"/>
      <c r="D3" s="1268"/>
      <c r="E3" s="3"/>
      <c r="F3" s="3"/>
    </row>
    <row r="4" spans="1:6" s="6" customFormat="1" ht="24.9" customHeight="1" thickBot="1">
      <c r="A4" s="1336" t="s">
        <v>1701</v>
      </c>
      <c r="B4" s="1270"/>
      <c r="C4" s="1270"/>
      <c r="D4" s="1270"/>
      <c r="E4" s="4"/>
      <c r="F4" s="4"/>
    </row>
    <row r="5" spans="1:6" s="56" customFormat="1" ht="29.95" customHeight="1">
      <c r="A5" s="402" t="s">
        <v>99</v>
      </c>
      <c r="B5" s="403" t="s">
        <v>76</v>
      </c>
      <c r="C5" s="52" t="s">
        <v>6</v>
      </c>
      <c r="D5" s="404" t="s">
        <v>77</v>
      </c>
      <c r="E5" s="98"/>
      <c r="F5" s="382"/>
    </row>
    <row r="6" spans="1:6" s="56" customFormat="1" ht="8.1999999999999993" customHeight="1">
      <c r="A6" s="7"/>
      <c r="B6" s="385"/>
      <c r="C6" s="74"/>
      <c r="D6" s="405"/>
      <c r="E6" s="382"/>
      <c r="F6" s="382"/>
    </row>
    <row r="7" spans="1:6" s="9" customFormat="1" ht="29.95" customHeight="1">
      <c r="A7" s="179">
        <v>140</v>
      </c>
      <c r="B7" s="79">
        <f>B8+B16</f>
        <v>37</v>
      </c>
      <c r="C7" s="257" t="s">
        <v>27</v>
      </c>
      <c r="D7" s="180">
        <f>D8+D16</f>
        <v>73</v>
      </c>
      <c r="E7" s="659"/>
    </row>
    <row r="8" spans="1:6" s="183" customFormat="1" ht="29.95" customHeight="1">
      <c r="A8" s="179">
        <v>125</v>
      </c>
      <c r="B8" s="27">
        <f>B9</f>
        <v>26</v>
      </c>
      <c r="C8" s="258" t="s">
        <v>160</v>
      </c>
      <c r="D8" s="181">
        <f>D9</f>
        <v>62</v>
      </c>
      <c r="E8" s="182"/>
      <c r="F8" s="182"/>
    </row>
    <row r="9" spans="1:6" s="183" customFormat="1" ht="29.95" customHeight="1">
      <c r="A9" s="179">
        <v>125</v>
      </c>
      <c r="B9" s="27">
        <f>B10</f>
        <v>26</v>
      </c>
      <c r="C9" s="258" t="s">
        <v>192</v>
      </c>
      <c r="D9" s="181">
        <f>D10</f>
        <v>62</v>
      </c>
      <c r="E9" s="182"/>
      <c r="F9" s="182"/>
    </row>
    <row r="10" spans="1:6" s="30" customFormat="1" ht="29.95" customHeight="1">
      <c r="A10" s="179">
        <v>125</v>
      </c>
      <c r="B10" s="27">
        <f>B11</f>
        <v>26</v>
      </c>
      <c r="C10" s="258" t="s">
        <v>193</v>
      </c>
      <c r="D10" s="181">
        <f>D11</f>
        <v>62</v>
      </c>
    </row>
    <row r="11" spans="1:6" s="9" customFormat="1" ht="29.95" customHeight="1">
      <c r="A11" s="184">
        <v>125</v>
      </c>
      <c r="B11" s="31">
        <f>B12</f>
        <v>26</v>
      </c>
      <c r="C11" s="259" t="s">
        <v>482</v>
      </c>
      <c r="D11" s="185">
        <f>D12</f>
        <v>62</v>
      </c>
    </row>
    <row r="12" spans="1:6" s="9" customFormat="1" ht="29.95" customHeight="1">
      <c r="A12" s="184">
        <v>125</v>
      </c>
      <c r="B12" s="31">
        <f>SUM(B13:B14)</f>
        <v>26</v>
      </c>
      <c r="C12" s="259" t="s">
        <v>215</v>
      </c>
      <c r="D12" s="185">
        <f>SUM(D13:D14)</f>
        <v>62</v>
      </c>
    </row>
    <row r="13" spans="1:6" s="9" customFormat="1" ht="28.5" customHeight="1">
      <c r="A13" s="184">
        <v>125</v>
      </c>
      <c r="B13" s="31">
        <v>14</v>
      </c>
      <c r="C13" s="259" t="s">
        <v>213</v>
      </c>
      <c r="D13" s="185">
        <v>62</v>
      </c>
    </row>
    <row r="14" spans="1:6" s="9" customFormat="1" ht="28.5" customHeight="1">
      <c r="A14" s="334">
        <v>0</v>
      </c>
      <c r="B14" s="333">
        <v>12</v>
      </c>
      <c r="C14" s="259" t="s">
        <v>214</v>
      </c>
      <c r="D14" s="202">
        <v>0</v>
      </c>
    </row>
    <row r="15" spans="1:6" s="9" customFormat="1" ht="26.35" customHeight="1">
      <c r="A15" s="188"/>
      <c r="B15" s="31"/>
      <c r="C15" s="259"/>
      <c r="D15" s="185"/>
    </row>
    <row r="16" spans="1:6" s="183" customFormat="1" ht="29.95" customHeight="1">
      <c r="A16" s="179">
        <v>15</v>
      </c>
      <c r="B16" s="143">
        <f>B17</f>
        <v>11</v>
      </c>
      <c r="C16" s="258" t="s">
        <v>169</v>
      </c>
      <c r="D16" s="664">
        <f>D17</f>
        <v>11</v>
      </c>
      <c r="E16" s="182"/>
      <c r="F16" s="182"/>
    </row>
    <row r="17" spans="1:6" s="183" customFormat="1" ht="29.95" customHeight="1">
      <c r="A17" s="179">
        <v>15</v>
      </c>
      <c r="B17" s="143">
        <f>B18</f>
        <v>11</v>
      </c>
      <c r="C17" s="258" t="s">
        <v>192</v>
      </c>
      <c r="D17" s="664">
        <f>D18</f>
        <v>11</v>
      </c>
      <c r="E17" s="182"/>
      <c r="F17" s="182"/>
    </row>
    <row r="18" spans="1:6" s="30" customFormat="1" ht="29.95" customHeight="1">
      <c r="A18" s="179">
        <v>15</v>
      </c>
      <c r="B18" s="143">
        <f>B19</f>
        <v>11</v>
      </c>
      <c r="C18" s="258" t="s">
        <v>193</v>
      </c>
      <c r="D18" s="664">
        <f>D19</f>
        <v>11</v>
      </c>
    </row>
    <row r="19" spans="1:6" s="9" customFormat="1" ht="29.95" customHeight="1">
      <c r="A19" s="184">
        <v>15</v>
      </c>
      <c r="B19" s="186">
        <f>B20</f>
        <v>11</v>
      </c>
      <c r="C19" s="259" t="s">
        <v>483</v>
      </c>
      <c r="D19" s="202">
        <f>D20</f>
        <v>11</v>
      </c>
    </row>
    <row r="20" spans="1:6" s="9" customFormat="1" ht="29.95" customHeight="1">
      <c r="A20" s="184">
        <v>15</v>
      </c>
      <c r="B20" s="186">
        <v>11</v>
      </c>
      <c r="C20" s="259" t="s">
        <v>484</v>
      </c>
      <c r="D20" s="202">
        <v>11</v>
      </c>
    </row>
    <row r="21" spans="1:6" s="9" customFormat="1" ht="33.549999999999997" customHeight="1">
      <c r="A21" s="184"/>
      <c r="B21" s="31"/>
      <c r="C21" s="259"/>
      <c r="D21" s="185"/>
    </row>
    <row r="22" spans="1:6" s="183" customFormat="1" ht="29.95" customHeight="1">
      <c r="A22" s="179"/>
      <c r="B22" s="186"/>
      <c r="C22" s="258"/>
      <c r="D22" s="202"/>
      <c r="E22" s="182"/>
      <c r="F22" s="182"/>
    </row>
    <row r="23" spans="1:6" s="183" customFormat="1" ht="29.95" customHeight="1">
      <c r="A23" s="179"/>
      <c r="B23" s="186"/>
      <c r="C23" s="258"/>
      <c r="D23" s="202"/>
      <c r="E23" s="182"/>
      <c r="F23" s="182"/>
    </row>
    <row r="24" spans="1:6" s="30" customFormat="1" ht="29.45" customHeight="1">
      <c r="A24" s="179"/>
      <c r="B24" s="186"/>
      <c r="C24" s="258"/>
      <c r="D24" s="202"/>
    </row>
    <row r="25" spans="1:6" s="834" customFormat="1" ht="31.6" customHeight="1">
      <c r="A25" s="184"/>
      <c r="B25" s="143"/>
      <c r="C25" s="259"/>
      <c r="D25" s="664"/>
    </row>
    <row r="26" spans="1:6" s="834" customFormat="1" ht="38.65" customHeight="1">
      <c r="A26" s="184"/>
      <c r="B26" s="143"/>
      <c r="C26" s="259"/>
      <c r="D26" s="664"/>
    </row>
    <row r="27" spans="1:6" s="834" customFormat="1" ht="38" customHeight="1" thickBot="1">
      <c r="A27" s="884"/>
      <c r="B27" s="885"/>
      <c r="C27" s="290"/>
      <c r="D27" s="886"/>
    </row>
    <row r="28" spans="1:6" s="9" customFormat="1"/>
    <row r="29" spans="1:6" s="9" customFormat="1"/>
    <row r="30" spans="1:6" s="9" customFormat="1"/>
    <row r="31" spans="1:6" s="9" customFormat="1"/>
    <row r="32" spans="1:6" s="9" customFormat="1"/>
    <row r="33" s="9" customFormat="1"/>
    <row r="34" s="9" customFormat="1"/>
    <row r="35" s="9" customFormat="1"/>
    <row r="36" s="9" customFormat="1"/>
    <row r="37" s="9" customFormat="1"/>
    <row r="38" s="9" customFormat="1"/>
    <row r="39" s="9" customFormat="1"/>
    <row r="40" s="9" customFormat="1"/>
    <row r="41" s="9" customFormat="1"/>
    <row r="42" s="9" customFormat="1"/>
    <row r="43" s="9" customFormat="1"/>
    <row r="44" s="9" customFormat="1"/>
    <row r="45" s="9" customFormat="1"/>
    <row r="46" s="9" customFormat="1"/>
    <row r="47" s="9" customFormat="1"/>
  </sheetData>
  <mergeCells count="4">
    <mergeCell ref="A4:D4"/>
    <mergeCell ref="A3:D3"/>
    <mergeCell ref="A2:D2"/>
    <mergeCell ref="A1:D1"/>
  </mergeCells>
  <phoneticPr fontId="5" type="noConversion"/>
  <printOptions horizontalCentered="1"/>
  <pageMargins left="0.59055118110236227" right="0.59055118110236227" top="0.59055118110236227" bottom="0.78740157480314965" header="0.51181102362204722" footer="0.51181102362204722"/>
  <pageSetup paperSize="9" firstPageNumber="44" orientation="portrait" useFirstPageNumber="1" r:id="rId1"/>
  <headerFooter alignWithMargins="0">
    <oddFooter>&amp;C&amp;"Times New Roman,標準"&amp;P</oddFooter>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G30"/>
  <sheetViews>
    <sheetView view="pageBreakPreview" zoomScaleNormal="100" zoomScaleSheetLayoutView="100" workbookViewId="0">
      <selection activeCell="L13" sqref="L13"/>
    </sheetView>
  </sheetViews>
  <sheetFormatPr defaultColWidth="9" defaultRowHeight="15.05"/>
  <cols>
    <col min="1" max="1" width="30.5" style="12" customWidth="1"/>
    <col min="2" max="2" width="5.5" style="12" bestFit="1" customWidth="1"/>
    <col min="3" max="3" width="54.25" style="12" customWidth="1"/>
    <col min="4" max="16384" width="9" style="12"/>
  </cols>
  <sheetData>
    <row r="1" spans="1:7" ht="20.95" customHeight="1">
      <c r="A1" s="1266" t="s">
        <v>59</v>
      </c>
      <c r="B1" s="1266"/>
      <c r="C1" s="1266"/>
    </row>
    <row r="2" spans="1:7" ht="20.95" customHeight="1">
      <c r="A2" s="1266" t="s">
        <v>60</v>
      </c>
      <c r="B2" s="1266"/>
      <c r="C2" s="1266"/>
    </row>
    <row r="3" spans="1:7" ht="24.9" customHeight="1">
      <c r="A3" s="1297" t="s">
        <v>1702</v>
      </c>
      <c r="B3" s="1298"/>
      <c r="C3" s="1298"/>
    </row>
    <row r="4" spans="1:7" ht="24.9" customHeight="1" thickBot="1">
      <c r="A4" s="1419" t="s">
        <v>905</v>
      </c>
      <c r="B4" s="1420"/>
      <c r="C4" s="1420"/>
    </row>
    <row r="5" spans="1:7" s="16" customFormat="1" ht="29.95" customHeight="1">
      <c r="A5" s="18" t="s">
        <v>187</v>
      </c>
      <c r="B5" s="1444" t="s">
        <v>101</v>
      </c>
      <c r="C5" s="1439"/>
    </row>
    <row r="6" spans="1:7" s="16" customFormat="1" ht="8.1999999999999993" customHeight="1">
      <c r="A6" s="457"/>
      <c r="B6" s="53"/>
      <c r="C6" s="54"/>
    </row>
    <row r="7" spans="1:7" s="17" customFormat="1" ht="29.95" customHeight="1">
      <c r="A7" s="47" t="s">
        <v>27</v>
      </c>
      <c r="B7" s="1443" t="s">
        <v>96</v>
      </c>
      <c r="C7" s="1360"/>
    </row>
    <row r="8" spans="1:7" s="17" customFormat="1" ht="29.95" customHeight="1">
      <c r="A8" s="459" t="s">
        <v>160</v>
      </c>
      <c r="B8" s="1443"/>
      <c r="C8" s="1360"/>
    </row>
    <row r="9" spans="1:7" s="17" customFormat="1" ht="29.95" customHeight="1">
      <c r="A9" s="47" t="s">
        <v>192</v>
      </c>
      <c r="B9" s="55"/>
      <c r="C9" s="48"/>
    </row>
    <row r="10" spans="1:7" s="17" customFormat="1" ht="29.95" customHeight="1">
      <c r="A10" s="459" t="s">
        <v>193</v>
      </c>
      <c r="B10" s="1443"/>
      <c r="C10" s="1360"/>
    </row>
    <row r="11" spans="1:7" s="17" customFormat="1" ht="29.95" customHeight="1">
      <c r="A11" s="100" t="s">
        <v>482</v>
      </c>
      <c r="B11" s="693"/>
      <c r="C11" s="692"/>
    </row>
    <row r="12" spans="1:7" s="17" customFormat="1" ht="75.599999999999994" customHeight="1">
      <c r="A12" s="446" t="s">
        <v>485</v>
      </c>
      <c r="B12" s="1443" t="s">
        <v>925</v>
      </c>
      <c r="C12" s="1360"/>
      <c r="G12" s="936" t="s">
        <v>924</v>
      </c>
    </row>
    <row r="13" spans="1:7" s="17" customFormat="1" ht="29.95" customHeight="1">
      <c r="A13" s="459" t="s">
        <v>555</v>
      </c>
      <c r="B13" s="1443"/>
      <c r="C13" s="1360"/>
    </row>
    <row r="14" spans="1:7" s="17" customFormat="1" ht="29.95" customHeight="1">
      <c r="A14" s="47" t="s">
        <v>192</v>
      </c>
      <c r="B14" s="55"/>
      <c r="C14" s="48"/>
    </row>
    <row r="15" spans="1:7" s="17" customFormat="1" ht="29.95" customHeight="1">
      <c r="A15" s="459" t="s">
        <v>193</v>
      </c>
      <c r="B15" s="1443"/>
      <c r="C15" s="1360"/>
    </row>
    <row r="16" spans="1:7" s="17" customFormat="1" ht="29.95" customHeight="1">
      <c r="A16" s="100" t="s">
        <v>482</v>
      </c>
      <c r="B16" s="749"/>
      <c r="C16" s="747"/>
    </row>
    <row r="17" spans="1:3" s="17" customFormat="1" ht="54.65" customHeight="1">
      <c r="A17" s="446" t="s">
        <v>485</v>
      </c>
      <c r="B17" s="1443" t="s">
        <v>776</v>
      </c>
      <c r="C17" s="1360"/>
    </row>
    <row r="18" spans="1:3" s="17" customFormat="1" ht="33.049999999999997" customHeight="1">
      <c r="A18" s="446"/>
      <c r="B18" s="693"/>
      <c r="C18" s="692"/>
    </row>
    <row r="19" spans="1:3" s="17" customFormat="1" ht="29.95" hidden="1" customHeight="1">
      <c r="A19" s="459" t="s">
        <v>169</v>
      </c>
      <c r="B19" s="1443"/>
      <c r="C19" s="1360"/>
    </row>
    <row r="20" spans="1:3" s="17" customFormat="1" ht="29.95" hidden="1" customHeight="1">
      <c r="A20" s="47" t="s">
        <v>192</v>
      </c>
      <c r="B20" s="55"/>
      <c r="C20" s="48"/>
    </row>
    <row r="21" spans="1:3" s="17" customFormat="1" ht="29.95" hidden="1" customHeight="1">
      <c r="A21" s="459" t="s">
        <v>193</v>
      </c>
      <c r="B21" s="1443"/>
      <c r="C21" s="1360"/>
    </row>
    <row r="22" spans="1:3" s="17" customFormat="1" ht="29.95" hidden="1" customHeight="1">
      <c r="A22" s="100" t="s">
        <v>482</v>
      </c>
      <c r="B22" s="693"/>
      <c r="C22" s="692"/>
    </row>
    <row r="23" spans="1:3" s="17" customFormat="1" ht="38.299999999999997" hidden="1" customHeight="1">
      <c r="A23" s="446" t="s">
        <v>485</v>
      </c>
      <c r="B23" s="1443" t="s">
        <v>391</v>
      </c>
      <c r="C23" s="1360"/>
    </row>
    <row r="24" spans="1:3" s="17" customFormat="1" ht="38.299999999999997" customHeight="1">
      <c r="A24" s="446"/>
      <c r="B24" s="693"/>
      <c r="C24" s="692"/>
    </row>
    <row r="25" spans="1:3" s="17" customFormat="1" ht="9.65" customHeight="1">
      <c r="A25" s="446"/>
      <c r="B25" s="693"/>
      <c r="C25" s="692"/>
    </row>
    <row r="26" spans="1:3" s="17" customFormat="1" ht="25.2" customHeight="1">
      <c r="A26" s="446"/>
      <c r="B26" s="693"/>
      <c r="C26" s="692"/>
    </row>
    <row r="27" spans="1:3" s="17" customFormat="1" ht="2.4500000000000002" customHeight="1">
      <c r="A27" s="446"/>
      <c r="B27" s="693"/>
      <c r="C27" s="692"/>
    </row>
    <row r="28" spans="1:3" s="17" customFormat="1" ht="27.85" customHeight="1">
      <c r="A28" s="446"/>
      <c r="B28" s="693"/>
      <c r="C28" s="692"/>
    </row>
    <row r="29" spans="1:3" s="17" customFormat="1" ht="49.25" customHeight="1">
      <c r="A29" s="446"/>
      <c r="B29" s="693"/>
      <c r="C29" s="692"/>
    </row>
    <row r="30" spans="1:3" s="21" customFormat="1" ht="56.3" customHeight="1" thickBot="1">
      <c r="A30" s="458"/>
      <c r="B30" s="191"/>
      <c r="C30" s="192"/>
    </row>
  </sheetData>
  <mergeCells count="15">
    <mergeCell ref="B5:C5"/>
    <mergeCell ref="B10:C10"/>
    <mergeCell ref="A1:C1"/>
    <mergeCell ref="A2:C2"/>
    <mergeCell ref="A3:C3"/>
    <mergeCell ref="A4:C4"/>
    <mergeCell ref="B7:C7"/>
    <mergeCell ref="B23:C23"/>
    <mergeCell ref="B8:C8"/>
    <mergeCell ref="B19:C19"/>
    <mergeCell ref="B21:C21"/>
    <mergeCell ref="B12:C12"/>
    <mergeCell ref="B13:C13"/>
    <mergeCell ref="B15:C15"/>
    <mergeCell ref="B17:C17"/>
  </mergeCells>
  <phoneticPr fontId="5" type="noConversion"/>
  <printOptions horizontalCentered="1"/>
  <pageMargins left="0.59055118110236227" right="0.59055118110236227" top="0.59055118110236227" bottom="0.78740157480314965" header="0.51181102362204722" footer="0.51181102362204722"/>
  <pageSetup paperSize="9" firstPageNumber="45" orientation="portrait" useFirstPageNumber="1" r:id="rId1"/>
  <headerFooter alignWithMargins="0">
    <oddFooter>&amp;C&amp;"Times New Roman,標準"&amp;P</oddFooter>
  </headerFooter>
  <legacy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L18"/>
  <sheetViews>
    <sheetView view="pageBreakPreview" zoomScaleNormal="100" zoomScaleSheetLayoutView="100" workbookViewId="0">
      <selection activeCell="A5" sqref="A5:A6"/>
    </sheetView>
  </sheetViews>
  <sheetFormatPr defaultColWidth="8.875" defaultRowHeight="16.399999999999999"/>
  <cols>
    <col min="1" max="1" width="12.625" style="843" customWidth="1"/>
    <col min="2" max="4" width="5.375" style="843" customWidth="1"/>
    <col min="5" max="5" width="6.75" style="843" customWidth="1"/>
    <col min="6" max="7" width="5.75" style="843" customWidth="1"/>
    <col min="8" max="8" width="6.75" style="843" customWidth="1"/>
    <col min="9" max="9" width="5.75" style="843" customWidth="1"/>
    <col min="10" max="10" width="11.5" style="856" customWidth="1"/>
    <col min="11" max="11" width="5.875" style="843" customWidth="1"/>
    <col min="12" max="12" width="12.75" style="856" customWidth="1"/>
    <col min="13" max="16384" width="8.875" style="843"/>
  </cols>
  <sheetData>
    <row r="1" spans="1:12" s="2" customFormat="1" ht="20.3">
      <c r="A1" s="1445" t="s">
        <v>59</v>
      </c>
      <c r="B1" s="1445"/>
      <c r="C1" s="1445"/>
      <c r="D1" s="1446"/>
      <c r="E1" s="1446"/>
      <c r="F1" s="1446"/>
      <c r="G1" s="1446"/>
      <c r="H1" s="1446"/>
      <c r="I1" s="1446"/>
      <c r="J1" s="1446"/>
      <c r="K1" s="1446"/>
      <c r="L1" s="1446"/>
    </row>
    <row r="2" spans="1:12" s="2" customFormat="1" ht="20.3">
      <c r="A2" s="1445" t="s">
        <v>60</v>
      </c>
      <c r="B2" s="1445"/>
      <c r="C2" s="1445"/>
      <c r="D2" s="1446"/>
      <c r="E2" s="1446"/>
      <c r="F2" s="1446"/>
      <c r="G2" s="1446"/>
      <c r="H2" s="1446"/>
      <c r="I2" s="1446"/>
      <c r="J2" s="1446"/>
      <c r="K2" s="1446"/>
      <c r="L2" s="1446"/>
    </row>
    <row r="3" spans="1:12" s="2" customFormat="1" ht="24.75" customHeight="1">
      <c r="A3" s="1447" t="s">
        <v>773</v>
      </c>
      <c r="B3" s="1448"/>
      <c r="C3" s="1448"/>
      <c r="D3" s="1449"/>
      <c r="E3" s="1449"/>
      <c r="F3" s="1449"/>
      <c r="G3" s="1449"/>
      <c r="H3" s="1449"/>
      <c r="I3" s="1449"/>
      <c r="J3" s="1449"/>
      <c r="K3" s="1449"/>
      <c r="L3" s="1449"/>
    </row>
    <row r="4" spans="1:12" s="774" customFormat="1" ht="24.75" customHeight="1" thickBot="1">
      <c r="A4" s="1450" t="s">
        <v>1771</v>
      </c>
      <c r="B4" s="1450"/>
      <c r="C4" s="1450"/>
      <c r="D4" s="1450"/>
      <c r="E4" s="1450"/>
      <c r="F4" s="1450"/>
      <c r="G4" s="1450"/>
      <c r="H4" s="1450"/>
      <c r="I4" s="1450"/>
      <c r="J4" s="1450"/>
      <c r="K4" s="1451"/>
      <c r="L4" s="1451"/>
    </row>
    <row r="5" spans="1:12" ht="54" customHeight="1">
      <c r="A5" s="1452" t="s">
        <v>761</v>
      </c>
      <c r="B5" s="1454" t="s">
        <v>752</v>
      </c>
      <c r="C5" s="1454"/>
      <c r="D5" s="1454"/>
      <c r="E5" s="1454"/>
      <c r="F5" s="1454"/>
      <c r="G5" s="1454"/>
      <c r="H5" s="1454"/>
      <c r="I5" s="1454"/>
      <c r="J5" s="1455" t="s">
        <v>753</v>
      </c>
      <c r="K5" s="1457" t="s">
        <v>739</v>
      </c>
      <c r="L5" s="1458" t="s">
        <v>919</v>
      </c>
    </row>
    <row r="6" spans="1:12" ht="50.4" customHeight="1">
      <c r="A6" s="1453"/>
      <c r="B6" s="891" t="s">
        <v>762</v>
      </c>
      <c r="C6" s="892" t="s">
        <v>740</v>
      </c>
      <c r="D6" s="892" t="s">
        <v>741</v>
      </c>
      <c r="E6" s="893" t="s">
        <v>763</v>
      </c>
      <c r="F6" s="892" t="s">
        <v>742</v>
      </c>
      <c r="G6" s="892" t="s">
        <v>743</v>
      </c>
      <c r="H6" s="892" t="s">
        <v>744</v>
      </c>
      <c r="I6" s="892" t="s">
        <v>764</v>
      </c>
      <c r="J6" s="1456"/>
      <c r="K6" s="1456"/>
      <c r="L6" s="1459"/>
    </row>
    <row r="7" spans="1:12" s="845" customFormat="1" ht="49.95" customHeight="1">
      <c r="A7" s="888" t="s">
        <v>755</v>
      </c>
      <c r="B7" s="844">
        <v>0</v>
      </c>
      <c r="C7" s="844">
        <v>0</v>
      </c>
      <c r="D7" s="844">
        <v>0</v>
      </c>
      <c r="E7" s="844">
        <v>0</v>
      </c>
      <c r="F7" s="844">
        <v>0</v>
      </c>
      <c r="G7" s="844">
        <v>0</v>
      </c>
      <c r="H7" s="844">
        <v>0</v>
      </c>
      <c r="I7" s="844">
        <v>0</v>
      </c>
      <c r="J7" s="850">
        <v>1931021</v>
      </c>
      <c r="K7" s="846">
        <v>0</v>
      </c>
      <c r="L7" s="857">
        <f>SUM(B7:K7)</f>
        <v>1931021</v>
      </c>
    </row>
    <row r="8" spans="1:12" s="845" customFormat="1" ht="49.95" customHeight="1">
      <c r="A8" s="887" t="s">
        <v>756</v>
      </c>
      <c r="B8" s="844">
        <v>0</v>
      </c>
      <c r="C8" s="844">
        <v>0</v>
      </c>
      <c r="D8" s="844">
        <v>0</v>
      </c>
      <c r="E8" s="844">
        <v>0</v>
      </c>
      <c r="F8" s="844">
        <v>0</v>
      </c>
      <c r="G8" s="844">
        <v>0</v>
      </c>
      <c r="H8" s="844">
        <v>0</v>
      </c>
      <c r="I8" s="844">
        <v>0</v>
      </c>
      <c r="J8" s="900">
        <v>0</v>
      </c>
      <c r="K8" s="844">
        <v>0</v>
      </c>
      <c r="L8" s="859">
        <f>SUM(B8:K8)</f>
        <v>0</v>
      </c>
    </row>
    <row r="9" spans="1:12" s="845" customFormat="1" ht="49.95" customHeight="1">
      <c r="A9" s="887" t="s">
        <v>757</v>
      </c>
      <c r="B9" s="844">
        <f t="shared" ref="B9:H9" si="0">B7-B8</f>
        <v>0</v>
      </c>
      <c r="C9" s="844">
        <f t="shared" si="0"/>
        <v>0</v>
      </c>
      <c r="D9" s="844">
        <f t="shared" si="0"/>
        <v>0</v>
      </c>
      <c r="E9" s="844">
        <f t="shared" si="0"/>
        <v>0</v>
      </c>
      <c r="F9" s="844">
        <f t="shared" si="0"/>
        <v>0</v>
      </c>
      <c r="G9" s="844">
        <f t="shared" si="0"/>
        <v>0</v>
      </c>
      <c r="H9" s="844">
        <f t="shared" si="0"/>
        <v>0</v>
      </c>
      <c r="I9" s="844">
        <v>0</v>
      </c>
      <c r="J9" s="900">
        <v>0</v>
      </c>
      <c r="K9" s="844">
        <f t="shared" ref="K9" si="1">K7-K8</f>
        <v>0</v>
      </c>
      <c r="L9" s="859">
        <f>SUM(B9:K9)</f>
        <v>0</v>
      </c>
    </row>
    <row r="10" spans="1:12" s="845" customFormat="1" ht="49.95" customHeight="1">
      <c r="A10" s="887" t="s">
        <v>758</v>
      </c>
      <c r="B10" s="844">
        <v>0</v>
      </c>
      <c r="C10" s="844">
        <v>0</v>
      </c>
      <c r="D10" s="844">
        <v>0</v>
      </c>
      <c r="E10" s="844">
        <v>0</v>
      </c>
      <c r="F10" s="844">
        <v>0</v>
      </c>
      <c r="G10" s="844">
        <v>0</v>
      </c>
      <c r="H10" s="844">
        <v>0</v>
      </c>
      <c r="I10" s="844">
        <v>0</v>
      </c>
      <c r="J10" s="900">
        <v>0</v>
      </c>
      <c r="K10" s="844">
        <v>0</v>
      </c>
      <c r="L10" s="859">
        <f t="shared" ref="L10:L14" si="2">SUM(B10:K10)</f>
        <v>0</v>
      </c>
    </row>
    <row r="11" spans="1:12" ht="49.95" customHeight="1">
      <c r="A11" s="889" t="s">
        <v>759</v>
      </c>
      <c r="B11" s="844">
        <v>0</v>
      </c>
      <c r="C11" s="844">
        <v>0</v>
      </c>
      <c r="D11" s="844">
        <v>0</v>
      </c>
      <c r="E11" s="844">
        <v>0</v>
      </c>
      <c r="F11" s="844">
        <v>0</v>
      </c>
      <c r="G11" s="844">
        <v>0</v>
      </c>
      <c r="H11" s="844">
        <v>0</v>
      </c>
      <c r="I11" s="844">
        <v>0</v>
      </c>
      <c r="J11" s="851">
        <v>1931021</v>
      </c>
      <c r="K11" s="844">
        <v>0</v>
      </c>
      <c r="L11" s="858">
        <f t="shared" si="2"/>
        <v>1931021</v>
      </c>
    </row>
    <row r="12" spans="1:12" ht="49.95" customHeight="1">
      <c r="A12" s="889" t="s">
        <v>760</v>
      </c>
      <c r="B12" s="844">
        <v>0</v>
      </c>
      <c r="C12" s="844">
        <v>0</v>
      </c>
      <c r="D12" s="844">
        <v>0</v>
      </c>
      <c r="E12" s="844">
        <v>0</v>
      </c>
      <c r="F12" s="844">
        <v>0</v>
      </c>
      <c r="G12" s="844">
        <v>0</v>
      </c>
      <c r="H12" s="844">
        <v>0</v>
      </c>
      <c r="I12" s="844">
        <v>0</v>
      </c>
      <c r="J12" s="852">
        <f>J13</f>
        <v>16155</v>
      </c>
      <c r="K12" s="844">
        <v>0</v>
      </c>
      <c r="L12" s="858">
        <f t="shared" si="2"/>
        <v>16155</v>
      </c>
    </row>
    <row r="13" spans="1:12" ht="49.95" customHeight="1">
      <c r="A13" s="901" t="s">
        <v>766</v>
      </c>
      <c r="B13" s="844">
        <v>0</v>
      </c>
      <c r="C13" s="844">
        <v>0</v>
      </c>
      <c r="D13" s="844">
        <v>0</v>
      </c>
      <c r="E13" s="844">
        <v>0</v>
      </c>
      <c r="F13" s="844">
        <v>0</v>
      </c>
      <c r="G13" s="844">
        <v>0</v>
      </c>
      <c r="H13" s="844">
        <v>0</v>
      </c>
      <c r="I13" s="844">
        <v>0</v>
      </c>
      <c r="J13" s="852">
        <f>J14</f>
        <v>16155</v>
      </c>
      <c r="K13" s="844">
        <v>0</v>
      </c>
      <c r="L13" s="858">
        <f t="shared" si="2"/>
        <v>16155</v>
      </c>
    </row>
    <row r="14" spans="1:12" ht="49.95" customHeight="1">
      <c r="A14" s="890" t="s">
        <v>765</v>
      </c>
      <c r="B14" s="844">
        <v>0</v>
      </c>
      <c r="C14" s="844">
        <v>0</v>
      </c>
      <c r="D14" s="844">
        <v>0</v>
      </c>
      <c r="E14" s="844">
        <v>0</v>
      </c>
      <c r="F14" s="844">
        <v>0</v>
      </c>
      <c r="G14" s="844">
        <v>0</v>
      </c>
      <c r="H14" s="844">
        <v>0</v>
      </c>
      <c r="I14" s="844">
        <v>0</v>
      </c>
      <c r="J14" s="852">
        <v>16155</v>
      </c>
      <c r="K14" s="844">
        <v>0</v>
      </c>
      <c r="L14" s="858">
        <f t="shared" si="2"/>
        <v>16155</v>
      </c>
    </row>
    <row r="15" spans="1:12" ht="65.45" customHeight="1">
      <c r="A15" s="848"/>
      <c r="B15" s="844"/>
      <c r="C15" s="844"/>
      <c r="D15" s="844"/>
      <c r="E15" s="844"/>
      <c r="F15" s="844"/>
      <c r="G15" s="844"/>
      <c r="H15" s="844"/>
      <c r="I15" s="844"/>
      <c r="J15" s="853"/>
      <c r="K15" s="846"/>
      <c r="L15" s="858"/>
    </row>
    <row r="16" spans="1:12" ht="59.4" customHeight="1">
      <c r="A16" s="848"/>
      <c r="B16" s="846"/>
      <c r="C16" s="846"/>
      <c r="D16" s="846"/>
      <c r="E16" s="846"/>
      <c r="F16" s="846"/>
      <c r="G16" s="846"/>
      <c r="H16" s="846"/>
      <c r="I16" s="844"/>
      <c r="J16" s="854"/>
      <c r="K16" s="846"/>
      <c r="L16" s="859"/>
    </row>
    <row r="17" spans="1:12" ht="49.95" customHeight="1" thickBot="1">
      <c r="A17" s="849"/>
      <c r="B17" s="847"/>
      <c r="C17" s="847"/>
      <c r="D17" s="847"/>
      <c r="E17" s="847"/>
      <c r="F17" s="847"/>
      <c r="G17" s="847"/>
      <c r="H17" s="847"/>
      <c r="I17" s="847"/>
      <c r="J17" s="855"/>
      <c r="K17" s="847"/>
      <c r="L17" s="894"/>
    </row>
    <row r="18" spans="1:12">
      <c r="A18" s="843" t="s">
        <v>745</v>
      </c>
    </row>
  </sheetData>
  <mergeCells count="9">
    <mergeCell ref="A1:L1"/>
    <mergeCell ref="A2:L2"/>
    <mergeCell ref="A3:L3"/>
    <mergeCell ref="A4:L4"/>
    <mergeCell ref="A5:A6"/>
    <mergeCell ref="B5:I5"/>
    <mergeCell ref="J5:J6"/>
    <mergeCell ref="K5:K6"/>
    <mergeCell ref="L5:L6"/>
  </mergeCells>
  <phoneticPr fontId="5" type="noConversion"/>
  <printOptions horizontalCentered="1"/>
  <pageMargins left="0.59055118110236227" right="0.59055118110236227" top="0.59055118110236227" bottom="0.78740157480314965" header="0.51181102362204722" footer="0.51181102362204722"/>
  <pageSetup paperSize="9" firstPageNumber="46" orientation="portrait" useFirstPageNumber="1" r:id="rId1"/>
  <headerFooter scaleWithDoc="0">
    <oddFooter>&amp;C&amp;"Times New Roman,標準"&amp;P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H34"/>
  <sheetViews>
    <sheetView view="pageBreakPreview" zoomScaleNormal="100" zoomScaleSheetLayoutView="100" workbookViewId="0">
      <selection activeCell="L13" sqref="L13"/>
    </sheetView>
  </sheetViews>
  <sheetFormatPr defaultColWidth="9" defaultRowHeight="15.05"/>
  <cols>
    <col min="1" max="1" width="34.625" style="6" customWidth="1"/>
    <col min="2" max="2" width="22.875" style="6" customWidth="1"/>
    <col min="3" max="3" width="32.5" style="6" customWidth="1"/>
    <col min="4" max="4" width="10.5" style="6" bestFit="1" customWidth="1"/>
    <col min="5" max="5" width="5.5" style="6" bestFit="1" customWidth="1"/>
    <col min="6" max="6" width="39" style="6" customWidth="1"/>
    <col min="7" max="7" width="9" style="6"/>
    <col min="8" max="8" width="26.375" style="6" customWidth="1"/>
    <col min="9" max="9" width="19.875" style="6" customWidth="1"/>
    <col min="10" max="16384" width="9" style="6"/>
  </cols>
  <sheetData>
    <row r="1" spans="1:8" s="2" customFormat="1" ht="22.25">
      <c r="A1" s="1266" t="s">
        <v>59</v>
      </c>
      <c r="B1" s="1266"/>
      <c r="C1" s="1266"/>
      <c r="D1" s="145"/>
      <c r="E1" s="145"/>
      <c r="F1" s="1"/>
      <c r="G1" s="1"/>
      <c r="H1" s="1"/>
    </row>
    <row r="2" spans="1:8" s="2" customFormat="1" ht="22.25">
      <c r="A2" s="1266" t="s">
        <v>60</v>
      </c>
      <c r="B2" s="1266"/>
      <c r="C2" s="1266"/>
      <c r="D2" s="145"/>
      <c r="E2" s="145"/>
      <c r="F2" s="1"/>
      <c r="G2" s="1"/>
      <c r="H2" s="1"/>
    </row>
    <row r="3" spans="1:8" s="2" customFormat="1" ht="24.75" customHeight="1">
      <c r="A3" s="1267" t="s">
        <v>1713</v>
      </c>
      <c r="B3" s="1268"/>
      <c r="C3" s="1268"/>
      <c r="D3" s="146"/>
      <c r="E3" s="146"/>
      <c r="F3" s="3"/>
      <c r="G3" s="3"/>
      <c r="H3" s="3"/>
    </row>
    <row r="4" spans="1:8" s="2" customFormat="1" ht="24.9" customHeight="1" thickBot="1">
      <c r="A4" s="1316" t="s">
        <v>1658</v>
      </c>
      <c r="B4" s="1287"/>
      <c r="C4" s="1287"/>
      <c r="D4" s="4"/>
      <c r="E4" s="4"/>
      <c r="F4" s="4"/>
      <c r="G4" s="4"/>
      <c r="H4" s="4"/>
    </row>
    <row r="5" spans="1:8" ht="29.95" customHeight="1">
      <c r="A5" s="407" t="s">
        <v>61</v>
      </c>
      <c r="B5" s="406" t="s">
        <v>105</v>
      </c>
      <c r="C5" s="408" t="s">
        <v>104</v>
      </c>
    </row>
    <row r="6" spans="1:8" ht="8.1999999999999993" customHeight="1">
      <c r="A6" s="409"/>
      <c r="B6" s="162"/>
      <c r="C6" s="163"/>
    </row>
    <row r="7" spans="1:8" s="9" customFormat="1" ht="32.1" customHeight="1">
      <c r="A7" s="461" t="s">
        <v>486</v>
      </c>
      <c r="B7" s="198">
        <v>625</v>
      </c>
      <c r="C7" s="34"/>
    </row>
    <row r="8" spans="1:8" s="9" customFormat="1" ht="32.1" customHeight="1">
      <c r="A8" s="461" t="s">
        <v>487</v>
      </c>
      <c r="B8" s="174"/>
      <c r="C8" s="42"/>
    </row>
    <row r="9" spans="1:8" s="9" customFormat="1" ht="32.1" customHeight="1">
      <c r="A9" s="461" t="s">
        <v>488</v>
      </c>
      <c r="B9" s="148" t="s">
        <v>14</v>
      </c>
      <c r="C9" s="42"/>
    </row>
    <row r="10" spans="1:8" s="9" customFormat="1" ht="32.1" customHeight="1">
      <c r="A10" s="461" t="s">
        <v>489</v>
      </c>
      <c r="B10" s="148" t="s">
        <v>14</v>
      </c>
      <c r="C10" s="22"/>
    </row>
    <row r="11" spans="1:8" s="9" customFormat="1" ht="32.1" customHeight="1">
      <c r="A11" s="461" t="s">
        <v>1657</v>
      </c>
      <c r="B11" s="148" t="s">
        <v>14</v>
      </c>
      <c r="C11" s="22"/>
    </row>
    <row r="12" spans="1:8" s="9" customFormat="1" ht="32.1" customHeight="1">
      <c r="A12" s="698" t="s">
        <v>683</v>
      </c>
      <c r="B12" s="148" t="s">
        <v>14</v>
      </c>
      <c r="C12" s="149"/>
    </row>
    <row r="13" spans="1:8" s="9" customFormat="1" ht="32.1" customHeight="1">
      <c r="A13" s="698" t="s">
        <v>490</v>
      </c>
      <c r="B13" s="148" t="s">
        <v>14</v>
      </c>
      <c r="C13" s="149"/>
    </row>
    <row r="14" spans="1:8" s="9" customFormat="1" ht="32.1" customHeight="1">
      <c r="A14" s="698" t="s">
        <v>491</v>
      </c>
      <c r="B14" s="174"/>
      <c r="C14" s="149"/>
    </row>
    <row r="15" spans="1:8" s="9" customFormat="1" ht="32.1" customHeight="1">
      <c r="A15" s="698" t="s">
        <v>492</v>
      </c>
      <c r="B15" s="148" t="s">
        <v>14</v>
      </c>
      <c r="C15" s="149"/>
    </row>
    <row r="16" spans="1:8" s="9" customFormat="1" ht="32.1" customHeight="1">
      <c r="A16" s="698" t="s">
        <v>551</v>
      </c>
      <c r="B16" s="148" t="s">
        <v>14</v>
      </c>
      <c r="C16" s="149"/>
    </row>
    <row r="17" spans="1:3" s="9" customFormat="1" ht="32.1" customHeight="1">
      <c r="A17" s="698" t="s">
        <v>490</v>
      </c>
      <c r="B17" s="148" t="s">
        <v>14</v>
      </c>
      <c r="C17" s="149"/>
    </row>
    <row r="18" spans="1:3" s="9" customFormat="1" ht="32.1" customHeight="1">
      <c r="A18" s="698" t="s">
        <v>493</v>
      </c>
      <c r="B18" s="199">
        <f>B7+B8</f>
        <v>625</v>
      </c>
      <c r="C18" s="149"/>
    </row>
    <row r="19" spans="1:3">
      <c r="A19" s="150"/>
      <c r="B19" s="147"/>
      <c r="C19" s="149"/>
    </row>
    <row r="20" spans="1:3">
      <c r="A20" s="150"/>
      <c r="B20" s="147"/>
      <c r="C20" s="149"/>
    </row>
    <row r="21" spans="1:3">
      <c r="A21" s="151"/>
      <c r="B21" s="95"/>
      <c r="C21" s="101"/>
    </row>
    <row r="22" spans="1:3">
      <c r="A22" s="151"/>
      <c r="B22" s="95"/>
      <c r="C22" s="101"/>
    </row>
    <row r="23" spans="1:3">
      <c r="A23" s="151"/>
      <c r="B23" s="95"/>
      <c r="C23" s="101"/>
    </row>
    <row r="24" spans="1:3" ht="15.55" customHeight="1">
      <c r="A24" s="151"/>
      <c r="B24" s="95"/>
      <c r="C24" s="101"/>
    </row>
    <row r="25" spans="1:3">
      <c r="A25" s="151"/>
      <c r="B25" s="95"/>
      <c r="C25" s="101"/>
    </row>
    <row r="26" spans="1:3" ht="8.1999999999999993" customHeight="1">
      <c r="A26" s="151"/>
      <c r="B26" s="95"/>
      <c r="C26" s="101"/>
    </row>
    <row r="27" spans="1:3" ht="8.1999999999999993" customHeight="1">
      <c r="A27" s="151"/>
      <c r="B27" s="95"/>
      <c r="C27" s="101"/>
    </row>
    <row r="28" spans="1:3" ht="25.55" customHeight="1">
      <c r="A28" s="151"/>
      <c r="B28" s="95"/>
      <c r="C28" s="101"/>
    </row>
    <row r="29" spans="1:3" ht="9.85" customHeight="1">
      <c r="A29" s="151"/>
      <c r="B29" s="95"/>
      <c r="C29" s="101"/>
    </row>
    <row r="30" spans="1:3" ht="10.15" customHeight="1">
      <c r="A30" s="151"/>
      <c r="B30" s="95"/>
      <c r="C30" s="101"/>
    </row>
    <row r="31" spans="1:3" ht="6.75" customHeight="1">
      <c r="A31" s="151"/>
      <c r="B31" s="95"/>
      <c r="C31" s="101"/>
    </row>
    <row r="32" spans="1:3" ht="7.2" customHeight="1">
      <c r="A32" s="151"/>
      <c r="B32" s="95"/>
      <c r="C32" s="101"/>
    </row>
    <row r="33" spans="1:3" ht="21.6" customHeight="1">
      <c r="A33" s="150"/>
      <c r="B33" s="147"/>
      <c r="C33" s="152"/>
    </row>
    <row r="34" spans="1:3" ht="56.3" customHeight="1" thickBot="1">
      <c r="A34" s="153"/>
      <c r="B34" s="154"/>
      <c r="C34" s="109"/>
    </row>
  </sheetData>
  <mergeCells count="4">
    <mergeCell ref="A1:C1"/>
    <mergeCell ref="A2:C2"/>
    <mergeCell ref="A3:C3"/>
    <mergeCell ref="A4:C4"/>
  </mergeCells>
  <phoneticPr fontId="5" type="noConversion"/>
  <printOptions horizontalCentered="1"/>
  <pageMargins left="0.59055118110236227" right="0.59055118110236227" top="0.59055118110236227" bottom="0.78740157480314965" header="0.51181102362204722" footer="0.51181102362204722"/>
  <pageSetup paperSize="9" firstPageNumber="47" orientation="portrait" useFirstPageNumber="1" r:id="rId1"/>
  <headerFooter alignWithMargins="0">
    <oddFooter>&amp;C&amp;"Times New Roman,標準"&amp;P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I21"/>
  <sheetViews>
    <sheetView showGridLines="0" view="pageBreakPreview" zoomScaleNormal="100" zoomScaleSheetLayoutView="100" workbookViewId="0">
      <selection activeCell="L13" sqref="L13"/>
    </sheetView>
  </sheetViews>
  <sheetFormatPr defaultColWidth="12" defaultRowHeight="20.3"/>
  <cols>
    <col min="1" max="1" width="12.125" style="788" customWidth="1"/>
    <col min="2" max="2" width="6.5" style="788" customWidth="1"/>
    <col min="3" max="3" width="12.375" style="788" customWidth="1"/>
    <col min="4" max="4" width="12.625" style="788" customWidth="1"/>
    <col min="5" max="5" width="12.875" style="788" customWidth="1"/>
    <col min="6" max="6" width="12.125" style="788" customWidth="1"/>
    <col min="7" max="7" width="2.75" style="788" customWidth="1"/>
    <col min="8" max="8" width="18.625" style="788" customWidth="1"/>
    <col min="9" max="9" width="0" style="788" hidden="1" customWidth="1"/>
    <col min="10" max="16384" width="12" style="788"/>
  </cols>
  <sheetData>
    <row r="1" spans="1:9" s="2" customFormat="1" ht="22.25">
      <c r="A1" s="1266" t="s">
        <v>59</v>
      </c>
      <c r="B1" s="1266"/>
      <c r="C1" s="1266"/>
      <c r="D1" s="1266"/>
      <c r="E1" s="1266"/>
      <c r="F1" s="1266"/>
      <c r="G1" s="1266"/>
      <c r="H1" s="1266"/>
      <c r="I1" s="1"/>
    </row>
    <row r="2" spans="1:9" s="2" customFormat="1" ht="22.25">
      <c r="A2" s="1266" t="s">
        <v>60</v>
      </c>
      <c r="B2" s="1266"/>
      <c r="C2" s="1266"/>
      <c r="D2" s="1266"/>
      <c r="E2" s="1266"/>
      <c r="F2" s="1266"/>
      <c r="G2" s="1266"/>
      <c r="H2" s="1266"/>
      <c r="I2" s="1"/>
    </row>
    <row r="3" spans="1:9" s="2" customFormat="1" ht="24.75" customHeight="1">
      <c r="A3" s="1267" t="s">
        <v>1705</v>
      </c>
      <c r="B3" s="1268"/>
      <c r="C3" s="1268"/>
      <c r="D3" s="1268"/>
      <c r="E3" s="1268"/>
      <c r="F3" s="1268"/>
      <c r="G3" s="1268"/>
      <c r="H3" s="1268"/>
      <c r="I3" s="3"/>
    </row>
    <row r="4" spans="1:9" s="774" customFormat="1" ht="24.75" customHeight="1" thickBot="1">
      <c r="A4" s="1450" t="s">
        <v>1693</v>
      </c>
      <c r="B4" s="1450"/>
      <c r="C4" s="1450"/>
      <c r="D4" s="1450"/>
      <c r="E4" s="1450"/>
      <c r="F4" s="1450"/>
      <c r="G4" s="1450"/>
      <c r="H4" s="1450"/>
    </row>
    <row r="5" spans="1:9" s="777" customFormat="1" ht="51.05" customHeight="1">
      <c r="A5" s="775" t="s">
        <v>684</v>
      </c>
      <c r="B5" s="776" t="s">
        <v>670</v>
      </c>
      <c r="C5" s="776" t="s">
        <v>671</v>
      </c>
      <c r="D5" s="776" t="s">
        <v>677</v>
      </c>
      <c r="E5" s="789" t="s">
        <v>672</v>
      </c>
      <c r="F5" s="776" t="s">
        <v>687</v>
      </c>
      <c r="G5" s="1466" t="s">
        <v>772</v>
      </c>
      <c r="H5" s="1467"/>
    </row>
    <row r="6" spans="1:9" s="774" customFormat="1" ht="85.25" customHeight="1">
      <c r="A6" s="895" t="s">
        <v>767</v>
      </c>
      <c r="B6" s="790">
        <v>111</v>
      </c>
      <c r="C6" s="791">
        <v>2727000</v>
      </c>
      <c r="D6" s="791"/>
      <c r="E6" s="792">
        <v>347000</v>
      </c>
      <c r="F6" s="793">
        <f>+C6+D6-E6</f>
        <v>2380000</v>
      </c>
      <c r="G6" s="1460" t="s">
        <v>686</v>
      </c>
      <c r="H6" s="1461"/>
      <c r="I6" s="778" t="s">
        <v>673</v>
      </c>
    </row>
    <row r="7" spans="1:9" s="780" customFormat="1" ht="80.05" customHeight="1">
      <c r="A7" s="896" t="s">
        <v>768</v>
      </c>
      <c r="B7" s="794">
        <v>111</v>
      </c>
      <c r="C7" s="795">
        <v>285000</v>
      </c>
      <c r="D7" s="796">
        <v>1800000</v>
      </c>
      <c r="E7" s="797">
        <v>1800000</v>
      </c>
      <c r="F7" s="798">
        <f>+C7+D7-E7</f>
        <v>285000</v>
      </c>
      <c r="G7" s="1462"/>
      <c r="H7" s="1295"/>
      <c r="I7" s="779" t="s">
        <v>674</v>
      </c>
    </row>
    <row r="8" spans="1:9" s="780" customFormat="1" ht="80.05" customHeight="1">
      <c r="A8" s="896" t="s">
        <v>769</v>
      </c>
      <c r="B8" s="794"/>
      <c r="C8" s="795">
        <f>SUM(C6:C7)</f>
        <v>3012000</v>
      </c>
      <c r="D8" s="796">
        <f>SUM(D6:D7)</f>
        <v>1800000</v>
      </c>
      <c r="E8" s="792">
        <f>SUM(E6:E7)</f>
        <v>2147000</v>
      </c>
      <c r="F8" s="798">
        <f>SUM(F6:F7)</f>
        <v>2665000</v>
      </c>
      <c r="G8" s="1462"/>
      <c r="H8" s="1295"/>
      <c r="I8" s="779"/>
    </row>
    <row r="9" spans="1:9" s="780" customFormat="1" ht="69.55" customHeight="1">
      <c r="A9" s="897" t="s">
        <v>770</v>
      </c>
      <c r="B9" s="794">
        <v>111</v>
      </c>
      <c r="C9" s="798">
        <v>10371000</v>
      </c>
      <c r="D9" s="798">
        <v>11000000</v>
      </c>
      <c r="E9" s="798">
        <v>9100000</v>
      </c>
      <c r="F9" s="798">
        <f>+C9+D9-E9</f>
        <v>12271000</v>
      </c>
      <c r="G9" s="806" t="s">
        <v>690</v>
      </c>
      <c r="H9" s="1463" t="s">
        <v>1233</v>
      </c>
      <c r="I9" s="779" t="s">
        <v>674</v>
      </c>
    </row>
    <row r="10" spans="1:9" s="780" customFormat="1" ht="82.15" customHeight="1">
      <c r="A10" s="897"/>
      <c r="B10" s="801"/>
      <c r="C10" s="808"/>
      <c r="D10" s="808"/>
      <c r="E10" s="798"/>
      <c r="F10" s="798"/>
      <c r="G10" s="806"/>
      <c r="H10" s="1464"/>
      <c r="I10" s="779"/>
    </row>
    <row r="11" spans="1:9" s="780" customFormat="1" ht="97.2" customHeight="1">
      <c r="A11" s="898" t="s">
        <v>771</v>
      </c>
      <c r="B11" s="809">
        <v>111</v>
      </c>
      <c r="C11" s="810">
        <v>0</v>
      </c>
      <c r="D11" s="810">
        <v>0</v>
      </c>
      <c r="E11" s="811">
        <v>1800000</v>
      </c>
      <c r="F11" s="811">
        <f>+C11+D11-E11</f>
        <v>-1800000</v>
      </c>
      <c r="G11" s="806" t="s">
        <v>689</v>
      </c>
      <c r="H11" s="1465" t="s">
        <v>1652</v>
      </c>
      <c r="I11" s="779"/>
    </row>
    <row r="12" spans="1:9" s="780" customFormat="1" ht="49.25" customHeight="1">
      <c r="A12" s="896" t="s">
        <v>769</v>
      </c>
      <c r="B12" s="782"/>
      <c r="C12" s="798">
        <f>SUM(C9:C11)</f>
        <v>10371000</v>
      </c>
      <c r="D12" s="798">
        <f>SUM(D9:D11)</f>
        <v>11000000</v>
      </c>
      <c r="E12" s="798">
        <f>SUM(E9:E11)</f>
        <v>10900000</v>
      </c>
      <c r="F12" s="798">
        <f>SUM(F9:F11)</f>
        <v>10471000</v>
      </c>
      <c r="G12" s="807" t="s">
        <v>688</v>
      </c>
      <c r="H12" s="1464"/>
    </row>
    <row r="13" spans="1:9" s="780" customFormat="1" ht="49.25" customHeight="1">
      <c r="A13" s="781"/>
      <c r="B13" s="783"/>
      <c r="C13" s="783"/>
      <c r="D13" s="784"/>
      <c r="E13" s="783"/>
      <c r="F13" s="785"/>
      <c r="G13" s="785"/>
      <c r="H13" s="804"/>
      <c r="I13" s="774"/>
    </row>
    <row r="14" spans="1:9" s="780" customFormat="1" ht="24.55" hidden="1" customHeight="1">
      <c r="A14" s="781"/>
      <c r="B14" s="786"/>
      <c r="C14" s="786"/>
      <c r="D14" s="782"/>
      <c r="E14" s="783"/>
      <c r="F14" s="785"/>
      <c r="G14" s="785"/>
      <c r="H14" s="804"/>
      <c r="I14" s="774"/>
    </row>
    <row r="15" spans="1:9" s="780" customFormat="1" ht="24.9" hidden="1" customHeight="1">
      <c r="A15" s="781"/>
      <c r="B15" s="786"/>
      <c r="C15" s="786"/>
      <c r="D15" s="782"/>
      <c r="E15" s="783"/>
      <c r="F15" s="785"/>
      <c r="G15" s="785"/>
      <c r="H15" s="804"/>
      <c r="I15" s="774"/>
    </row>
    <row r="16" spans="1:9" s="780" customFormat="1" ht="24.9" hidden="1" customHeight="1">
      <c r="A16" s="781"/>
      <c r="B16" s="786"/>
      <c r="C16" s="786"/>
      <c r="D16" s="782"/>
      <c r="E16" s="783"/>
      <c r="F16" s="785"/>
      <c r="G16" s="785"/>
      <c r="H16" s="804"/>
      <c r="I16" s="774"/>
    </row>
    <row r="17" spans="1:9" s="780" customFormat="1" ht="24.9" hidden="1" customHeight="1">
      <c r="A17" s="781"/>
      <c r="B17" s="786"/>
      <c r="C17" s="786"/>
      <c r="D17" s="782"/>
      <c r="E17" s="783"/>
      <c r="F17" s="785"/>
      <c r="G17" s="785"/>
      <c r="H17" s="804"/>
      <c r="I17" s="774"/>
    </row>
    <row r="18" spans="1:9" s="780" customFormat="1" ht="24.9" hidden="1" customHeight="1">
      <c r="A18" s="781"/>
      <c r="B18" s="786"/>
      <c r="C18" s="786"/>
      <c r="D18" s="783"/>
      <c r="E18" s="783"/>
      <c r="F18" s="785"/>
      <c r="G18" s="785"/>
      <c r="H18" s="804"/>
      <c r="I18" s="774"/>
    </row>
    <row r="19" spans="1:9" s="780" customFormat="1" ht="24.9" hidden="1" customHeight="1">
      <c r="A19" s="781"/>
      <c r="B19" s="783"/>
      <c r="C19" s="783"/>
      <c r="D19" s="783"/>
      <c r="E19" s="783"/>
      <c r="F19" s="785"/>
      <c r="G19" s="785"/>
      <c r="H19" s="804"/>
      <c r="I19" s="774"/>
    </row>
    <row r="20" spans="1:9" s="774" customFormat="1" ht="24.9" hidden="1" customHeight="1">
      <c r="A20" s="781"/>
      <c r="B20" s="783"/>
      <c r="C20" s="783"/>
      <c r="D20" s="783"/>
      <c r="E20" s="783"/>
      <c r="F20" s="785"/>
      <c r="G20" s="785"/>
      <c r="H20" s="804"/>
    </row>
    <row r="21" spans="1:9" s="774" customFormat="1" ht="29.95" customHeight="1" thickBot="1">
      <c r="A21" s="799" t="s">
        <v>676</v>
      </c>
      <c r="B21" s="787"/>
      <c r="C21" s="800">
        <f>+C8+C12</f>
        <v>13383000</v>
      </c>
      <c r="D21" s="800">
        <f>+D8+D12</f>
        <v>12800000</v>
      </c>
      <c r="E21" s="800">
        <f>+E8+E12</f>
        <v>13047000</v>
      </c>
      <c r="F21" s="800">
        <f>+F8+F12</f>
        <v>13136000</v>
      </c>
      <c r="G21" s="803"/>
      <c r="H21" s="805"/>
    </row>
  </sheetData>
  <mergeCells count="8">
    <mergeCell ref="G6:H8"/>
    <mergeCell ref="H9:H10"/>
    <mergeCell ref="H11:H12"/>
    <mergeCell ref="A1:H1"/>
    <mergeCell ref="A2:H2"/>
    <mergeCell ref="A3:H3"/>
    <mergeCell ref="A4:H4"/>
    <mergeCell ref="G5:H5"/>
  </mergeCells>
  <phoneticPr fontId="5" type="noConversion"/>
  <printOptions horizontalCentered="1"/>
  <pageMargins left="0.59055118110236227" right="0.59055118110236227" top="0.59055118110236227" bottom="0.78740157480314965" header="0.51181102362204722" footer="0.51181102362204722"/>
  <pageSetup paperSize="9" firstPageNumber="48" fitToHeight="0" orientation="portrait" useFirstPageNumber="1" r:id="rId1"/>
  <headerFooter alignWithMargins="0">
    <oddFooter>&amp;C&amp;"Times New Roman,標準"&amp;P</oddFooter>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F50"/>
  <sheetViews>
    <sheetView view="pageBreakPreview" topLeftCell="A34" zoomScaleNormal="100" zoomScaleSheetLayoutView="100" workbookViewId="0">
      <selection activeCell="I36" sqref="I36"/>
    </sheetView>
  </sheetViews>
  <sheetFormatPr defaultColWidth="9" defaultRowHeight="15.05"/>
  <cols>
    <col min="1" max="1" width="15" style="6" customWidth="1"/>
    <col min="2" max="2" width="32.25" style="6" customWidth="1"/>
    <col min="3" max="3" width="14.75" style="6" customWidth="1"/>
    <col min="4" max="4" width="14.625" style="19" customWidth="1"/>
    <col min="5" max="5" width="12.875" style="6" customWidth="1"/>
    <col min="6" max="6" width="14.625" style="6" bestFit="1" customWidth="1"/>
    <col min="7" max="16384" width="9" style="6"/>
  </cols>
  <sheetData>
    <row r="1" spans="1:6" ht="22.25">
      <c r="A1" s="1266" t="s">
        <v>59</v>
      </c>
      <c r="B1" s="1266"/>
      <c r="C1" s="1266"/>
      <c r="D1" s="1266"/>
      <c r="E1" s="1266"/>
    </row>
    <row r="2" spans="1:6" ht="22.25">
      <c r="A2" s="1266" t="s">
        <v>60</v>
      </c>
      <c r="B2" s="1266"/>
      <c r="C2" s="1266"/>
      <c r="D2" s="1266"/>
      <c r="E2" s="1266"/>
    </row>
    <row r="3" spans="1:6" ht="24.75" customHeight="1">
      <c r="A3" s="1267" t="s">
        <v>1714</v>
      </c>
      <c r="B3" s="1268"/>
      <c r="C3" s="1268"/>
      <c r="D3" s="1268"/>
      <c r="E3" s="1268"/>
    </row>
    <row r="4" spans="1:6" ht="24.75" customHeight="1" thickBot="1">
      <c r="A4" s="1316" t="s">
        <v>1747</v>
      </c>
      <c r="B4" s="1287"/>
      <c r="C4" s="1287"/>
      <c r="D4" s="1287"/>
      <c r="E4" s="1287"/>
    </row>
    <row r="5" spans="1:6" ht="15.75" customHeight="1">
      <c r="A5" s="1471" t="s">
        <v>906</v>
      </c>
      <c r="B5" s="1474" t="s">
        <v>106</v>
      </c>
      <c r="C5" s="1480" t="s">
        <v>907</v>
      </c>
      <c r="D5" s="1480" t="s">
        <v>908</v>
      </c>
      <c r="E5" s="1477" t="s">
        <v>681</v>
      </c>
    </row>
    <row r="6" spans="1:6" ht="15.75" customHeight="1">
      <c r="A6" s="1472"/>
      <c r="B6" s="1475"/>
      <c r="C6" s="1481"/>
      <c r="D6" s="1481"/>
      <c r="E6" s="1478"/>
    </row>
    <row r="7" spans="1:6" ht="15.75" customHeight="1">
      <c r="A7" s="1473"/>
      <c r="B7" s="1476"/>
      <c r="C7" s="1482"/>
      <c r="D7" s="1482"/>
      <c r="E7" s="1479"/>
    </row>
    <row r="8" spans="1:6" ht="8.1999999999999993" customHeight="1">
      <c r="A8" s="686"/>
      <c r="B8" s="687"/>
      <c r="C8" s="685"/>
      <c r="D8" s="688"/>
      <c r="E8" s="689"/>
    </row>
    <row r="9" spans="1:6" s="30" customFormat="1" ht="29.95" customHeight="1">
      <c r="A9" s="256">
        <v>1056663374</v>
      </c>
      <c r="B9" s="699" t="s">
        <v>298</v>
      </c>
      <c r="C9" s="115">
        <f>+C10+C16+C19+C21+C23</f>
        <v>1035646779</v>
      </c>
      <c r="D9" s="115">
        <f>+D10+D16+D19+D21+D23</f>
        <v>1050864047</v>
      </c>
      <c r="E9" s="116">
        <f>+E10+E16+E19+E21+E23</f>
        <v>-15217268</v>
      </c>
      <c r="F9" s="745"/>
    </row>
    <row r="10" spans="1:6" s="30" customFormat="1" ht="29.95" customHeight="1">
      <c r="A10" s="113">
        <v>869347045</v>
      </c>
      <c r="B10" s="117" t="s">
        <v>299</v>
      </c>
      <c r="C10" s="115">
        <f>SUM(C11:C15)</f>
        <v>730122699</v>
      </c>
      <c r="D10" s="115">
        <f>SUM(D11:D15)</f>
        <v>738356283</v>
      </c>
      <c r="E10" s="116">
        <f>SUM(E11:E15)</f>
        <v>-8233584</v>
      </c>
      <c r="F10" s="765"/>
    </row>
    <row r="11" spans="1:6" s="9" customFormat="1" ht="29.95" customHeight="1">
      <c r="A11" s="118">
        <v>68483591</v>
      </c>
      <c r="B11" s="119" t="s">
        <v>300</v>
      </c>
      <c r="C11" s="120">
        <f>39369029+24000+1300</f>
        <v>39394329</v>
      </c>
      <c r="D11" s="120">
        <v>42206622</v>
      </c>
      <c r="E11" s="121">
        <f>C11-D11</f>
        <v>-2812293</v>
      </c>
    </row>
    <row r="12" spans="1:6" s="9" customFormat="1" ht="29.95" customHeight="1">
      <c r="A12" s="118">
        <v>704970081</v>
      </c>
      <c r="B12" s="119" t="s">
        <v>322</v>
      </c>
      <c r="C12" s="120">
        <v>582506576</v>
      </c>
      <c r="D12" s="120">
        <v>589835741</v>
      </c>
      <c r="E12" s="121">
        <f>C12-D12</f>
        <v>-7329165</v>
      </c>
    </row>
    <row r="13" spans="1:6" s="9" customFormat="1" ht="29.95" customHeight="1">
      <c r="A13" s="118">
        <v>91782887</v>
      </c>
      <c r="B13" s="119" t="s">
        <v>323</v>
      </c>
      <c r="C13" s="120">
        <v>105554794</v>
      </c>
      <c r="D13" s="120">
        <v>103293920</v>
      </c>
      <c r="E13" s="121">
        <f>C13-D13</f>
        <v>2260874</v>
      </c>
    </row>
    <row r="14" spans="1:6" s="9" customFormat="1" ht="29.95" customHeight="1">
      <c r="A14" s="118">
        <v>78780</v>
      </c>
      <c r="B14" s="119" t="s">
        <v>303</v>
      </c>
      <c r="C14" s="120">
        <v>2000</v>
      </c>
      <c r="D14" s="120">
        <v>8000</v>
      </c>
      <c r="E14" s="121">
        <f>C14-D14</f>
        <v>-6000</v>
      </c>
    </row>
    <row r="15" spans="1:6" s="9" customFormat="1" ht="29.95" customHeight="1">
      <c r="A15" s="118">
        <v>4031706</v>
      </c>
      <c r="B15" s="119" t="s">
        <v>304</v>
      </c>
      <c r="C15" s="120">
        <v>2665000</v>
      </c>
      <c r="D15" s="120">
        <v>3012000</v>
      </c>
      <c r="E15" s="121">
        <f>C15-D15</f>
        <v>-347000</v>
      </c>
    </row>
    <row r="16" spans="1:6" s="30" customFormat="1" ht="29.95" customHeight="1">
      <c r="A16" s="113">
        <v>161720131</v>
      </c>
      <c r="B16" s="122" t="s">
        <v>305</v>
      </c>
      <c r="C16" s="115">
        <f>SUM(C17:C18)</f>
        <v>278741386</v>
      </c>
      <c r="D16" s="115">
        <f>SUM(D17:D18)</f>
        <v>285135786</v>
      </c>
      <c r="E16" s="116">
        <f>SUM(E17:E18)</f>
        <v>-6394400</v>
      </c>
      <c r="F16" s="765"/>
    </row>
    <row r="17" spans="1:6" s="9" customFormat="1" ht="29.95" customHeight="1">
      <c r="A17" s="118">
        <v>153956915</v>
      </c>
      <c r="B17" s="119" t="s">
        <v>357</v>
      </c>
      <c r="C17" s="120">
        <v>268270386</v>
      </c>
      <c r="D17" s="120">
        <v>274764786</v>
      </c>
      <c r="E17" s="121">
        <f>C17-D17</f>
        <v>-6494400</v>
      </c>
    </row>
    <row r="18" spans="1:6" s="9" customFormat="1" ht="29.95" customHeight="1">
      <c r="A18" s="118">
        <v>7763216</v>
      </c>
      <c r="B18" s="119" t="s">
        <v>306</v>
      </c>
      <c r="C18" s="120">
        <v>10471000</v>
      </c>
      <c r="D18" s="120">
        <v>10371000</v>
      </c>
      <c r="E18" s="121">
        <f>C18-D18</f>
        <v>100000</v>
      </c>
    </row>
    <row r="19" spans="1:6" s="30" customFormat="1" ht="29.95" customHeight="1">
      <c r="A19" s="113">
        <v>1417996</v>
      </c>
      <c r="B19" s="122" t="s">
        <v>350</v>
      </c>
      <c r="C19" s="115">
        <f>+C20</f>
        <v>1385687</v>
      </c>
      <c r="D19" s="115">
        <f>+D20</f>
        <v>1401842</v>
      </c>
      <c r="E19" s="116">
        <f>+E20</f>
        <v>-16155</v>
      </c>
    </row>
    <row r="20" spans="1:6" s="9" customFormat="1" ht="29.95" customHeight="1">
      <c r="A20" s="118">
        <v>1417996</v>
      </c>
      <c r="B20" s="119" t="s">
        <v>494</v>
      </c>
      <c r="C20" s="120">
        <v>1385687</v>
      </c>
      <c r="D20" s="120">
        <v>1401842</v>
      </c>
      <c r="E20" s="121">
        <f>C20-D20</f>
        <v>-16155</v>
      </c>
    </row>
    <row r="21" spans="1:6" s="30" customFormat="1" ht="29.95" customHeight="1">
      <c r="A21" s="129">
        <v>530</v>
      </c>
      <c r="B21" s="117" t="s">
        <v>56</v>
      </c>
      <c r="C21" s="115">
        <f>C22</f>
        <v>24</v>
      </c>
      <c r="D21" s="130">
        <f>D22</f>
        <v>24</v>
      </c>
      <c r="E21" s="131">
        <f>+E22</f>
        <v>0</v>
      </c>
    </row>
    <row r="22" spans="1:6" s="9" customFormat="1" ht="29.95" customHeight="1">
      <c r="A22" s="132">
        <v>530</v>
      </c>
      <c r="B22" s="119" t="s">
        <v>57</v>
      </c>
      <c r="C22" s="120">
        <v>24</v>
      </c>
      <c r="D22" s="128">
        <v>24</v>
      </c>
      <c r="E22" s="123">
        <f>C22-D22</f>
        <v>0</v>
      </c>
    </row>
    <row r="23" spans="1:6" s="30" customFormat="1" ht="29.95" customHeight="1">
      <c r="A23" s="113">
        <v>24177672</v>
      </c>
      <c r="B23" s="117" t="s">
        <v>324</v>
      </c>
      <c r="C23" s="115">
        <f>+C24+C25+C26</f>
        <v>25396983</v>
      </c>
      <c r="D23" s="115">
        <f>+D24+D25+D26</f>
        <v>25970112</v>
      </c>
      <c r="E23" s="116">
        <f>+E24+E25</f>
        <v>-573129</v>
      </c>
      <c r="F23" s="765"/>
    </row>
    <row r="24" spans="1:6" s="9" customFormat="1" ht="29.95" customHeight="1">
      <c r="A24" s="118">
        <v>39752</v>
      </c>
      <c r="B24" s="119" t="s">
        <v>392</v>
      </c>
      <c r="C24" s="120">
        <v>38534</v>
      </c>
      <c r="D24" s="120">
        <v>39143</v>
      </c>
      <c r="E24" s="121">
        <f>C24-D24</f>
        <v>-609</v>
      </c>
    </row>
    <row r="25" spans="1:6" s="9" customFormat="1" ht="29.95" customHeight="1">
      <c r="A25" s="118">
        <v>23899609</v>
      </c>
      <c r="B25" s="119" t="s">
        <v>21</v>
      </c>
      <c r="C25" s="120">
        <v>25120137</v>
      </c>
      <c r="D25" s="120">
        <v>25692657</v>
      </c>
      <c r="E25" s="121">
        <f>C25-D25</f>
        <v>-572520</v>
      </c>
    </row>
    <row r="26" spans="1:6" s="9" customFormat="1" ht="29.95" customHeight="1">
      <c r="A26" s="118">
        <v>238312</v>
      </c>
      <c r="B26" s="119" t="s">
        <v>393</v>
      </c>
      <c r="C26" s="120">
        <v>238312</v>
      </c>
      <c r="D26" s="120">
        <v>238312</v>
      </c>
      <c r="E26" s="131">
        <f>C26-D26</f>
        <v>0</v>
      </c>
    </row>
    <row r="27" spans="1:6" s="9" customFormat="1" ht="27.65" customHeight="1">
      <c r="A27" s="118"/>
      <c r="B27" s="119"/>
      <c r="C27" s="120"/>
      <c r="D27" s="120"/>
      <c r="E27" s="121"/>
    </row>
    <row r="28" spans="1:6" s="9" customFormat="1" ht="25.2" customHeight="1">
      <c r="A28" s="118"/>
      <c r="B28" s="119"/>
      <c r="C28" s="120"/>
      <c r="D28" s="120"/>
      <c r="E28" s="121"/>
    </row>
    <row r="29" spans="1:6" s="30" customFormat="1" ht="29.95" customHeight="1" thickBot="1">
      <c r="A29" s="124">
        <v>1056663374</v>
      </c>
      <c r="B29" s="125" t="s">
        <v>36</v>
      </c>
      <c r="C29" s="126">
        <f>C9</f>
        <v>1035646779</v>
      </c>
      <c r="D29" s="126">
        <f>D9</f>
        <v>1050864047</v>
      </c>
      <c r="E29" s="127">
        <f>E9</f>
        <v>-15217268</v>
      </c>
    </row>
    <row r="30" spans="1:6" s="30" customFormat="1" ht="29.95" customHeight="1">
      <c r="A30" s="113">
        <v>1056658165</v>
      </c>
      <c r="B30" s="699" t="s">
        <v>19</v>
      </c>
      <c r="C30" s="115">
        <f>C31+C36</f>
        <v>1035641570</v>
      </c>
      <c r="D30" s="115">
        <f>D31+D36</f>
        <v>1050858838</v>
      </c>
      <c r="E30" s="116">
        <f>E31+E36</f>
        <v>-15217268</v>
      </c>
      <c r="F30" s="765"/>
    </row>
    <row r="31" spans="1:6" s="30" customFormat="1" ht="29.95" customHeight="1">
      <c r="A31" s="113">
        <v>33578614</v>
      </c>
      <c r="B31" s="117" t="s">
        <v>325</v>
      </c>
      <c r="C31" s="115">
        <f>SUM(C32:C35)</f>
        <v>32174430</v>
      </c>
      <c r="D31" s="115">
        <f>SUM(D32:D35)</f>
        <v>32546683</v>
      </c>
      <c r="E31" s="116">
        <f>SUM(E32:E35)</f>
        <v>-372253</v>
      </c>
    </row>
    <row r="32" spans="1:6" s="9" customFormat="1" ht="29.95" customHeight="1">
      <c r="A32" s="118">
        <v>3840000</v>
      </c>
      <c r="B32" s="119" t="s">
        <v>495</v>
      </c>
      <c r="C32" s="120">
        <v>2380000</v>
      </c>
      <c r="D32" s="120">
        <v>2727000</v>
      </c>
      <c r="E32" s="121">
        <f>C32-D32</f>
        <v>-347000</v>
      </c>
    </row>
    <row r="33" spans="1:6" s="9" customFormat="1" ht="29.95" customHeight="1">
      <c r="A33" s="118">
        <v>29235179</v>
      </c>
      <c r="B33" s="119" t="s">
        <v>22</v>
      </c>
      <c r="C33" s="120">
        <v>29247499</v>
      </c>
      <c r="D33" s="120">
        <v>29268070</v>
      </c>
      <c r="E33" s="121">
        <f>C33-D33</f>
        <v>-20571</v>
      </c>
    </row>
    <row r="34" spans="1:6" s="9" customFormat="1" ht="29.95" customHeight="1">
      <c r="A34" s="118">
        <v>371594</v>
      </c>
      <c r="B34" s="119" t="s">
        <v>23</v>
      </c>
      <c r="C34" s="120">
        <v>415090</v>
      </c>
      <c r="D34" s="120">
        <v>419772</v>
      </c>
      <c r="E34" s="121">
        <f>C34-D34</f>
        <v>-4682</v>
      </c>
    </row>
    <row r="35" spans="1:6" s="9" customFormat="1" ht="29.95" customHeight="1">
      <c r="A35" s="118">
        <v>131841</v>
      </c>
      <c r="B35" s="119" t="s">
        <v>314</v>
      </c>
      <c r="C35" s="128">
        <v>131841</v>
      </c>
      <c r="D35" s="128">
        <v>131841</v>
      </c>
      <c r="E35" s="131">
        <f>C35-D35</f>
        <v>0</v>
      </c>
    </row>
    <row r="36" spans="1:6" s="30" customFormat="1" ht="29.95" customHeight="1">
      <c r="A36" s="113">
        <v>1023079552</v>
      </c>
      <c r="B36" s="122" t="s">
        <v>315</v>
      </c>
      <c r="C36" s="115">
        <f>SUM(C37:C39)</f>
        <v>1003467140</v>
      </c>
      <c r="D36" s="115">
        <f>SUM(D37:D39)</f>
        <v>1018312155</v>
      </c>
      <c r="E36" s="116">
        <f>SUM(E37:E39)</f>
        <v>-14845015</v>
      </c>
    </row>
    <row r="37" spans="1:6" s="30" customFormat="1" ht="29.95" customHeight="1">
      <c r="A37" s="118">
        <v>3975176</v>
      </c>
      <c r="B37" s="119" t="s">
        <v>394</v>
      </c>
      <c r="C37" s="120">
        <v>3853346</v>
      </c>
      <c r="D37" s="120">
        <v>3914261</v>
      </c>
      <c r="E37" s="121">
        <f>C37-D37</f>
        <v>-60915</v>
      </c>
    </row>
    <row r="38" spans="1:6" s="9" customFormat="1" ht="29.95" customHeight="1">
      <c r="A38" s="118">
        <v>1019026388</v>
      </c>
      <c r="B38" s="119" t="s">
        <v>24</v>
      </c>
      <c r="C38" s="120">
        <v>999535736</v>
      </c>
      <c r="D38" s="120">
        <v>1014319836</v>
      </c>
      <c r="E38" s="121">
        <f>C38-D38</f>
        <v>-14784100</v>
      </c>
    </row>
    <row r="39" spans="1:6" s="9" customFormat="1" ht="29.95" customHeight="1">
      <c r="A39" s="118">
        <v>77988</v>
      </c>
      <c r="B39" s="119" t="s">
        <v>25</v>
      </c>
      <c r="C39" s="120">
        <v>78058</v>
      </c>
      <c r="D39" s="120">
        <v>78058</v>
      </c>
      <c r="E39" s="123">
        <f>C39-D39</f>
        <v>0</v>
      </c>
    </row>
    <row r="40" spans="1:6" s="30" customFormat="1" ht="29.95" customHeight="1">
      <c r="A40" s="113">
        <v>5209</v>
      </c>
      <c r="B40" s="699" t="s">
        <v>318</v>
      </c>
      <c r="C40" s="115">
        <f>C41+C43+C45</f>
        <v>5209</v>
      </c>
      <c r="D40" s="115">
        <f>D41+D43+D45</f>
        <v>5209</v>
      </c>
      <c r="E40" s="123">
        <f>E41+E43+E45</f>
        <v>0</v>
      </c>
    </row>
    <row r="41" spans="1:6" s="30" customFormat="1" ht="29.95" customHeight="1">
      <c r="A41" s="113">
        <v>625</v>
      </c>
      <c r="B41" s="117" t="s">
        <v>319</v>
      </c>
      <c r="C41" s="115">
        <f>C42</f>
        <v>625</v>
      </c>
      <c r="D41" s="115">
        <f>D42</f>
        <v>625</v>
      </c>
      <c r="E41" s="123">
        <f>E42</f>
        <v>0</v>
      </c>
    </row>
    <row r="42" spans="1:6" s="9" customFormat="1" ht="29.95" customHeight="1">
      <c r="A42" s="118">
        <v>625</v>
      </c>
      <c r="B42" s="119" t="s">
        <v>496</v>
      </c>
      <c r="C42" s="120">
        <v>625</v>
      </c>
      <c r="D42" s="120">
        <v>625</v>
      </c>
      <c r="E42" s="131">
        <f>C42-D42</f>
        <v>0</v>
      </c>
    </row>
    <row r="43" spans="1:6" s="30" customFormat="1" ht="29.95" customHeight="1">
      <c r="A43" s="113">
        <v>4584</v>
      </c>
      <c r="B43" s="117" t="s">
        <v>497</v>
      </c>
      <c r="C43" s="115">
        <f>C44</f>
        <v>4584</v>
      </c>
      <c r="D43" s="115">
        <f>+D44</f>
        <v>4584</v>
      </c>
      <c r="E43" s="123">
        <f>E44</f>
        <v>0</v>
      </c>
    </row>
    <row r="44" spans="1:6" s="9" customFormat="1" ht="29.95" customHeight="1">
      <c r="A44" s="118">
        <v>4584</v>
      </c>
      <c r="B44" s="119" t="s">
        <v>320</v>
      </c>
      <c r="C44" s="120">
        <v>4584</v>
      </c>
      <c r="D44" s="120">
        <v>4584</v>
      </c>
      <c r="E44" s="131">
        <f>C44-D44</f>
        <v>0</v>
      </c>
    </row>
    <row r="45" spans="1:6" s="30" customFormat="1" ht="29" customHeight="1">
      <c r="A45" s="132">
        <f>A46</f>
        <v>0</v>
      </c>
      <c r="B45" s="117" t="s">
        <v>387</v>
      </c>
      <c r="C45" s="128">
        <f>C46</f>
        <v>0</v>
      </c>
      <c r="D45" s="128">
        <f>D46</f>
        <v>0</v>
      </c>
      <c r="E45" s="123">
        <f>E46</f>
        <v>0</v>
      </c>
    </row>
    <row r="46" spans="1:6" s="9" customFormat="1" ht="44.2" customHeight="1">
      <c r="A46" s="129">
        <v>0</v>
      </c>
      <c r="B46" s="119" t="s">
        <v>26</v>
      </c>
      <c r="C46" s="130">
        <v>0</v>
      </c>
      <c r="D46" s="130">
        <v>0</v>
      </c>
      <c r="E46" s="131">
        <v>0</v>
      </c>
    </row>
    <row r="47" spans="1:6" s="915" customFormat="1" ht="32.4" customHeight="1">
      <c r="A47" s="129"/>
      <c r="B47" s="119"/>
      <c r="C47" s="130"/>
      <c r="D47" s="130"/>
      <c r="E47" s="131"/>
    </row>
    <row r="48" spans="1:6" s="30" customFormat="1" ht="38.450000000000003" customHeight="1" thickBot="1">
      <c r="A48" s="124">
        <v>1056663374</v>
      </c>
      <c r="B48" s="125" t="s">
        <v>36</v>
      </c>
      <c r="C48" s="126">
        <f>C30+C40</f>
        <v>1035646779</v>
      </c>
      <c r="D48" s="126">
        <f>D30+D40</f>
        <v>1050864047</v>
      </c>
      <c r="E48" s="127">
        <f>E30+E40</f>
        <v>-15217268</v>
      </c>
      <c r="F48" s="765"/>
    </row>
    <row r="49" spans="1:5" s="200" customFormat="1" ht="26.35" customHeight="1">
      <c r="A49" s="1470" t="s">
        <v>937</v>
      </c>
      <c r="B49" s="1470"/>
      <c r="C49" s="1470"/>
      <c r="D49" s="1470"/>
      <c r="E49" s="1470"/>
    </row>
    <row r="50" spans="1:5" ht="6.55" customHeight="1">
      <c r="A50" s="1468" t="s">
        <v>540</v>
      </c>
      <c r="B50" s="1469"/>
      <c r="C50" s="1469"/>
      <c r="D50" s="1469"/>
      <c r="E50" s="1469"/>
    </row>
  </sheetData>
  <mergeCells count="11">
    <mergeCell ref="A50:E50"/>
    <mergeCell ref="A49:E49"/>
    <mergeCell ref="A1:E1"/>
    <mergeCell ref="A5:A7"/>
    <mergeCell ref="B5:B7"/>
    <mergeCell ref="E5:E7"/>
    <mergeCell ref="C5:C7"/>
    <mergeCell ref="D5:D7"/>
    <mergeCell ref="A4:E4"/>
    <mergeCell ref="A3:E3"/>
    <mergeCell ref="A2:E2"/>
  </mergeCells>
  <phoneticPr fontId="5" type="noConversion"/>
  <printOptions horizontalCentered="1"/>
  <pageMargins left="0.59055118110236227" right="0.59055118110236227" top="0.59055118110236227" bottom="0.78740157480314965" header="0.51181102362204722" footer="0.51181102362204722"/>
  <pageSetup paperSize="9" firstPageNumber="49" orientation="portrait" useFirstPageNumber="1" r:id="rId1"/>
  <headerFooter alignWithMargins="0">
    <oddFooter>&amp;C&amp;"Times New Roman,標準"&amp;P</oddFooter>
  </headerFooter>
  <rowBreaks count="1" manualBreakCount="1">
    <brk id="29" max="16383" man="1"/>
  </rowBreaks>
  <legacy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FFC000"/>
  </sheetPr>
  <dimension ref="A1:F43"/>
  <sheetViews>
    <sheetView view="pageBreakPreview" topLeftCell="A4" zoomScaleNormal="100" zoomScaleSheetLayoutView="100" workbookViewId="0">
      <selection activeCell="I15" sqref="I15"/>
    </sheetView>
  </sheetViews>
  <sheetFormatPr defaultColWidth="9" defaultRowHeight="15.05"/>
  <cols>
    <col min="1" max="1" width="22.75" style="2" bestFit="1" customWidth="1"/>
    <col min="2" max="2" width="5.25" style="56" customWidth="1"/>
    <col min="3" max="3" width="9.25" style="2" bestFit="1" customWidth="1"/>
    <col min="4" max="4" width="12.625" style="2" customWidth="1"/>
    <col min="5" max="5" width="17.125" style="2" customWidth="1"/>
    <col min="6" max="6" width="23.25" style="2" customWidth="1"/>
    <col min="7" max="16384" width="9" style="2"/>
  </cols>
  <sheetData>
    <row r="1" spans="1:6" ht="22.25">
      <c r="A1" s="1266" t="s">
        <v>59</v>
      </c>
      <c r="B1" s="1266"/>
      <c r="C1" s="1266"/>
      <c r="D1" s="1266"/>
      <c r="E1" s="1266"/>
      <c r="F1" s="1266"/>
    </row>
    <row r="2" spans="1:6" ht="22.25">
      <c r="A2" s="1266" t="s">
        <v>60</v>
      </c>
      <c r="B2" s="1266"/>
      <c r="C2" s="1266"/>
      <c r="D2" s="1266"/>
      <c r="E2" s="1266"/>
      <c r="F2" s="1266"/>
    </row>
    <row r="3" spans="1:6" ht="24.9" customHeight="1">
      <c r="A3" s="1268" t="s">
        <v>1</v>
      </c>
      <c r="B3" s="1268"/>
      <c r="C3" s="1268"/>
      <c r="D3" s="1268"/>
      <c r="E3" s="1268"/>
      <c r="F3" s="1268"/>
    </row>
    <row r="4" spans="1:6" ht="24.9" customHeight="1" thickBot="1">
      <c r="A4" s="1336" t="s">
        <v>1764</v>
      </c>
      <c r="B4" s="1270"/>
      <c r="C4" s="1270"/>
      <c r="D4" s="1270"/>
      <c r="E4" s="1270"/>
      <c r="F4" s="1270"/>
    </row>
    <row r="5" spans="1:6" ht="51.05" customHeight="1">
      <c r="A5" s="410" t="s">
        <v>107</v>
      </c>
      <c r="B5" s="403" t="s">
        <v>84</v>
      </c>
      <c r="C5" s="383" t="s">
        <v>108</v>
      </c>
      <c r="D5" s="411" t="s">
        <v>109</v>
      </c>
      <c r="E5" s="762" t="s">
        <v>560</v>
      </c>
      <c r="F5" s="412" t="s">
        <v>104</v>
      </c>
    </row>
    <row r="6" spans="1:6" ht="4.5999999999999996" customHeight="1">
      <c r="A6" s="7"/>
      <c r="B6" s="385"/>
      <c r="C6" s="385"/>
      <c r="D6" s="385"/>
      <c r="E6" s="385"/>
      <c r="F6" s="405"/>
    </row>
    <row r="7" spans="1:6" s="30" customFormat="1" ht="18.850000000000001" customHeight="1">
      <c r="A7" s="445" t="s">
        <v>3</v>
      </c>
      <c r="B7" s="63"/>
      <c r="C7" s="64"/>
      <c r="D7" s="64"/>
      <c r="E7" s="27">
        <f>E8</f>
        <v>558596726</v>
      </c>
      <c r="F7" s="76"/>
    </row>
    <row r="8" spans="1:6" s="9" customFormat="1" ht="19" customHeight="1">
      <c r="A8" s="446" t="s">
        <v>498</v>
      </c>
      <c r="B8" s="33"/>
      <c r="C8" s="69"/>
      <c r="D8" s="69"/>
      <c r="E8" s="31">
        <f>SUM(E9:E13)</f>
        <v>558596726</v>
      </c>
      <c r="F8" s="65"/>
    </row>
    <row r="9" spans="1:6" s="9" customFormat="1" ht="19" customHeight="1">
      <c r="A9" s="446" t="s">
        <v>499</v>
      </c>
      <c r="B9" s="33"/>
      <c r="C9" s="69"/>
      <c r="D9" s="69"/>
      <c r="E9" s="31">
        <v>520975856</v>
      </c>
      <c r="F9" s="65"/>
    </row>
    <row r="10" spans="1:6" s="9" customFormat="1" ht="19" customHeight="1">
      <c r="A10" s="446" t="s">
        <v>500</v>
      </c>
      <c r="B10" s="33"/>
      <c r="C10" s="67"/>
      <c r="D10" s="69"/>
      <c r="E10" s="31">
        <v>23777464</v>
      </c>
      <c r="F10" s="65"/>
    </row>
    <row r="11" spans="1:6" s="9" customFormat="1" ht="19" customHeight="1">
      <c r="A11" s="446" t="s">
        <v>723</v>
      </c>
      <c r="B11" s="33"/>
      <c r="C11" s="69"/>
      <c r="D11" s="69"/>
      <c r="E11" s="66">
        <v>6752689</v>
      </c>
      <c r="F11" s="65"/>
    </row>
    <row r="12" spans="1:6" s="1029" customFormat="1" ht="19" customHeight="1">
      <c r="A12" s="446" t="s">
        <v>502</v>
      </c>
      <c r="B12" s="33"/>
      <c r="C12" s="69"/>
      <c r="D12" s="69"/>
      <c r="E12" s="66">
        <v>171207</v>
      </c>
      <c r="F12" s="65"/>
    </row>
    <row r="13" spans="1:6" s="9" customFormat="1" ht="19" customHeight="1">
      <c r="A13" s="446" t="s">
        <v>1121</v>
      </c>
      <c r="B13" s="33"/>
      <c r="C13" s="69"/>
      <c r="D13" s="69"/>
      <c r="E13" s="66">
        <f>'收支餘絀預計表-總'!D84</f>
        <v>6919510</v>
      </c>
      <c r="F13" s="65"/>
    </row>
    <row r="14" spans="1:6" s="9" customFormat="1" ht="8.0500000000000007" customHeight="1">
      <c r="A14" s="446"/>
      <c r="B14" s="63"/>
      <c r="C14" s="64"/>
      <c r="D14" s="64"/>
      <c r="E14" s="77"/>
      <c r="F14" s="65"/>
    </row>
    <row r="15" spans="1:6" s="30" customFormat="1" ht="19" customHeight="1">
      <c r="A15" s="445" t="s">
        <v>35</v>
      </c>
      <c r="B15" s="63"/>
      <c r="C15" s="77"/>
      <c r="D15" s="64"/>
      <c r="E15" s="27">
        <f>E16</f>
        <v>522018918</v>
      </c>
      <c r="F15" s="76"/>
    </row>
    <row r="16" spans="1:6" s="9" customFormat="1" ht="19" customHeight="1">
      <c r="A16" s="446" t="s">
        <v>498</v>
      </c>
      <c r="B16" s="33"/>
      <c r="C16" s="69"/>
      <c r="D16" s="69"/>
      <c r="E16" s="31">
        <f>SUM(E17:E20)</f>
        <v>522018918</v>
      </c>
      <c r="F16" s="65"/>
    </row>
    <row r="17" spans="1:6" s="9" customFormat="1" ht="19" customHeight="1">
      <c r="A17" s="446" t="s">
        <v>499</v>
      </c>
      <c r="B17" s="33"/>
      <c r="C17" s="69"/>
      <c r="D17" s="69"/>
      <c r="E17" s="31">
        <v>491651979</v>
      </c>
      <c r="F17" s="65"/>
    </row>
    <row r="18" spans="1:6" s="9" customFormat="1" ht="19" customHeight="1">
      <c r="A18" s="446" t="s">
        <v>500</v>
      </c>
      <c r="B18" s="33"/>
      <c r="C18" s="67"/>
      <c r="D18" s="69"/>
      <c r="E18" s="31">
        <v>22823256</v>
      </c>
      <c r="F18" s="65"/>
    </row>
    <row r="19" spans="1:6" s="9" customFormat="1" ht="19" customHeight="1">
      <c r="A19" s="446" t="s">
        <v>879</v>
      </c>
      <c r="B19" s="33"/>
      <c r="C19" s="69"/>
      <c r="D19" s="69"/>
      <c r="E19" s="66">
        <v>6916286</v>
      </c>
      <c r="F19" s="65"/>
    </row>
    <row r="20" spans="1:6" s="9" customFormat="1" ht="19" customHeight="1">
      <c r="A20" s="446" t="s">
        <v>502</v>
      </c>
      <c r="B20" s="33"/>
      <c r="C20" s="69"/>
      <c r="D20" s="69"/>
      <c r="E20" s="66">
        <v>627397</v>
      </c>
      <c r="F20" s="65"/>
    </row>
    <row r="21" spans="1:6" s="9" customFormat="1" ht="8.0500000000000007" customHeight="1">
      <c r="A21" s="139"/>
      <c r="B21" s="33"/>
      <c r="C21" s="67"/>
      <c r="D21" s="64"/>
      <c r="E21" s="66"/>
      <c r="F21" s="65"/>
    </row>
    <row r="22" spans="1:6" s="30" customFormat="1" ht="19" customHeight="1">
      <c r="A22" s="445" t="s">
        <v>2</v>
      </c>
      <c r="B22" s="63"/>
      <c r="C22" s="64"/>
      <c r="D22" s="64"/>
      <c r="E22" s="27">
        <f>E23</f>
        <v>486815589</v>
      </c>
      <c r="F22" s="76"/>
    </row>
    <row r="23" spans="1:6" s="9" customFormat="1" ht="19" customHeight="1">
      <c r="A23" s="446" t="s">
        <v>498</v>
      </c>
      <c r="B23" s="33"/>
      <c r="C23" s="69"/>
      <c r="D23" s="69"/>
      <c r="E23" s="31">
        <f>SUM(E24:E27)</f>
        <v>486815589</v>
      </c>
      <c r="F23" s="65"/>
    </row>
    <row r="24" spans="1:6" s="9" customFormat="1" ht="19" customHeight="1">
      <c r="A24" s="446" t="s">
        <v>499</v>
      </c>
      <c r="B24" s="33"/>
      <c r="C24" s="69"/>
      <c r="D24" s="69"/>
      <c r="E24" s="78">
        <v>456241973</v>
      </c>
      <c r="F24" s="65"/>
    </row>
    <row r="25" spans="1:6" s="9" customFormat="1" ht="19" customHeight="1">
      <c r="A25" s="446" t="s">
        <v>500</v>
      </c>
      <c r="B25" s="33"/>
      <c r="C25" s="69"/>
      <c r="D25" s="69"/>
      <c r="E25" s="78">
        <v>23106476</v>
      </c>
      <c r="F25" s="65"/>
    </row>
    <row r="26" spans="1:6" s="9" customFormat="1" ht="19" customHeight="1">
      <c r="A26" s="446" t="s">
        <v>723</v>
      </c>
      <c r="B26" s="33"/>
      <c r="C26" s="69"/>
      <c r="D26" s="69"/>
      <c r="E26" s="78">
        <v>6940840</v>
      </c>
      <c r="F26" s="65"/>
    </row>
    <row r="27" spans="1:6" s="9" customFormat="1" ht="19" customHeight="1">
      <c r="A27" s="446" t="s">
        <v>502</v>
      </c>
      <c r="B27" s="33"/>
      <c r="C27" s="69"/>
      <c r="D27" s="69"/>
      <c r="E27" s="78">
        <v>526300</v>
      </c>
      <c r="F27" s="65"/>
    </row>
    <row r="28" spans="1:6" s="9" customFormat="1" ht="8.0500000000000007" customHeight="1">
      <c r="A28" s="445"/>
      <c r="B28" s="33"/>
      <c r="C28" s="69"/>
      <c r="D28" s="69"/>
      <c r="E28" s="79"/>
      <c r="F28" s="65"/>
    </row>
    <row r="29" spans="1:6" s="30" customFormat="1" ht="19" customHeight="1">
      <c r="A29" s="445" t="s">
        <v>910</v>
      </c>
      <c r="B29" s="63"/>
      <c r="C29" s="64"/>
      <c r="D29" s="64"/>
      <c r="E29" s="27">
        <f>E30</f>
        <v>450783076</v>
      </c>
      <c r="F29" s="76"/>
    </row>
    <row r="30" spans="1:6" s="9" customFormat="1" ht="19" customHeight="1">
      <c r="A30" s="446" t="s">
        <v>498</v>
      </c>
      <c r="B30" s="33"/>
      <c r="C30" s="69"/>
      <c r="D30" s="69"/>
      <c r="E30" s="31">
        <f>SUM(E31:E34)</f>
        <v>450783076</v>
      </c>
      <c r="F30" s="65"/>
    </row>
    <row r="31" spans="1:6" s="9" customFormat="1" ht="19" customHeight="1">
      <c r="A31" s="446" t="s">
        <v>499</v>
      </c>
      <c r="B31" s="33"/>
      <c r="C31" s="69"/>
      <c r="D31" s="69"/>
      <c r="E31" s="78">
        <v>422565841</v>
      </c>
      <c r="F31" s="65"/>
    </row>
    <row r="32" spans="1:6" s="9" customFormat="1" ht="19" customHeight="1">
      <c r="A32" s="446" t="s">
        <v>500</v>
      </c>
      <c r="B32" s="33"/>
      <c r="C32" s="69"/>
      <c r="D32" s="69"/>
      <c r="E32" s="78">
        <v>20300207</v>
      </c>
      <c r="F32" s="65"/>
    </row>
    <row r="33" spans="1:6" s="9" customFormat="1" ht="19" customHeight="1">
      <c r="A33" s="446" t="s">
        <v>501</v>
      </c>
      <c r="B33" s="33"/>
      <c r="C33" s="69"/>
      <c r="D33" s="69"/>
      <c r="E33" s="78">
        <v>7383282</v>
      </c>
      <c r="F33" s="65"/>
    </row>
    <row r="34" spans="1:6" s="9" customFormat="1" ht="19" customHeight="1">
      <c r="A34" s="446" t="s">
        <v>502</v>
      </c>
      <c r="B34" s="33"/>
      <c r="C34" s="69"/>
      <c r="D34" s="69"/>
      <c r="E34" s="78">
        <v>533746</v>
      </c>
      <c r="F34" s="65"/>
    </row>
    <row r="35" spans="1:6" s="9" customFormat="1" ht="8.0500000000000007" customHeight="1">
      <c r="A35" s="445"/>
      <c r="B35" s="33"/>
      <c r="C35" s="69"/>
      <c r="D35" s="69"/>
      <c r="E35" s="79"/>
      <c r="F35" s="65"/>
    </row>
    <row r="36" spans="1:6" s="30" customFormat="1" ht="19" customHeight="1">
      <c r="A36" s="733" t="s">
        <v>909</v>
      </c>
      <c r="B36" s="63"/>
      <c r="C36" s="64"/>
      <c r="D36" s="64"/>
      <c r="E36" s="27">
        <v>423404481</v>
      </c>
      <c r="F36" s="76"/>
    </row>
    <row r="37" spans="1:6" s="9" customFormat="1" ht="18" customHeight="1">
      <c r="A37" s="446" t="s">
        <v>498</v>
      </c>
      <c r="B37" s="33"/>
      <c r="C37" s="69"/>
      <c r="D37" s="69"/>
      <c r="E37" s="31">
        <v>423404481</v>
      </c>
      <c r="F37" s="65"/>
    </row>
    <row r="38" spans="1:6" s="9" customFormat="1" ht="20.95" customHeight="1">
      <c r="A38" s="446" t="s">
        <v>499</v>
      </c>
      <c r="B38" s="33"/>
      <c r="C38" s="69"/>
      <c r="D38" s="69"/>
      <c r="E38" s="78">
        <v>396271221</v>
      </c>
      <c r="F38" s="65"/>
    </row>
    <row r="39" spans="1:6" s="9" customFormat="1" ht="20.95" customHeight="1">
      <c r="A39" s="446" t="s">
        <v>500</v>
      </c>
      <c r="B39" s="33"/>
      <c r="C39" s="69"/>
      <c r="D39" s="69"/>
      <c r="E39" s="78">
        <v>19252036</v>
      </c>
      <c r="F39" s="65"/>
    </row>
    <row r="40" spans="1:6" s="9" customFormat="1" ht="21.6" customHeight="1">
      <c r="A40" s="446" t="s">
        <v>501</v>
      </c>
      <c r="B40" s="33"/>
      <c r="C40" s="69"/>
      <c r="D40" s="69"/>
      <c r="E40" s="78">
        <v>7378009</v>
      </c>
      <c r="F40" s="65"/>
    </row>
    <row r="41" spans="1:6" s="9" customFormat="1" ht="24.25" customHeight="1" thickBot="1">
      <c r="A41" s="448" t="s">
        <v>502</v>
      </c>
      <c r="B41" s="70"/>
      <c r="C41" s="71"/>
      <c r="D41" s="71"/>
      <c r="E41" s="293">
        <v>503215</v>
      </c>
      <c r="F41" s="72"/>
    </row>
    <row r="42" spans="1:6" s="9" customFormat="1" ht="2.95" hidden="1" customHeight="1" thickBot="1">
      <c r="A42" s="197"/>
      <c r="B42" s="70"/>
      <c r="C42" s="71"/>
      <c r="D42" s="71"/>
      <c r="E42" s="293"/>
      <c r="F42" s="72"/>
    </row>
    <row r="43" spans="1:6" s="9" customFormat="1" ht="18.850000000000001" customHeight="1">
      <c r="A43" s="295"/>
      <c r="B43" s="294"/>
      <c r="C43" s="295"/>
      <c r="D43" s="295"/>
      <c r="E43" s="296"/>
      <c r="F43" s="295"/>
    </row>
  </sheetData>
  <mergeCells count="4">
    <mergeCell ref="A1:F1"/>
    <mergeCell ref="A2:F2"/>
    <mergeCell ref="A3:F3"/>
    <mergeCell ref="A4:F4"/>
  </mergeCells>
  <phoneticPr fontId="5" type="noConversion"/>
  <printOptions horizontalCentered="1"/>
  <pageMargins left="0.59055118110236227" right="0.59055118110236227" top="0.59055118110236227" bottom="0.78740157480314965" header="0.51181102362204722" footer="0.51181102362204722"/>
  <pageSetup paperSize="9" firstPageNumber="51" orientation="portrait" useFirstPageNumber="1" r:id="rId1"/>
  <headerFooter alignWithMargins="0">
    <oddFooter>&amp;C&amp;"Times New Roman,標準"&amp;P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F23"/>
  <sheetViews>
    <sheetView view="pageBreakPreview" zoomScale="60" zoomScaleNormal="130" workbookViewId="0">
      <selection activeCell="I15" sqref="I15"/>
    </sheetView>
  </sheetViews>
  <sheetFormatPr defaultColWidth="9" defaultRowHeight="15.05"/>
  <cols>
    <col min="1" max="1" width="24.75" style="2" customWidth="1"/>
    <col min="2" max="4" width="16.375" style="2" customWidth="1"/>
    <col min="5" max="5" width="19.875" style="2" customWidth="1"/>
    <col min="6" max="16384" width="9" style="2"/>
  </cols>
  <sheetData>
    <row r="1" spans="1:6" ht="20.95" customHeight="1">
      <c r="A1" s="1266" t="s">
        <v>59</v>
      </c>
      <c r="B1" s="1266"/>
      <c r="C1" s="1266"/>
      <c r="D1" s="1266"/>
      <c r="E1" s="1266"/>
      <c r="F1" s="145"/>
    </row>
    <row r="2" spans="1:6" ht="20.95" customHeight="1">
      <c r="A2" s="1266" t="s">
        <v>60</v>
      </c>
      <c r="B2" s="1266"/>
      <c r="C2" s="1266"/>
      <c r="D2" s="1266"/>
      <c r="E2" s="1266"/>
      <c r="F2" s="145"/>
    </row>
    <row r="3" spans="1:6" ht="24.9" customHeight="1">
      <c r="A3" s="1267" t="s">
        <v>1715</v>
      </c>
      <c r="B3" s="1268"/>
      <c r="C3" s="1268"/>
      <c r="D3" s="1268"/>
      <c r="E3" s="1268"/>
    </row>
    <row r="4" spans="1:6" ht="24.9" customHeight="1" thickBot="1">
      <c r="A4" s="1487" t="s">
        <v>1765</v>
      </c>
      <c r="B4" s="1287"/>
      <c r="C4" s="1287"/>
      <c r="D4" s="1287"/>
      <c r="E4" s="1287"/>
      <c r="F4" s="4"/>
    </row>
    <row r="5" spans="1:6" ht="24.75" customHeight="1">
      <c r="A5" s="1488" t="s">
        <v>1149</v>
      </c>
      <c r="B5" s="1107" t="s">
        <v>1150</v>
      </c>
      <c r="C5" s="1490" t="s">
        <v>1151</v>
      </c>
      <c r="D5" s="1107" t="s">
        <v>1152</v>
      </c>
      <c r="E5" s="1492" t="s">
        <v>1153</v>
      </c>
    </row>
    <row r="6" spans="1:6" ht="24.9" customHeight="1">
      <c r="A6" s="1489"/>
      <c r="B6" s="1108" t="s">
        <v>1154</v>
      </c>
      <c r="C6" s="1491"/>
      <c r="D6" s="1109" t="s">
        <v>1154</v>
      </c>
      <c r="E6" s="1493"/>
    </row>
    <row r="7" spans="1:6" ht="29.95" customHeight="1">
      <c r="A7" s="1110"/>
      <c r="B7" s="1111"/>
      <c r="C7" s="1111"/>
      <c r="D7" s="1111"/>
      <c r="E7" s="1483" t="s">
        <v>1653</v>
      </c>
    </row>
    <row r="8" spans="1:6" ht="29.95" customHeight="1">
      <c r="A8" s="1112"/>
      <c r="B8" s="1113"/>
      <c r="C8" s="1114"/>
      <c r="D8" s="1113"/>
      <c r="E8" s="1484"/>
    </row>
    <row r="9" spans="1:6" ht="29.95" customHeight="1">
      <c r="A9" s="1112"/>
      <c r="B9" s="1113"/>
      <c r="C9" s="1114"/>
      <c r="D9" s="1115"/>
      <c r="E9" s="1484"/>
    </row>
    <row r="10" spans="1:6" ht="29.95" customHeight="1">
      <c r="A10" s="1116"/>
      <c r="B10" s="1113"/>
      <c r="C10" s="1117"/>
      <c r="D10" s="1113"/>
      <c r="E10" s="1484"/>
    </row>
    <row r="11" spans="1:6" s="6" customFormat="1" ht="29.3" customHeight="1">
      <c r="A11" s="1112"/>
      <c r="B11" s="1113"/>
      <c r="C11" s="1118"/>
      <c r="D11" s="1119"/>
      <c r="E11" s="1484"/>
    </row>
    <row r="12" spans="1:6" ht="29.3" customHeight="1">
      <c r="A12" s="1112"/>
      <c r="B12" s="1120"/>
      <c r="C12" s="64"/>
      <c r="D12" s="31"/>
      <c r="E12" s="1484"/>
    </row>
    <row r="13" spans="1:6" ht="29.3" customHeight="1">
      <c r="A13" s="1112"/>
      <c r="B13" s="1120"/>
      <c r="C13" s="64"/>
      <c r="D13" s="31"/>
      <c r="E13" s="1484"/>
    </row>
    <row r="14" spans="1:6" ht="29.3" customHeight="1">
      <c r="A14" s="1112"/>
      <c r="B14" s="1120"/>
      <c r="C14" s="64"/>
      <c r="D14" s="31"/>
      <c r="E14" s="1484"/>
    </row>
    <row r="15" spans="1:6" ht="29.3" customHeight="1">
      <c r="A15" s="1112"/>
      <c r="B15" s="1113"/>
      <c r="C15" s="1113"/>
      <c r="D15" s="1113"/>
      <c r="E15" s="1484"/>
    </row>
    <row r="16" spans="1:6" ht="29.3" customHeight="1">
      <c r="A16" s="1112"/>
      <c r="B16" s="1120"/>
      <c r="C16" s="64"/>
      <c r="D16" s="186"/>
      <c r="E16" s="1484"/>
    </row>
    <row r="17" spans="1:5" ht="29.3" customHeight="1">
      <c r="A17" s="1112"/>
      <c r="B17" s="1120"/>
      <c r="C17" s="64"/>
      <c r="D17" s="186"/>
      <c r="E17" s="1484"/>
    </row>
    <row r="18" spans="1:5" ht="30.8" customHeight="1">
      <c r="A18" s="1112"/>
      <c r="B18" s="1120"/>
      <c r="C18" s="64"/>
      <c r="D18" s="186"/>
      <c r="E18" s="1484"/>
    </row>
    <row r="19" spans="1:5" ht="29.3" customHeight="1">
      <c r="A19" s="1112"/>
      <c r="B19" s="1121"/>
      <c r="C19" s="64"/>
      <c r="D19" s="186"/>
      <c r="E19" s="1484"/>
    </row>
    <row r="20" spans="1:5" ht="59.4" customHeight="1">
      <c r="A20" s="1112"/>
      <c r="B20" s="1121"/>
      <c r="C20" s="64"/>
      <c r="D20" s="186"/>
      <c r="E20" s="1484"/>
    </row>
    <row r="21" spans="1:5" ht="92" customHeight="1">
      <c r="A21" s="1112"/>
      <c r="B21" s="1121"/>
      <c r="C21" s="64"/>
      <c r="D21" s="186"/>
      <c r="E21" s="65"/>
    </row>
    <row r="22" spans="1:5" ht="36" customHeight="1" thickBot="1">
      <c r="A22" s="1122" t="s">
        <v>1525</v>
      </c>
      <c r="B22" s="1123"/>
      <c r="C22" s="1123"/>
      <c r="D22" s="1123"/>
      <c r="E22" s="1124"/>
    </row>
    <row r="23" spans="1:5" ht="59.4" customHeight="1">
      <c r="A23" s="1485" t="s">
        <v>1646</v>
      </c>
      <c r="B23" s="1486"/>
      <c r="C23" s="1486"/>
      <c r="D23" s="1486"/>
      <c r="E23" s="1486"/>
    </row>
  </sheetData>
  <mergeCells count="9">
    <mergeCell ref="E7:E20"/>
    <mergeCell ref="A23:E23"/>
    <mergeCell ref="A1:E1"/>
    <mergeCell ref="A2:E2"/>
    <mergeCell ref="A3:E3"/>
    <mergeCell ref="A4:E4"/>
    <mergeCell ref="A5:A6"/>
    <mergeCell ref="C5:C6"/>
    <mergeCell ref="E5:E6"/>
  </mergeCells>
  <phoneticPr fontId="5" type="noConversion"/>
  <printOptions horizontalCentered="1"/>
  <pageMargins left="0.47244094488188981" right="0.39370078740157483" top="0.59055118110236227" bottom="0.78740157480314965" header="0.51181102362204722" footer="0.51181102362204722"/>
  <pageSetup paperSize="9" firstPageNumber="52" orientation="portrait" useFirstPageNumber="1" r:id="rId1"/>
  <headerFooter alignWithMargins="0">
    <oddFooter>&amp;C&amp;"Times New Roman,標準"&amp;P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T24"/>
  <sheetViews>
    <sheetView view="pageBreakPreview" topLeftCell="A13" zoomScale="93" zoomScaleNormal="85" zoomScaleSheetLayoutView="93" workbookViewId="0">
      <selection activeCell="I15" sqref="I15"/>
    </sheetView>
  </sheetViews>
  <sheetFormatPr defaultColWidth="9" defaultRowHeight="15.05"/>
  <cols>
    <col min="1" max="1" width="17.25" style="12" customWidth="1"/>
    <col min="2" max="4" width="8.75" style="12" customWidth="1"/>
    <col min="5" max="6" width="7.875" style="12" customWidth="1"/>
    <col min="7" max="7" width="8.75" style="12" customWidth="1"/>
    <col min="8" max="9" width="8.375" style="12" customWidth="1"/>
    <col min="10" max="10" width="7.875" style="12" customWidth="1"/>
    <col min="11" max="16384" width="9" style="12"/>
  </cols>
  <sheetData>
    <row r="1" spans="1:10" ht="22.25">
      <c r="A1" s="1421" t="s">
        <v>59</v>
      </c>
      <c r="B1" s="1266"/>
      <c r="C1" s="1266"/>
      <c r="D1" s="1266"/>
      <c r="E1" s="1266"/>
      <c r="F1" s="1266"/>
      <c r="G1" s="1266"/>
      <c r="H1" s="1266"/>
      <c r="I1" s="1266"/>
      <c r="J1" s="1266"/>
    </row>
    <row r="2" spans="1:10" ht="22.25">
      <c r="A2" s="1421" t="s">
        <v>60</v>
      </c>
      <c r="B2" s="1266"/>
      <c r="C2" s="1266"/>
      <c r="D2" s="1266"/>
      <c r="E2" s="1266"/>
      <c r="F2" s="1266"/>
      <c r="G2" s="1266"/>
      <c r="H2" s="1266"/>
      <c r="I2" s="1266"/>
      <c r="J2" s="1266"/>
    </row>
    <row r="3" spans="1:10" ht="25.55">
      <c r="A3" s="1267" t="s">
        <v>1716</v>
      </c>
      <c r="B3" s="1267"/>
      <c r="C3" s="1267"/>
      <c r="D3" s="1267"/>
      <c r="E3" s="1267"/>
      <c r="F3" s="1267"/>
      <c r="G3" s="1267"/>
      <c r="H3" s="1267"/>
      <c r="I3" s="1267"/>
      <c r="J3" s="1267"/>
    </row>
    <row r="4" spans="1:10" ht="17.05" thickBot="1">
      <c r="A4" s="1496" t="s">
        <v>1748</v>
      </c>
      <c r="B4" s="1450"/>
      <c r="C4" s="1450"/>
      <c r="D4" s="1450"/>
      <c r="E4" s="1450"/>
      <c r="F4" s="1450"/>
      <c r="G4" s="1450"/>
      <c r="H4" s="1450"/>
      <c r="I4" s="1450"/>
      <c r="J4" s="1450"/>
    </row>
    <row r="5" spans="1:10" ht="33.049999999999997" customHeight="1">
      <c r="A5" s="1220" t="s">
        <v>15</v>
      </c>
      <c r="B5" s="1219" t="s">
        <v>1155</v>
      </c>
      <c r="C5" s="1219" t="s">
        <v>1530</v>
      </c>
      <c r="D5" s="1219" t="s">
        <v>1156</v>
      </c>
      <c r="E5" s="1219" t="s">
        <v>1532</v>
      </c>
      <c r="F5" s="1219" t="s">
        <v>1531</v>
      </c>
      <c r="G5" s="789" t="s">
        <v>1157</v>
      </c>
      <c r="H5" s="1219" t="s">
        <v>1533</v>
      </c>
      <c r="I5" s="1219" t="s">
        <v>1534</v>
      </c>
      <c r="J5" s="1221" t="s">
        <v>1158</v>
      </c>
    </row>
    <row r="6" spans="1:10" ht="29.95" customHeight="1">
      <c r="A6" s="1139"/>
      <c r="B6" s="1111"/>
      <c r="C6" s="1111"/>
      <c r="D6" s="1111"/>
      <c r="E6" s="1111"/>
      <c r="F6" s="1111"/>
      <c r="G6" s="1111"/>
      <c r="H6" s="1111"/>
      <c r="I6" s="1111"/>
      <c r="J6" s="1138"/>
    </row>
    <row r="7" spans="1:10" ht="29.95" customHeight="1">
      <c r="A7" s="1127"/>
      <c r="B7" s="1125"/>
      <c r="C7" s="1125"/>
      <c r="D7" s="1125"/>
      <c r="E7" s="1125"/>
      <c r="F7" s="1125"/>
      <c r="G7" s="1125"/>
      <c r="H7" s="1125"/>
      <c r="I7" s="1125"/>
      <c r="J7" s="1126"/>
    </row>
    <row r="8" spans="1:10" ht="29.95" customHeight="1">
      <c r="A8" s="1127"/>
      <c r="B8" s="1125"/>
      <c r="C8" s="1125"/>
      <c r="D8" s="1125"/>
      <c r="E8" s="1125"/>
      <c r="F8" s="1125"/>
      <c r="G8" s="1125"/>
      <c r="H8" s="1125"/>
      <c r="I8" s="1125"/>
      <c r="J8" s="1126"/>
    </row>
    <row r="9" spans="1:10" ht="29.95" customHeight="1">
      <c r="A9" s="1128"/>
      <c r="B9" s="1129"/>
      <c r="C9" s="1129"/>
      <c r="D9" s="1129"/>
      <c r="E9" s="1129"/>
      <c r="F9" s="1129"/>
      <c r="G9" s="1129"/>
      <c r="H9" s="1129"/>
      <c r="I9" s="1129"/>
      <c r="J9" s="1130"/>
    </row>
    <row r="10" spans="1:10" ht="29.95" customHeight="1">
      <c r="A10" s="1128"/>
      <c r="B10" s="1129"/>
      <c r="C10" s="1129"/>
      <c r="D10" s="1129"/>
      <c r="E10" s="1129"/>
      <c r="F10" s="1129"/>
      <c r="G10" s="1129"/>
      <c r="H10" s="1129"/>
      <c r="I10" s="1129"/>
      <c r="J10" s="1130"/>
    </row>
    <row r="11" spans="1:10" ht="29.95" customHeight="1">
      <c r="A11" s="1128"/>
      <c r="B11" s="1131"/>
      <c r="C11" s="1131"/>
      <c r="D11" s="1129"/>
      <c r="E11" s="1129"/>
      <c r="F11" s="1129"/>
      <c r="G11" s="1129"/>
      <c r="H11" s="1129"/>
      <c r="I11" s="1129"/>
      <c r="J11" s="1130"/>
    </row>
    <row r="12" spans="1:10" ht="24.05" customHeight="1">
      <c r="A12" s="1128"/>
      <c r="B12" s="1129"/>
      <c r="C12" s="1129"/>
      <c r="D12" s="1129"/>
      <c r="E12" s="1129"/>
      <c r="F12" s="1129"/>
      <c r="G12" s="1129"/>
      <c r="H12" s="1129"/>
      <c r="I12" s="1129"/>
      <c r="J12" s="1130"/>
    </row>
    <row r="13" spans="1:10" ht="29.95" customHeight="1">
      <c r="A13" s="1128"/>
      <c r="B13" s="1129"/>
      <c r="C13" s="1129"/>
      <c r="D13" s="1129"/>
      <c r="E13" s="1129"/>
      <c r="F13" s="1129"/>
      <c r="G13" s="1129"/>
      <c r="H13" s="1129"/>
      <c r="I13" s="1129"/>
      <c r="J13" s="1130"/>
    </row>
    <row r="14" spans="1:10" ht="56.45" customHeight="1">
      <c r="A14" s="1128"/>
      <c r="B14" s="1129"/>
      <c r="C14" s="1129"/>
      <c r="D14" s="1129"/>
      <c r="E14" s="1129"/>
      <c r="F14" s="1129"/>
      <c r="G14" s="1129"/>
      <c r="H14" s="1129"/>
      <c r="I14" s="1129"/>
      <c r="J14" s="1130"/>
    </row>
    <row r="15" spans="1:10" ht="73.150000000000006" customHeight="1">
      <c r="A15" s="1128"/>
      <c r="B15" s="1131"/>
      <c r="C15" s="1131"/>
      <c r="D15" s="1129"/>
      <c r="E15" s="1129"/>
      <c r="F15" s="1129"/>
      <c r="G15" s="1129"/>
      <c r="H15" s="1129"/>
      <c r="I15" s="1129"/>
      <c r="J15" s="1130"/>
    </row>
    <row r="16" spans="1:10" ht="56.95" customHeight="1">
      <c r="A16" s="1128"/>
      <c r="B16" s="1129"/>
      <c r="C16" s="1129"/>
      <c r="D16" s="1129"/>
      <c r="E16" s="1129"/>
      <c r="F16" s="1129"/>
      <c r="G16" s="1129"/>
      <c r="H16" s="1129"/>
      <c r="I16" s="1129"/>
      <c r="J16" s="1130"/>
    </row>
    <row r="17" spans="1:20" ht="69.55" customHeight="1">
      <c r="A17" s="1128"/>
      <c r="B17" s="1125"/>
      <c r="C17" s="1125"/>
      <c r="D17" s="1125"/>
      <c r="E17" s="1125"/>
      <c r="F17" s="1125"/>
      <c r="G17" s="1125"/>
      <c r="H17" s="1125"/>
      <c r="I17" s="1125"/>
      <c r="J17" s="1126"/>
    </row>
    <row r="18" spans="1:20" ht="77.25" customHeight="1">
      <c r="A18" s="1128"/>
      <c r="B18" s="1129"/>
      <c r="C18" s="1129"/>
      <c r="D18" s="1129"/>
      <c r="E18" s="1129"/>
      <c r="F18" s="1129"/>
      <c r="G18" s="1129"/>
      <c r="H18" s="1129"/>
      <c r="I18" s="1129"/>
      <c r="J18" s="1130"/>
    </row>
    <row r="19" spans="1:20" ht="29.95" customHeight="1" thickBot="1">
      <c r="A19" s="1132" t="s">
        <v>1526</v>
      </c>
      <c r="B19" s="1140"/>
      <c r="C19" s="1140"/>
      <c r="D19" s="1140"/>
      <c r="E19" s="1140"/>
      <c r="F19" s="1140"/>
      <c r="G19" s="1140"/>
      <c r="H19" s="1140"/>
      <c r="I19" s="1140"/>
      <c r="J19" s="1141"/>
    </row>
    <row r="20" spans="1:20" s="1135" customFormat="1" ht="54.65" customHeight="1">
      <c r="A20" s="1494" t="s">
        <v>1772</v>
      </c>
      <c r="B20" s="1495"/>
      <c r="C20" s="1495"/>
      <c r="D20" s="1495"/>
      <c r="E20" s="1495"/>
      <c r="F20" s="1495"/>
      <c r="G20" s="1495"/>
      <c r="H20" s="1495"/>
      <c r="I20" s="1495"/>
      <c r="J20" s="1495"/>
      <c r="K20" s="1133"/>
      <c r="L20" s="1133"/>
      <c r="M20" s="1133"/>
      <c r="N20" s="1133"/>
      <c r="O20" s="1133"/>
      <c r="P20" s="1133"/>
      <c r="Q20" s="1133"/>
      <c r="R20" s="1134"/>
      <c r="S20" s="1134"/>
      <c r="T20" s="1134"/>
    </row>
    <row r="21" spans="1:20" s="1136" customFormat="1" ht="15.05" customHeight="1">
      <c r="A21" s="1133"/>
      <c r="B21" s="1133"/>
      <c r="C21" s="1133"/>
      <c r="D21" s="1133"/>
      <c r="E21" s="1133"/>
      <c r="F21" s="1133"/>
      <c r="G21" s="1133"/>
      <c r="H21" s="1133"/>
      <c r="I21" s="1133"/>
    </row>
    <row r="22" spans="1:20" s="1135" customFormat="1" ht="15.05" customHeight="1">
      <c r="A22" s="1137"/>
      <c r="B22" s="1137"/>
      <c r="C22" s="1137"/>
      <c r="D22" s="1137"/>
      <c r="E22" s="1137"/>
      <c r="F22" s="1137"/>
      <c r="G22" s="1137"/>
    </row>
    <row r="23" spans="1:20" ht="15.75" customHeight="1">
      <c r="A23" s="245"/>
      <c r="B23" s="245"/>
      <c r="C23" s="245"/>
      <c r="D23" s="245"/>
      <c r="E23" s="245"/>
      <c r="F23" s="245"/>
      <c r="G23" s="245"/>
    </row>
    <row r="24" spans="1:20">
      <c r="A24" s="2"/>
      <c r="B24" s="2"/>
      <c r="C24" s="2"/>
      <c r="D24" s="2"/>
      <c r="E24" s="2"/>
      <c r="F24" s="2"/>
      <c r="G24" s="2"/>
      <c r="H24" s="2"/>
      <c r="I24" s="2"/>
      <c r="J24" s="2"/>
    </row>
  </sheetData>
  <mergeCells count="5">
    <mergeCell ref="A20:J20"/>
    <mergeCell ref="A1:J1"/>
    <mergeCell ref="A2:J2"/>
    <mergeCell ref="A3:J3"/>
    <mergeCell ref="A4:J4"/>
  </mergeCells>
  <phoneticPr fontId="5" type="noConversion"/>
  <printOptions horizontalCentered="1"/>
  <pageMargins left="0.47244094488188981" right="0.39370078740157483" top="0.59055118110236227" bottom="0.78740157480314965" header="0.51181102362204722" footer="0.51181102362204722"/>
  <pageSetup paperSize="9" firstPageNumber="53" fitToHeight="0" orientation="portrait" useFirstPageNumber="1" r:id="rId1"/>
  <headerFooter>
    <oddFooter>&amp;C&amp;"Times New Roman,標準"&amp;P</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H20"/>
  <sheetViews>
    <sheetView view="pageBreakPreview" topLeftCell="C1" zoomScaleNormal="100" zoomScaleSheetLayoutView="100" workbookViewId="0">
      <selection activeCell="I15" sqref="I15"/>
    </sheetView>
  </sheetViews>
  <sheetFormatPr defaultColWidth="9" defaultRowHeight="16.399999999999999"/>
  <cols>
    <col min="1" max="1" width="14" hidden="1" customWidth="1"/>
    <col min="2" max="2" width="13.875" hidden="1" customWidth="1"/>
    <col min="3" max="3" width="34.875" style="12" customWidth="1"/>
    <col min="4" max="4" width="18.5" style="12" customWidth="1"/>
    <col min="5" max="5" width="2.5" style="12" customWidth="1"/>
    <col min="6" max="6" width="35.5" style="12" customWidth="1"/>
    <col min="7" max="257" width="9" style="12"/>
    <col min="258" max="258" width="14.625" style="12" customWidth="1"/>
    <col min="259" max="259" width="13.875" style="12" customWidth="1"/>
    <col min="260" max="260" width="26.125" style="12" customWidth="1"/>
    <col min="261" max="261" width="15.375" style="12" customWidth="1"/>
    <col min="262" max="262" width="24.125" style="12" customWidth="1"/>
    <col min="263" max="513" width="9" style="12"/>
    <col min="514" max="514" width="14.625" style="12" customWidth="1"/>
    <col min="515" max="515" width="13.875" style="12" customWidth="1"/>
    <col min="516" max="516" width="26.125" style="12" customWidth="1"/>
    <col min="517" max="517" width="15.375" style="12" customWidth="1"/>
    <col min="518" max="518" width="24.125" style="12" customWidth="1"/>
    <col min="519" max="769" width="9" style="12"/>
    <col min="770" max="770" width="14.625" style="12" customWidth="1"/>
    <col min="771" max="771" width="13.875" style="12" customWidth="1"/>
    <col min="772" max="772" width="26.125" style="12" customWidth="1"/>
    <col min="773" max="773" width="15.375" style="12" customWidth="1"/>
    <col min="774" max="774" width="24.125" style="12" customWidth="1"/>
    <col min="775" max="1025" width="9" style="12"/>
    <col min="1026" max="1026" width="14.625" style="12" customWidth="1"/>
    <col min="1027" max="1027" width="13.875" style="12" customWidth="1"/>
    <col min="1028" max="1028" width="26.125" style="12" customWidth="1"/>
    <col min="1029" max="1029" width="15.375" style="12" customWidth="1"/>
    <col min="1030" max="1030" width="24.125" style="12" customWidth="1"/>
    <col min="1031" max="1281" width="9" style="12"/>
    <col min="1282" max="1282" width="14.625" style="12" customWidth="1"/>
    <col min="1283" max="1283" width="13.875" style="12" customWidth="1"/>
    <col min="1284" max="1284" width="26.125" style="12" customWidth="1"/>
    <col min="1285" max="1285" width="15.375" style="12" customWidth="1"/>
    <col min="1286" max="1286" width="24.125" style="12" customWidth="1"/>
    <col min="1287" max="1537" width="9" style="12"/>
    <col min="1538" max="1538" width="14.625" style="12" customWidth="1"/>
    <col min="1539" max="1539" width="13.875" style="12" customWidth="1"/>
    <col min="1540" max="1540" width="26.125" style="12" customWidth="1"/>
    <col min="1541" max="1541" width="15.375" style="12" customWidth="1"/>
    <col min="1542" max="1542" width="24.125" style="12" customWidth="1"/>
    <col min="1543" max="1793" width="9" style="12"/>
    <col min="1794" max="1794" width="14.625" style="12" customWidth="1"/>
    <col min="1795" max="1795" width="13.875" style="12" customWidth="1"/>
    <col min="1796" max="1796" width="26.125" style="12" customWidth="1"/>
    <col min="1797" max="1797" width="15.375" style="12" customWidth="1"/>
    <col min="1798" max="1798" width="24.125" style="12" customWidth="1"/>
    <col min="1799" max="2049" width="9" style="12"/>
    <col min="2050" max="2050" width="14.625" style="12" customWidth="1"/>
    <col min="2051" max="2051" width="13.875" style="12" customWidth="1"/>
    <col min="2052" max="2052" width="26.125" style="12" customWidth="1"/>
    <col min="2053" max="2053" width="15.375" style="12" customWidth="1"/>
    <col min="2054" max="2054" width="24.125" style="12" customWidth="1"/>
    <col min="2055" max="2305" width="9" style="12"/>
    <col min="2306" max="2306" width="14.625" style="12" customWidth="1"/>
    <col min="2307" max="2307" width="13.875" style="12" customWidth="1"/>
    <col min="2308" max="2308" width="26.125" style="12" customWidth="1"/>
    <col min="2309" max="2309" width="15.375" style="12" customWidth="1"/>
    <col min="2310" max="2310" width="24.125" style="12" customWidth="1"/>
    <col min="2311" max="2561" width="9" style="12"/>
    <col min="2562" max="2562" width="14.625" style="12" customWidth="1"/>
    <col min="2563" max="2563" width="13.875" style="12" customWidth="1"/>
    <col min="2564" max="2564" width="26.125" style="12" customWidth="1"/>
    <col min="2565" max="2565" width="15.375" style="12" customWidth="1"/>
    <col min="2566" max="2566" width="24.125" style="12" customWidth="1"/>
    <col min="2567" max="2817" width="9" style="12"/>
    <col min="2818" max="2818" width="14.625" style="12" customWidth="1"/>
    <col min="2819" max="2819" width="13.875" style="12" customWidth="1"/>
    <col min="2820" max="2820" width="26.125" style="12" customWidth="1"/>
    <col min="2821" max="2821" width="15.375" style="12" customWidth="1"/>
    <col min="2822" max="2822" width="24.125" style="12" customWidth="1"/>
    <col min="2823" max="3073" width="9" style="12"/>
    <col min="3074" max="3074" width="14.625" style="12" customWidth="1"/>
    <col min="3075" max="3075" width="13.875" style="12" customWidth="1"/>
    <col min="3076" max="3076" width="26.125" style="12" customWidth="1"/>
    <col min="3077" max="3077" width="15.375" style="12" customWidth="1"/>
    <col min="3078" max="3078" width="24.125" style="12" customWidth="1"/>
    <col min="3079" max="3329" width="9" style="12"/>
    <col min="3330" max="3330" width="14.625" style="12" customWidth="1"/>
    <col min="3331" max="3331" width="13.875" style="12" customWidth="1"/>
    <col min="3332" max="3332" width="26.125" style="12" customWidth="1"/>
    <col min="3333" max="3333" width="15.375" style="12" customWidth="1"/>
    <col min="3334" max="3334" width="24.125" style="12" customWidth="1"/>
    <col min="3335" max="3585" width="9" style="12"/>
    <col min="3586" max="3586" width="14.625" style="12" customWidth="1"/>
    <col min="3587" max="3587" width="13.875" style="12" customWidth="1"/>
    <col min="3588" max="3588" width="26.125" style="12" customWidth="1"/>
    <col min="3589" max="3589" width="15.375" style="12" customWidth="1"/>
    <col min="3590" max="3590" width="24.125" style="12" customWidth="1"/>
    <col min="3591" max="3841" width="9" style="12"/>
    <col min="3842" max="3842" width="14.625" style="12" customWidth="1"/>
    <col min="3843" max="3843" width="13.875" style="12" customWidth="1"/>
    <col min="3844" max="3844" width="26.125" style="12" customWidth="1"/>
    <col min="3845" max="3845" width="15.375" style="12" customWidth="1"/>
    <col min="3846" max="3846" width="24.125" style="12" customWidth="1"/>
    <col min="3847" max="4097" width="9" style="12"/>
    <col min="4098" max="4098" width="14.625" style="12" customWidth="1"/>
    <col min="4099" max="4099" width="13.875" style="12" customWidth="1"/>
    <col min="4100" max="4100" width="26.125" style="12" customWidth="1"/>
    <col min="4101" max="4101" width="15.375" style="12" customWidth="1"/>
    <col min="4102" max="4102" width="24.125" style="12" customWidth="1"/>
    <col min="4103" max="4353" width="9" style="12"/>
    <col min="4354" max="4354" width="14.625" style="12" customWidth="1"/>
    <col min="4355" max="4355" width="13.875" style="12" customWidth="1"/>
    <col min="4356" max="4356" width="26.125" style="12" customWidth="1"/>
    <col min="4357" max="4357" width="15.375" style="12" customWidth="1"/>
    <col min="4358" max="4358" width="24.125" style="12" customWidth="1"/>
    <col min="4359" max="4609" width="9" style="12"/>
    <col min="4610" max="4610" width="14.625" style="12" customWidth="1"/>
    <col min="4611" max="4611" width="13.875" style="12" customWidth="1"/>
    <col min="4612" max="4612" width="26.125" style="12" customWidth="1"/>
    <col min="4613" max="4613" width="15.375" style="12" customWidth="1"/>
    <col min="4614" max="4614" width="24.125" style="12" customWidth="1"/>
    <col min="4615" max="4865" width="9" style="12"/>
    <col min="4866" max="4866" width="14.625" style="12" customWidth="1"/>
    <col min="4867" max="4867" width="13.875" style="12" customWidth="1"/>
    <col min="4868" max="4868" width="26.125" style="12" customWidth="1"/>
    <col min="4869" max="4869" width="15.375" style="12" customWidth="1"/>
    <col min="4870" max="4870" width="24.125" style="12" customWidth="1"/>
    <col min="4871" max="5121" width="9" style="12"/>
    <col min="5122" max="5122" width="14.625" style="12" customWidth="1"/>
    <col min="5123" max="5123" width="13.875" style="12" customWidth="1"/>
    <col min="5124" max="5124" width="26.125" style="12" customWidth="1"/>
    <col min="5125" max="5125" width="15.375" style="12" customWidth="1"/>
    <col min="5126" max="5126" width="24.125" style="12" customWidth="1"/>
    <col min="5127" max="5377" width="9" style="12"/>
    <col min="5378" max="5378" width="14.625" style="12" customWidth="1"/>
    <col min="5379" max="5379" width="13.875" style="12" customWidth="1"/>
    <col min="5380" max="5380" width="26.125" style="12" customWidth="1"/>
    <col min="5381" max="5381" width="15.375" style="12" customWidth="1"/>
    <col min="5382" max="5382" width="24.125" style="12" customWidth="1"/>
    <col min="5383" max="5633" width="9" style="12"/>
    <col min="5634" max="5634" width="14.625" style="12" customWidth="1"/>
    <col min="5635" max="5635" width="13.875" style="12" customWidth="1"/>
    <col min="5636" max="5636" width="26.125" style="12" customWidth="1"/>
    <col min="5637" max="5637" width="15.375" style="12" customWidth="1"/>
    <col min="5638" max="5638" width="24.125" style="12" customWidth="1"/>
    <col min="5639" max="5889" width="9" style="12"/>
    <col min="5890" max="5890" width="14.625" style="12" customWidth="1"/>
    <col min="5891" max="5891" width="13.875" style="12" customWidth="1"/>
    <col min="5892" max="5892" width="26.125" style="12" customWidth="1"/>
    <col min="5893" max="5893" width="15.375" style="12" customWidth="1"/>
    <col min="5894" max="5894" width="24.125" style="12" customWidth="1"/>
    <col min="5895" max="6145" width="9" style="12"/>
    <col min="6146" max="6146" width="14.625" style="12" customWidth="1"/>
    <col min="6147" max="6147" width="13.875" style="12" customWidth="1"/>
    <col min="6148" max="6148" width="26.125" style="12" customWidth="1"/>
    <col min="6149" max="6149" width="15.375" style="12" customWidth="1"/>
    <col min="6150" max="6150" width="24.125" style="12" customWidth="1"/>
    <col min="6151" max="6401" width="9" style="12"/>
    <col min="6402" max="6402" width="14.625" style="12" customWidth="1"/>
    <col min="6403" max="6403" width="13.875" style="12" customWidth="1"/>
    <col min="6404" max="6404" width="26.125" style="12" customWidth="1"/>
    <col min="6405" max="6405" width="15.375" style="12" customWidth="1"/>
    <col min="6406" max="6406" width="24.125" style="12" customWidth="1"/>
    <col min="6407" max="6657" width="9" style="12"/>
    <col min="6658" max="6658" width="14.625" style="12" customWidth="1"/>
    <col min="6659" max="6659" width="13.875" style="12" customWidth="1"/>
    <col min="6660" max="6660" width="26.125" style="12" customWidth="1"/>
    <col min="6661" max="6661" width="15.375" style="12" customWidth="1"/>
    <col min="6662" max="6662" width="24.125" style="12" customWidth="1"/>
    <col min="6663" max="6913" width="9" style="12"/>
    <col min="6914" max="6914" width="14.625" style="12" customWidth="1"/>
    <col min="6915" max="6915" width="13.875" style="12" customWidth="1"/>
    <col min="6916" max="6916" width="26.125" style="12" customWidth="1"/>
    <col min="6917" max="6917" width="15.375" style="12" customWidth="1"/>
    <col min="6918" max="6918" width="24.125" style="12" customWidth="1"/>
    <col min="6919" max="7169" width="9" style="12"/>
    <col min="7170" max="7170" width="14.625" style="12" customWidth="1"/>
    <col min="7171" max="7171" width="13.875" style="12" customWidth="1"/>
    <col min="7172" max="7172" width="26.125" style="12" customWidth="1"/>
    <col min="7173" max="7173" width="15.375" style="12" customWidth="1"/>
    <col min="7174" max="7174" width="24.125" style="12" customWidth="1"/>
    <col min="7175" max="7425" width="9" style="12"/>
    <col min="7426" max="7426" width="14.625" style="12" customWidth="1"/>
    <col min="7427" max="7427" width="13.875" style="12" customWidth="1"/>
    <col min="7428" max="7428" width="26.125" style="12" customWidth="1"/>
    <col min="7429" max="7429" width="15.375" style="12" customWidth="1"/>
    <col min="7430" max="7430" width="24.125" style="12" customWidth="1"/>
    <col min="7431" max="7681" width="9" style="12"/>
    <col min="7682" max="7682" width="14.625" style="12" customWidth="1"/>
    <col min="7683" max="7683" width="13.875" style="12" customWidth="1"/>
    <col min="7684" max="7684" width="26.125" style="12" customWidth="1"/>
    <col min="7685" max="7685" width="15.375" style="12" customWidth="1"/>
    <col min="7686" max="7686" width="24.125" style="12" customWidth="1"/>
    <col min="7687" max="7937" width="9" style="12"/>
    <col min="7938" max="7938" width="14.625" style="12" customWidth="1"/>
    <col min="7939" max="7939" width="13.875" style="12" customWidth="1"/>
    <col min="7940" max="7940" width="26.125" style="12" customWidth="1"/>
    <col min="7941" max="7941" width="15.375" style="12" customWidth="1"/>
    <col min="7942" max="7942" width="24.125" style="12" customWidth="1"/>
    <col min="7943" max="8193" width="9" style="12"/>
    <col min="8194" max="8194" width="14.625" style="12" customWidth="1"/>
    <col min="8195" max="8195" width="13.875" style="12" customWidth="1"/>
    <col min="8196" max="8196" width="26.125" style="12" customWidth="1"/>
    <col min="8197" max="8197" width="15.375" style="12" customWidth="1"/>
    <col min="8198" max="8198" width="24.125" style="12" customWidth="1"/>
    <col min="8199" max="8449" width="9" style="12"/>
    <col min="8450" max="8450" width="14.625" style="12" customWidth="1"/>
    <col min="8451" max="8451" width="13.875" style="12" customWidth="1"/>
    <col min="8452" max="8452" width="26.125" style="12" customWidth="1"/>
    <col min="8453" max="8453" width="15.375" style="12" customWidth="1"/>
    <col min="8454" max="8454" width="24.125" style="12" customWidth="1"/>
    <col min="8455" max="8705" width="9" style="12"/>
    <col min="8706" max="8706" width="14.625" style="12" customWidth="1"/>
    <col min="8707" max="8707" width="13.875" style="12" customWidth="1"/>
    <col min="8708" max="8708" width="26.125" style="12" customWidth="1"/>
    <col min="8709" max="8709" width="15.375" style="12" customWidth="1"/>
    <col min="8710" max="8710" width="24.125" style="12" customWidth="1"/>
    <col min="8711" max="8961" width="9" style="12"/>
    <col min="8962" max="8962" width="14.625" style="12" customWidth="1"/>
    <col min="8963" max="8963" width="13.875" style="12" customWidth="1"/>
    <col min="8964" max="8964" width="26.125" style="12" customWidth="1"/>
    <col min="8965" max="8965" width="15.375" style="12" customWidth="1"/>
    <col min="8966" max="8966" width="24.125" style="12" customWidth="1"/>
    <col min="8967" max="9217" width="9" style="12"/>
    <col min="9218" max="9218" width="14.625" style="12" customWidth="1"/>
    <col min="9219" max="9219" width="13.875" style="12" customWidth="1"/>
    <col min="9220" max="9220" width="26.125" style="12" customWidth="1"/>
    <col min="9221" max="9221" width="15.375" style="12" customWidth="1"/>
    <col min="9222" max="9222" width="24.125" style="12" customWidth="1"/>
    <col min="9223" max="9473" width="9" style="12"/>
    <col min="9474" max="9474" width="14.625" style="12" customWidth="1"/>
    <col min="9475" max="9475" width="13.875" style="12" customWidth="1"/>
    <col min="9476" max="9476" width="26.125" style="12" customWidth="1"/>
    <col min="9477" max="9477" width="15.375" style="12" customWidth="1"/>
    <col min="9478" max="9478" width="24.125" style="12" customWidth="1"/>
    <col min="9479" max="9729" width="9" style="12"/>
    <col min="9730" max="9730" width="14.625" style="12" customWidth="1"/>
    <col min="9731" max="9731" width="13.875" style="12" customWidth="1"/>
    <col min="9732" max="9732" width="26.125" style="12" customWidth="1"/>
    <col min="9733" max="9733" width="15.375" style="12" customWidth="1"/>
    <col min="9734" max="9734" width="24.125" style="12" customWidth="1"/>
    <col min="9735" max="9985" width="9" style="12"/>
    <col min="9986" max="9986" width="14.625" style="12" customWidth="1"/>
    <col min="9987" max="9987" width="13.875" style="12" customWidth="1"/>
    <col min="9988" max="9988" width="26.125" style="12" customWidth="1"/>
    <col min="9989" max="9989" width="15.375" style="12" customWidth="1"/>
    <col min="9990" max="9990" width="24.125" style="12" customWidth="1"/>
    <col min="9991" max="10241" width="9" style="12"/>
    <col min="10242" max="10242" width="14.625" style="12" customWidth="1"/>
    <col min="10243" max="10243" width="13.875" style="12" customWidth="1"/>
    <col min="10244" max="10244" width="26.125" style="12" customWidth="1"/>
    <col min="10245" max="10245" width="15.375" style="12" customWidth="1"/>
    <col min="10246" max="10246" width="24.125" style="12" customWidth="1"/>
    <col min="10247" max="10497" width="9" style="12"/>
    <col min="10498" max="10498" width="14.625" style="12" customWidth="1"/>
    <col min="10499" max="10499" width="13.875" style="12" customWidth="1"/>
    <col min="10500" max="10500" width="26.125" style="12" customWidth="1"/>
    <col min="10501" max="10501" width="15.375" style="12" customWidth="1"/>
    <col min="10502" max="10502" width="24.125" style="12" customWidth="1"/>
    <col min="10503" max="10753" width="9" style="12"/>
    <col min="10754" max="10754" width="14.625" style="12" customWidth="1"/>
    <col min="10755" max="10755" width="13.875" style="12" customWidth="1"/>
    <col min="10756" max="10756" width="26.125" style="12" customWidth="1"/>
    <col min="10757" max="10757" width="15.375" style="12" customWidth="1"/>
    <col min="10758" max="10758" width="24.125" style="12" customWidth="1"/>
    <col min="10759" max="11009" width="9" style="12"/>
    <col min="11010" max="11010" width="14.625" style="12" customWidth="1"/>
    <col min="11011" max="11011" width="13.875" style="12" customWidth="1"/>
    <col min="11012" max="11012" width="26.125" style="12" customWidth="1"/>
    <col min="11013" max="11013" width="15.375" style="12" customWidth="1"/>
    <col min="11014" max="11014" width="24.125" style="12" customWidth="1"/>
    <col min="11015" max="11265" width="9" style="12"/>
    <col min="11266" max="11266" width="14.625" style="12" customWidth="1"/>
    <col min="11267" max="11267" width="13.875" style="12" customWidth="1"/>
    <col min="11268" max="11268" width="26.125" style="12" customWidth="1"/>
    <col min="11269" max="11269" width="15.375" style="12" customWidth="1"/>
    <col min="11270" max="11270" width="24.125" style="12" customWidth="1"/>
    <col min="11271" max="11521" width="9" style="12"/>
    <col min="11522" max="11522" width="14.625" style="12" customWidth="1"/>
    <col min="11523" max="11523" width="13.875" style="12" customWidth="1"/>
    <col min="11524" max="11524" width="26.125" style="12" customWidth="1"/>
    <col min="11525" max="11525" width="15.375" style="12" customWidth="1"/>
    <col min="11526" max="11526" width="24.125" style="12" customWidth="1"/>
    <col min="11527" max="11777" width="9" style="12"/>
    <col min="11778" max="11778" width="14.625" style="12" customWidth="1"/>
    <col min="11779" max="11779" width="13.875" style="12" customWidth="1"/>
    <col min="11780" max="11780" width="26.125" style="12" customWidth="1"/>
    <col min="11781" max="11781" width="15.375" style="12" customWidth="1"/>
    <col min="11782" max="11782" width="24.125" style="12" customWidth="1"/>
    <col min="11783" max="12033" width="9" style="12"/>
    <col min="12034" max="12034" width="14.625" style="12" customWidth="1"/>
    <col min="12035" max="12035" width="13.875" style="12" customWidth="1"/>
    <col min="12036" max="12036" width="26.125" style="12" customWidth="1"/>
    <col min="12037" max="12037" width="15.375" style="12" customWidth="1"/>
    <col min="12038" max="12038" width="24.125" style="12" customWidth="1"/>
    <col min="12039" max="12289" width="9" style="12"/>
    <col min="12290" max="12290" width="14.625" style="12" customWidth="1"/>
    <col min="12291" max="12291" width="13.875" style="12" customWidth="1"/>
    <col min="12292" max="12292" width="26.125" style="12" customWidth="1"/>
    <col min="12293" max="12293" width="15.375" style="12" customWidth="1"/>
    <col min="12294" max="12294" width="24.125" style="12" customWidth="1"/>
    <col min="12295" max="12545" width="9" style="12"/>
    <col min="12546" max="12546" width="14.625" style="12" customWidth="1"/>
    <col min="12547" max="12547" width="13.875" style="12" customWidth="1"/>
    <col min="12548" max="12548" width="26.125" style="12" customWidth="1"/>
    <col min="12549" max="12549" width="15.375" style="12" customWidth="1"/>
    <col min="12550" max="12550" width="24.125" style="12" customWidth="1"/>
    <col min="12551" max="12801" width="9" style="12"/>
    <col min="12802" max="12802" width="14.625" style="12" customWidth="1"/>
    <col min="12803" max="12803" width="13.875" style="12" customWidth="1"/>
    <col min="12804" max="12804" width="26.125" style="12" customWidth="1"/>
    <col min="12805" max="12805" width="15.375" style="12" customWidth="1"/>
    <col min="12806" max="12806" width="24.125" style="12" customWidth="1"/>
    <col min="12807" max="13057" width="9" style="12"/>
    <col min="13058" max="13058" width="14.625" style="12" customWidth="1"/>
    <col min="13059" max="13059" width="13.875" style="12" customWidth="1"/>
    <col min="13060" max="13060" width="26.125" style="12" customWidth="1"/>
    <col min="13061" max="13061" width="15.375" style="12" customWidth="1"/>
    <col min="13062" max="13062" width="24.125" style="12" customWidth="1"/>
    <col min="13063" max="13313" width="9" style="12"/>
    <col min="13314" max="13314" width="14.625" style="12" customWidth="1"/>
    <col min="13315" max="13315" width="13.875" style="12" customWidth="1"/>
    <col min="13316" max="13316" width="26.125" style="12" customWidth="1"/>
    <col min="13317" max="13317" width="15.375" style="12" customWidth="1"/>
    <col min="13318" max="13318" width="24.125" style="12" customWidth="1"/>
    <col min="13319" max="13569" width="9" style="12"/>
    <col min="13570" max="13570" width="14.625" style="12" customWidth="1"/>
    <col min="13571" max="13571" width="13.875" style="12" customWidth="1"/>
    <col min="13572" max="13572" width="26.125" style="12" customWidth="1"/>
    <col min="13573" max="13573" width="15.375" style="12" customWidth="1"/>
    <col min="13574" max="13574" width="24.125" style="12" customWidth="1"/>
    <col min="13575" max="13825" width="9" style="12"/>
    <col min="13826" max="13826" width="14.625" style="12" customWidth="1"/>
    <col min="13827" max="13827" width="13.875" style="12" customWidth="1"/>
    <col min="13828" max="13828" width="26.125" style="12" customWidth="1"/>
    <col min="13829" max="13829" width="15.375" style="12" customWidth="1"/>
    <col min="13830" max="13830" width="24.125" style="12" customWidth="1"/>
    <col min="13831" max="14081" width="9" style="12"/>
    <col min="14082" max="14082" width="14.625" style="12" customWidth="1"/>
    <col min="14083" max="14083" width="13.875" style="12" customWidth="1"/>
    <col min="14084" max="14084" width="26.125" style="12" customWidth="1"/>
    <col min="14085" max="14085" width="15.375" style="12" customWidth="1"/>
    <col min="14086" max="14086" width="24.125" style="12" customWidth="1"/>
    <col min="14087" max="14337" width="9" style="12"/>
    <col min="14338" max="14338" width="14.625" style="12" customWidth="1"/>
    <col min="14339" max="14339" width="13.875" style="12" customWidth="1"/>
    <col min="14340" max="14340" width="26.125" style="12" customWidth="1"/>
    <col min="14341" max="14341" width="15.375" style="12" customWidth="1"/>
    <col min="14342" max="14342" width="24.125" style="12" customWidth="1"/>
    <col min="14343" max="14593" width="9" style="12"/>
    <col min="14594" max="14594" width="14.625" style="12" customWidth="1"/>
    <col min="14595" max="14595" width="13.875" style="12" customWidth="1"/>
    <col min="14596" max="14596" width="26.125" style="12" customWidth="1"/>
    <col min="14597" max="14597" width="15.375" style="12" customWidth="1"/>
    <col min="14598" max="14598" width="24.125" style="12" customWidth="1"/>
    <col min="14599" max="14849" width="9" style="12"/>
    <col min="14850" max="14850" width="14.625" style="12" customWidth="1"/>
    <col min="14851" max="14851" width="13.875" style="12" customWidth="1"/>
    <col min="14852" max="14852" width="26.125" style="12" customWidth="1"/>
    <col min="14853" max="14853" width="15.375" style="12" customWidth="1"/>
    <col min="14854" max="14854" width="24.125" style="12" customWidth="1"/>
    <col min="14855" max="15105" width="9" style="12"/>
    <col min="15106" max="15106" width="14.625" style="12" customWidth="1"/>
    <col min="15107" max="15107" width="13.875" style="12" customWidth="1"/>
    <col min="15108" max="15108" width="26.125" style="12" customWidth="1"/>
    <col min="15109" max="15109" width="15.375" style="12" customWidth="1"/>
    <col min="15110" max="15110" width="24.125" style="12" customWidth="1"/>
    <col min="15111" max="15361" width="9" style="12"/>
    <col min="15362" max="15362" width="14.625" style="12" customWidth="1"/>
    <col min="15363" max="15363" width="13.875" style="12" customWidth="1"/>
    <col min="15364" max="15364" width="26.125" style="12" customWidth="1"/>
    <col min="15365" max="15365" width="15.375" style="12" customWidth="1"/>
    <col min="15366" max="15366" width="24.125" style="12" customWidth="1"/>
    <col min="15367" max="15617" width="9" style="12"/>
    <col min="15618" max="15618" width="14.625" style="12" customWidth="1"/>
    <col min="15619" max="15619" width="13.875" style="12" customWidth="1"/>
    <col min="15620" max="15620" width="26.125" style="12" customWidth="1"/>
    <col min="15621" max="15621" width="15.375" style="12" customWidth="1"/>
    <col min="15622" max="15622" width="24.125" style="12" customWidth="1"/>
    <col min="15623" max="15873" width="9" style="12"/>
    <col min="15874" max="15874" width="14.625" style="12" customWidth="1"/>
    <col min="15875" max="15875" width="13.875" style="12" customWidth="1"/>
    <col min="15876" max="15876" width="26.125" style="12" customWidth="1"/>
    <col min="15877" max="15877" width="15.375" style="12" customWidth="1"/>
    <col min="15878" max="15878" width="24.125" style="12" customWidth="1"/>
    <col min="15879" max="16129" width="9" style="12"/>
    <col min="16130" max="16130" width="14.625" style="12" customWidth="1"/>
    <col min="16131" max="16131" width="13.875" style="12" customWidth="1"/>
    <col min="16132" max="16132" width="26.125" style="12" customWidth="1"/>
    <col min="16133" max="16133" width="15.375" style="12" customWidth="1"/>
    <col min="16134" max="16134" width="24.125" style="12" customWidth="1"/>
    <col min="16135" max="16384" width="9" style="12"/>
  </cols>
  <sheetData>
    <row r="1" spans="1:8" s="1085" customFormat="1" ht="22.25">
      <c r="A1" s="1421" t="s">
        <v>59</v>
      </c>
      <c r="B1" s="1266"/>
      <c r="C1" s="1266"/>
      <c r="D1" s="1266"/>
      <c r="E1" s="1266"/>
      <c r="F1" s="1266"/>
      <c r="G1" s="1037"/>
      <c r="H1" s="1037"/>
    </row>
    <row r="2" spans="1:8" s="1085" customFormat="1" ht="22.25">
      <c r="A2" s="1421" t="s">
        <v>60</v>
      </c>
      <c r="B2" s="1266"/>
      <c r="C2" s="1266"/>
      <c r="D2" s="1266"/>
      <c r="E2" s="1266"/>
      <c r="F2" s="1266"/>
      <c r="G2" s="1037"/>
      <c r="H2" s="1037"/>
    </row>
    <row r="3" spans="1:8" s="1085" customFormat="1" ht="24.9" customHeight="1">
      <c r="A3" s="1297" t="s">
        <v>1717</v>
      </c>
      <c r="B3" s="1297"/>
      <c r="C3" s="1297"/>
      <c r="D3" s="1297"/>
      <c r="E3" s="1297"/>
      <c r="F3" s="1297"/>
      <c r="G3" s="13"/>
      <c r="H3" s="13"/>
    </row>
    <row r="4" spans="1:8" s="1085" customFormat="1" ht="24.9" customHeight="1" thickBot="1">
      <c r="A4" s="1502" t="s">
        <v>1749</v>
      </c>
      <c r="B4" s="1502"/>
      <c r="C4" s="1502"/>
      <c r="D4" s="1502"/>
      <c r="E4" s="1502"/>
      <c r="F4" s="1502"/>
      <c r="G4" s="14"/>
      <c r="H4" s="14"/>
    </row>
    <row r="5" spans="1:8" s="94" customFormat="1" ht="29.95" customHeight="1">
      <c r="A5" s="1038" t="s">
        <v>794</v>
      </c>
      <c r="B5" s="1091" t="s">
        <v>5</v>
      </c>
      <c r="C5" s="1100" t="s">
        <v>1144</v>
      </c>
      <c r="D5" s="1039" t="s">
        <v>1145</v>
      </c>
      <c r="E5" s="1498" t="s">
        <v>1146</v>
      </c>
      <c r="F5" s="1499"/>
      <c r="G5" s="1088"/>
      <c r="H5" s="1088"/>
    </row>
    <row r="6" spans="1:8" s="1085" customFormat="1" ht="36" customHeight="1">
      <c r="A6" s="1040">
        <v>0</v>
      </c>
      <c r="B6" s="1092">
        <v>0</v>
      </c>
      <c r="C6" s="1101" t="s">
        <v>1147</v>
      </c>
      <c r="D6" s="1041">
        <f>D7+D11</f>
        <v>672</v>
      </c>
      <c r="E6" s="1500" t="s">
        <v>1654</v>
      </c>
      <c r="F6" s="1501"/>
    </row>
    <row r="7" spans="1:8" s="1085" customFormat="1" ht="32.75" customHeight="1">
      <c r="A7" s="1043">
        <v>0</v>
      </c>
      <c r="B7" s="1093">
        <v>0</v>
      </c>
      <c r="C7" s="459" t="s">
        <v>1148</v>
      </c>
      <c r="D7" s="1044">
        <f>D8+D9</f>
        <v>672</v>
      </c>
      <c r="E7" s="1063"/>
      <c r="F7" s="1042"/>
    </row>
    <row r="8" spans="1:8" s="1085" customFormat="1" ht="67.75" customHeight="1">
      <c r="A8" s="1045">
        <v>0</v>
      </c>
      <c r="B8" s="1094">
        <v>0</v>
      </c>
      <c r="C8" s="1102" t="s">
        <v>1645</v>
      </c>
      <c r="D8" s="1046">
        <v>672</v>
      </c>
      <c r="E8" s="1500" t="s">
        <v>1687</v>
      </c>
      <c r="F8" s="1501"/>
      <c r="H8" s="1047"/>
    </row>
    <row r="9" spans="1:8" s="1085" customFormat="1">
      <c r="A9" s="1045"/>
      <c r="B9" s="1095"/>
      <c r="C9" s="1102"/>
      <c r="D9" s="1048"/>
      <c r="E9" s="1069"/>
      <c r="F9" s="1068"/>
    </row>
    <row r="10" spans="1:8" s="1085" customFormat="1">
      <c r="A10" s="1049"/>
      <c r="B10" s="1096"/>
      <c r="C10" s="472"/>
      <c r="D10" s="260"/>
      <c r="E10" s="1069"/>
      <c r="F10" s="1070"/>
    </row>
    <row r="11" spans="1:8" s="1085" customFormat="1" ht="29.95" customHeight="1">
      <c r="A11" s="1050"/>
      <c r="B11" s="1093"/>
      <c r="C11" s="835"/>
      <c r="D11" s="1044"/>
      <c r="E11" s="1063"/>
      <c r="F11" s="1051"/>
    </row>
    <row r="12" spans="1:8" s="1085" customFormat="1" ht="29.95" customHeight="1">
      <c r="A12" s="1045"/>
      <c r="B12" s="1064"/>
      <c r="C12" s="100"/>
      <c r="D12" s="1052"/>
      <c r="E12" s="1064"/>
      <c r="F12" s="1503"/>
    </row>
    <row r="13" spans="1:8" s="1085" customFormat="1" ht="36.65" customHeight="1">
      <c r="A13" s="1053"/>
      <c r="B13" s="1097"/>
      <c r="C13" s="1103"/>
      <c r="D13" s="1054"/>
      <c r="E13" s="1065"/>
      <c r="F13" s="1503"/>
    </row>
    <row r="14" spans="1:8" s="1085" customFormat="1" ht="36.65" customHeight="1">
      <c r="A14" s="1055"/>
      <c r="B14" s="1092"/>
      <c r="C14" s="1104"/>
      <c r="D14" s="1041"/>
      <c r="E14" s="1066"/>
      <c r="F14" s="1503"/>
    </row>
    <row r="15" spans="1:8" s="1085" customFormat="1" ht="42.05" customHeight="1">
      <c r="A15" s="1055"/>
      <c r="B15" s="1092"/>
      <c r="C15" s="835"/>
      <c r="D15" s="1041"/>
      <c r="E15" s="1066"/>
      <c r="F15" s="1503"/>
    </row>
    <row r="16" spans="1:8" s="1085" customFormat="1" ht="89.05" customHeight="1">
      <c r="A16" s="1053"/>
      <c r="B16" s="1097"/>
      <c r="C16" s="100"/>
      <c r="D16" s="1054"/>
      <c r="E16" s="1065"/>
      <c r="F16" s="1503"/>
    </row>
    <row r="17" spans="1:6" s="1085" customFormat="1" ht="96.25" customHeight="1">
      <c r="A17" s="150"/>
      <c r="B17" s="1098"/>
      <c r="C17" s="1105"/>
      <c r="D17" s="1056"/>
      <c r="E17" s="1086"/>
      <c r="F17" s="1087"/>
    </row>
    <row r="18" spans="1:6" ht="90.35" customHeight="1">
      <c r="A18" s="150"/>
      <c r="B18" s="1098"/>
      <c r="C18" s="1105"/>
      <c r="D18" s="1056"/>
      <c r="E18" s="1086"/>
      <c r="F18" s="1087"/>
    </row>
    <row r="19" spans="1:6" ht="34.049999999999997" customHeight="1" thickBot="1">
      <c r="A19" s="1057">
        <f>A6+A14</f>
        <v>0</v>
      </c>
      <c r="B19" s="1099">
        <f>B6</f>
        <v>0</v>
      </c>
      <c r="C19" s="1106" t="s">
        <v>1128</v>
      </c>
      <c r="D19" s="1058">
        <f>D6</f>
        <v>672</v>
      </c>
      <c r="E19" s="1067"/>
      <c r="F19" s="1059"/>
    </row>
    <row r="20" spans="1:6" ht="1.1499999999999999" hidden="1" customHeight="1">
      <c r="A20" s="1497"/>
      <c r="B20" s="1497"/>
      <c r="C20" s="1497"/>
      <c r="D20" s="1497"/>
      <c r="E20" s="1497"/>
      <c r="F20" s="1497"/>
    </row>
  </sheetData>
  <mergeCells count="9">
    <mergeCell ref="A20:F20"/>
    <mergeCell ref="E5:F5"/>
    <mergeCell ref="E8:F8"/>
    <mergeCell ref="A1:F1"/>
    <mergeCell ref="A2:F2"/>
    <mergeCell ref="A3:F3"/>
    <mergeCell ref="A4:F4"/>
    <mergeCell ref="F12:F16"/>
    <mergeCell ref="E6:F6"/>
  </mergeCells>
  <phoneticPr fontId="5" type="noConversion"/>
  <printOptions horizontalCentered="1"/>
  <pageMargins left="0.47244094488188981" right="0.39370078740157483" top="0.59055118110236227" bottom="0.78740157480314965" header="0.51181102362204722" footer="0.51181102362204722"/>
  <pageSetup paperSize="9" firstPageNumber="54" orientation="portrait" useFirstPageNumber="1" r:id="rId1"/>
  <headerFooter alignWithMargins="0">
    <oddFooter>&amp;C&amp;"Times New Roman,標準"&amp;P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I48"/>
  <sheetViews>
    <sheetView view="pageBreakPreview" topLeftCell="A13" zoomScale="80" zoomScaleNormal="100" zoomScaleSheetLayoutView="80" workbookViewId="0">
      <selection activeCell="B43" sqref="B43"/>
    </sheetView>
  </sheetViews>
  <sheetFormatPr defaultColWidth="9" defaultRowHeight="15.05"/>
  <cols>
    <col min="1" max="1" width="18.75" style="2" customWidth="1"/>
    <col min="2" max="2" width="19.125" style="2" customWidth="1"/>
    <col min="3" max="3" width="32.625" style="2" customWidth="1"/>
    <col min="4" max="4" width="18.625" style="2" customWidth="1"/>
    <col min="5" max="5" width="18.125" style="2" customWidth="1"/>
    <col min="6" max="6" width="18.375" style="2" customWidth="1"/>
    <col min="7" max="7" width="19.125" style="2" customWidth="1"/>
    <col min="8" max="8" width="14.75" style="2" customWidth="1"/>
    <col min="9" max="9" width="17.125" style="2" customWidth="1"/>
    <col min="10" max="16384" width="9" style="2"/>
  </cols>
  <sheetData>
    <row r="1" spans="1:9" ht="22.25">
      <c r="A1" s="1421" t="s">
        <v>59</v>
      </c>
      <c r="B1" s="1266"/>
      <c r="C1" s="1266"/>
      <c r="D1" s="1266"/>
      <c r="E1" s="1266"/>
      <c r="F1" s="1266"/>
      <c r="G1" s="1266"/>
      <c r="H1" s="1266"/>
      <c r="I1" s="1266"/>
    </row>
    <row r="2" spans="1:9" ht="19.149999999999999" customHeight="1">
      <c r="A2" s="1421" t="s">
        <v>1695</v>
      </c>
      <c r="B2" s="1266"/>
      <c r="C2" s="1266"/>
      <c r="D2" s="1266"/>
      <c r="E2" s="1266"/>
      <c r="F2" s="1266"/>
      <c r="G2" s="1266"/>
      <c r="H2" s="1266"/>
      <c r="I2" s="1266"/>
    </row>
    <row r="3" spans="1:9" ht="20" customHeight="1">
      <c r="A3" s="1509" t="s">
        <v>1696</v>
      </c>
      <c r="B3" s="1268"/>
      <c r="C3" s="1268"/>
      <c r="D3" s="1268"/>
      <c r="E3" s="1268"/>
      <c r="F3" s="1268"/>
      <c r="G3" s="1268"/>
      <c r="H3" s="1268"/>
      <c r="I3" s="1268"/>
    </row>
    <row r="4" spans="1:9" ht="21.6" customHeight="1" thickBot="1">
      <c r="A4" s="967" t="s">
        <v>948</v>
      </c>
      <c r="B4" s="967"/>
      <c r="C4" s="967"/>
      <c r="D4" s="1510" t="s">
        <v>949</v>
      </c>
      <c r="E4" s="1510"/>
      <c r="F4" s="967"/>
      <c r="G4" s="1511" t="s">
        <v>1697</v>
      </c>
      <c r="H4" s="1512"/>
      <c r="I4" s="1512"/>
    </row>
    <row r="5" spans="1:9" ht="18.850000000000001" customHeight="1">
      <c r="A5" s="1223" t="s">
        <v>1537</v>
      </c>
      <c r="B5" s="1222" t="s">
        <v>1539</v>
      </c>
      <c r="C5" s="1504" t="s">
        <v>110</v>
      </c>
      <c r="D5" s="1506" t="s">
        <v>77</v>
      </c>
      <c r="E5" s="1507"/>
      <c r="F5" s="1507"/>
      <c r="G5" s="1507"/>
      <c r="H5" s="1507"/>
      <c r="I5" s="1508"/>
    </row>
    <row r="6" spans="1:9" ht="29.95" customHeight="1">
      <c r="A6" s="1224" t="s">
        <v>1538</v>
      </c>
      <c r="B6" s="1225" t="s">
        <v>1540</v>
      </c>
      <c r="C6" s="1505"/>
      <c r="D6" s="965" t="s">
        <v>950</v>
      </c>
      <c r="E6" s="636" t="s">
        <v>351</v>
      </c>
      <c r="F6" s="413" t="s">
        <v>112</v>
      </c>
      <c r="G6" s="413" t="s">
        <v>113</v>
      </c>
      <c r="H6" s="413" t="s">
        <v>114</v>
      </c>
      <c r="I6" s="646" t="s">
        <v>115</v>
      </c>
    </row>
    <row r="7" spans="1:9" ht="6.55" customHeight="1">
      <c r="A7" s="647"/>
      <c r="B7" s="965"/>
      <c r="C7" s="966"/>
      <c r="D7" s="965"/>
      <c r="E7" s="413"/>
      <c r="F7" s="413"/>
      <c r="G7" s="413"/>
      <c r="H7" s="413"/>
      <c r="I7" s="646"/>
    </row>
    <row r="8" spans="1:9" s="194" customFormat="1" ht="28.5" customHeight="1">
      <c r="A8" s="648">
        <v>863727</v>
      </c>
      <c r="B8" s="642">
        <f>SUM(B9:B18)</f>
        <v>976124</v>
      </c>
      <c r="C8" s="665" t="s">
        <v>503</v>
      </c>
      <c r="D8" s="193">
        <f t="shared" ref="D8:I8" si="0">SUM(D9:D18)</f>
        <v>1447456</v>
      </c>
      <c r="E8" s="193">
        <f t="shared" si="0"/>
        <v>2791</v>
      </c>
      <c r="F8" s="193">
        <f t="shared" si="0"/>
        <v>1003916</v>
      </c>
      <c r="G8" s="193">
        <f t="shared" si="0"/>
        <v>0</v>
      </c>
      <c r="H8" s="193">
        <f t="shared" si="0"/>
        <v>440749</v>
      </c>
      <c r="I8" s="649">
        <f t="shared" si="0"/>
        <v>0</v>
      </c>
    </row>
    <row r="9" spans="1:9" s="196" customFormat="1" ht="28.5" customHeight="1">
      <c r="A9" s="652">
        <v>1</v>
      </c>
      <c r="B9" s="644">
        <v>7</v>
      </c>
      <c r="C9" s="638" t="s">
        <v>951</v>
      </c>
      <c r="D9" s="195">
        <f>SUM(E9:I9)</f>
        <v>576</v>
      </c>
      <c r="E9" s="195">
        <v>7</v>
      </c>
      <c r="F9" s="637">
        <v>0</v>
      </c>
      <c r="G9" s="195">
        <v>0</v>
      </c>
      <c r="H9" s="195">
        <v>569</v>
      </c>
      <c r="I9" s="651">
        <v>0</v>
      </c>
    </row>
    <row r="10" spans="1:9" s="196" customFormat="1" ht="28.5" customHeight="1">
      <c r="A10" s="652">
        <v>0</v>
      </c>
      <c r="B10" s="644">
        <v>0</v>
      </c>
      <c r="C10" s="638" t="s">
        <v>952</v>
      </c>
      <c r="D10" s="195">
        <f>SUM(E10:I10)</f>
        <v>872</v>
      </c>
      <c r="E10" s="195">
        <v>0</v>
      </c>
      <c r="F10" s="637">
        <v>0</v>
      </c>
      <c r="G10" s="195">
        <v>0</v>
      </c>
      <c r="H10" s="195">
        <v>872</v>
      </c>
      <c r="I10" s="651">
        <v>0</v>
      </c>
    </row>
    <row r="11" spans="1:9" s="196" customFormat="1" ht="28.5" customHeight="1">
      <c r="A11" s="652">
        <v>0</v>
      </c>
      <c r="B11" s="644">
        <v>0</v>
      </c>
      <c r="C11" s="638" t="s">
        <v>953</v>
      </c>
      <c r="D11" s="195">
        <f>SUM(E11:I11)</f>
        <v>5967</v>
      </c>
      <c r="E11" s="195">
        <v>0</v>
      </c>
      <c r="F11" s="637">
        <v>0</v>
      </c>
      <c r="G11" s="195">
        <v>0</v>
      </c>
      <c r="H11" s="195">
        <v>5967</v>
      </c>
      <c r="I11" s="651">
        <v>0</v>
      </c>
    </row>
    <row r="12" spans="1:9" s="196" customFormat="1" ht="28.5" customHeight="1">
      <c r="A12" s="652">
        <v>1</v>
      </c>
      <c r="B12" s="195">
        <v>0</v>
      </c>
      <c r="C12" s="638" t="s">
        <v>1470</v>
      </c>
      <c r="D12" s="195">
        <f t="shared" ref="D12:D28" si="1">SUM(E12:I12)</f>
        <v>1701</v>
      </c>
      <c r="E12" s="195">
        <v>1</v>
      </c>
      <c r="F12" s="637">
        <v>0</v>
      </c>
      <c r="G12" s="195">
        <v>0</v>
      </c>
      <c r="H12" s="195">
        <v>1700</v>
      </c>
      <c r="I12" s="651">
        <v>0</v>
      </c>
    </row>
    <row r="13" spans="1:9" s="196" customFormat="1" ht="28.5" customHeight="1">
      <c r="A13" s="650">
        <v>1125</v>
      </c>
      <c r="B13" s="643">
        <v>2195</v>
      </c>
      <c r="C13" s="638" t="s">
        <v>954</v>
      </c>
      <c r="D13" s="195">
        <f t="shared" si="1"/>
        <v>2118</v>
      </c>
      <c r="E13" s="195">
        <v>2118</v>
      </c>
      <c r="F13" s="637">
        <v>0</v>
      </c>
      <c r="G13" s="195">
        <v>0</v>
      </c>
      <c r="H13" s="195">
        <v>0</v>
      </c>
      <c r="I13" s="651">
        <v>0</v>
      </c>
    </row>
    <row r="14" spans="1:9" s="196" customFormat="1" ht="28.5" customHeight="1">
      <c r="A14" s="652">
        <v>0</v>
      </c>
      <c r="B14" s="643">
        <v>121</v>
      </c>
      <c r="C14" s="638" t="s">
        <v>506</v>
      </c>
      <c r="D14" s="195">
        <f t="shared" si="1"/>
        <v>181</v>
      </c>
      <c r="E14" s="195">
        <v>121</v>
      </c>
      <c r="F14" s="637">
        <v>0</v>
      </c>
      <c r="G14" s="195">
        <v>0</v>
      </c>
      <c r="H14" s="195">
        <v>60</v>
      </c>
      <c r="I14" s="651">
        <v>0</v>
      </c>
    </row>
    <row r="15" spans="1:9" s="196" customFormat="1" ht="28.5" customHeight="1">
      <c r="A15" s="650">
        <v>853023</v>
      </c>
      <c r="B15" s="643">
        <v>937596</v>
      </c>
      <c r="C15" s="638" t="s">
        <v>507</v>
      </c>
      <c r="D15" s="195">
        <f t="shared" si="1"/>
        <v>1118587</v>
      </c>
      <c r="E15" s="195">
        <v>394</v>
      </c>
      <c r="F15" s="195">
        <f>956243+13091-1000</f>
        <v>968334</v>
      </c>
      <c r="G15" s="195">
        <v>0</v>
      </c>
      <c r="H15" s="195">
        <v>149859</v>
      </c>
      <c r="I15" s="651">
        <v>0</v>
      </c>
    </row>
    <row r="16" spans="1:9" s="196" customFormat="1" ht="28.5" customHeight="1">
      <c r="A16" s="650">
        <v>9577</v>
      </c>
      <c r="B16" s="643">
        <v>36205</v>
      </c>
      <c r="C16" s="638" t="s">
        <v>508</v>
      </c>
      <c r="D16" s="195">
        <f t="shared" si="1"/>
        <v>307752</v>
      </c>
      <c r="E16" s="195">
        <v>150</v>
      </c>
      <c r="F16" s="195">
        <v>35582</v>
      </c>
      <c r="G16" s="195">
        <v>0</v>
      </c>
      <c r="H16" s="195">
        <f>11124+260896</f>
        <v>272020</v>
      </c>
      <c r="I16" s="651">
        <v>0</v>
      </c>
    </row>
    <row r="17" spans="1:9" s="196" customFormat="1" ht="28.5" customHeight="1">
      <c r="A17" s="652">
        <v>0</v>
      </c>
      <c r="B17" s="195">
        <v>0</v>
      </c>
      <c r="C17" s="638" t="s">
        <v>1202</v>
      </c>
      <c r="D17" s="195">
        <f t="shared" si="1"/>
        <v>672</v>
      </c>
      <c r="E17" s="195">
        <v>0</v>
      </c>
      <c r="F17" s="637">
        <v>0</v>
      </c>
      <c r="G17" s="195">
        <v>0</v>
      </c>
      <c r="H17" s="195">
        <v>672</v>
      </c>
      <c r="I17" s="651">
        <v>0</v>
      </c>
    </row>
    <row r="18" spans="1:9" s="196" customFormat="1" ht="28.5" customHeight="1">
      <c r="A18" s="652">
        <v>0</v>
      </c>
      <c r="B18" s="195">
        <v>0</v>
      </c>
      <c r="C18" s="638" t="s">
        <v>1203</v>
      </c>
      <c r="D18" s="195">
        <f t="shared" si="1"/>
        <v>9030</v>
      </c>
      <c r="E18" s="195">
        <v>0</v>
      </c>
      <c r="F18" s="637">
        <v>0</v>
      </c>
      <c r="G18" s="195">
        <v>0</v>
      </c>
      <c r="H18" s="195">
        <f>10030-1000</f>
        <v>9030</v>
      </c>
      <c r="I18" s="651">
        <v>0</v>
      </c>
    </row>
    <row r="19" spans="1:9" s="194" customFormat="1" ht="28.5" customHeight="1">
      <c r="A19" s="653">
        <v>0</v>
      </c>
      <c r="B19" s="193">
        <f>SUM(B20:B21)</f>
        <v>0</v>
      </c>
      <c r="C19" s="665" t="s">
        <v>408</v>
      </c>
      <c r="D19" s="193">
        <f>SUM(D20:D21)</f>
        <v>3100</v>
      </c>
      <c r="E19" s="193">
        <f>E21</f>
        <v>0</v>
      </c>
      <c r="F19" s="193">
        <f>F21</f>
        <v>0</v>
      </c>
      <c r="G19" s="193">
        <f>G21</f>
        <v>0</v>
      </c>
      <c r="H19" s="193">
        <f>SUM(H20:H21)</f>
        <v>3100</v>
      </c>
      <c r="I19" s="649">
        <f>I21</f>
        <v>0</v>
      </c>
    </row>
    <row r="20" spans="1:9" s="194" customFormat="1" ht="28.5" customHeight="1">
      <c r="A20" s="652">
        <v>0</v>
      </c>
      <c r="B20" s="195">
        <v>0</v>
      </c>
      <c r="C20" s="638" t="s">
        <v>1234</v>
      </c>
      <c r="D20" s="195">
        <f t="shared" si="1"/>
        <v>1567</v>
      </c>
      <c r="E20" s="195">
        <v>0</v>
      </c>
      <c r="F20" s="195">
        <v>0</v>
      </c>
      <c r="G20" s="195">
        <v>0</v>
      </c>
      <c r="H20" s="195">
        <v>1567</v>
      </c>
      <c r="I20" s="651">
        <v>0</v>
      </c>
    </row>
    <row r="21" spans="1:9" s="196" customFormat="1" ht="28.5" customHeight="1">
      <c r="A21" s="652">
        <v>0</v>
      </c>
      <c r="B21" s="195">
        <v>0</v>
      </c>
      <c r="C21" s="638" t="s">
        <v>956</v>
      </c>
      <c r="D21" s="195">
        <f t="shared" si="1"/>
        <v>1533</v>
      </c>
      <c r="E21" s="195">
        <v>0</v>
      </c>
      <c r="F21" s="195">
        <v>0</v>
      </c>
      <c r="G21" s="195">
        <v>0</v>
      </c>
      <c r="H21" s="195">
        <v>1533</v>
      </c>
      <c r="I21" s="651">
        <v>0</v>
      </c>
    </row>
    <row r="22" spans="1:9" s="194" customFormat="1" ht="28.5" customHeight="1">
      <c r="A22" s="648">
        <v>143458</v>
      </c>
      <c r="B22" s="642">
        <f>SUM(B23:B28)</f>
        <v>32750</v>
      </c>
      <c r="C22" s="665" t="s">
        <v>957</v>
      </c>
      <c r="D22" s="193">
        <f>SUM(D23:D28)</f>
        <v>16657</v>
      </c>
      <c r="E22" s="193">
        <f t="shared" ref="E22:I22" si="2">SUM(E23:E28)</f>
        <v>0</v>
      </c>
      <c r="F22" s="193">
        <f t="shared" si="2"/>
        <v>0</v>
      </c>
      <c r="G22" s="193">
        <f t="shared" si="2"/>
        <v>0</v>
      </c>
      <c r="H22" s="193">
        <f t="shared" si="2"/>
        <v>16657</v>
      </c>
      <c r="I22" s="651">
        <f t="shared" si="2"/>
        <v>0</v>
      </c>
    </row>
    <row r="23" spans="1:9" s="194" customFormat="1" ht="28.5" customHeight="1">
      <c r="A23" s="652">
        <v>0</v>
      </c>
      <c r="B23" s="195">
        <v>0</v>
      </c>
      <c r="C23" s="638" t="s">
        <v>1235</v>
      </c>
      <c r="D23" s="195">
        <f t="shared" si="1"/>
        <v>10</v>
      </c>
      <c r="E23" s="195">
        <v>0</v>
      </c>
      <c r="F23" s="195">
        <v>0</v>
      </c>
      <c r="G23" s="195">
        <v>0</v>
      </c>
      <c r="H23" s="195">
        <v>10</v>
      </c>
      <c r="I23" s="651">
        <v>0</v>
      </c>
    </row>
    <row r="24" spans="1:9" s="194" customFormat="1" ht="28.5" customHeight="1">
      <c r="A24" s="652">
        <v>0</v>
      </c>
      <c r="B24" s="195">
        <v>0</v>
      </c>
      <c r="C24" s="638" t="s">
        <v>958</v>
      </c>
      <c r="D24" s="195">
        <f t="shared" si="1"/>
        <v>1189</v>
      </c>
      <c r="E24" s="195">
        <v>0</v>
      </c>
      <c r="F24" s="195">
        <v>0</v>
      </c>
      <c r="G24" s="195">
        <v>0</v>
      </c>
      <c r="H24" s="195">
        <v>1189</v>
      </c>
      <c r="I24" s="651">
        <v>0</v>
      </c>
    </row>
    <row r="25" spans="1:9" s="194" customFormat="1" ht="28.5" customHeight="1">
      <c r="A25" s="652">
        <v>0</v>
      </c>
      <c r="B25" s="195">
        <v>0</v>
      </c>
      <c r="C25" s="638" t="s">
        <v>1237</v>
      </c>
      <c r="D25" s="195">
        <f t="shared" si="1"/>
        <v>500</v>
      </c>
      <c r="E25" s="195">
        <v>0</v>
      </c>
      <c r="F25" s="195">
        <v>0</v>
      </c>
      <c r="G25" s="195">
        <v>0</v>
      </c>
      <c r="H25" s="195">
        <v>500</v>
      </c>
      <c r="I25" s="651">
        <v>0</v>
      </c>
    </row>
    <row r="26" spans="1:9" s="194" customFormat="1" ht="28.5" customHeight="1">
      <c r="A26" s="652">
        <v>0</v>
      </c>
      <c r="B26" s="195">
        <v>0</v>
      </c>
      <c r="C26" s="638" t="s">
        <v>959</v>
      </c>
      <c r="D26" s="195">
        <f t="shared" si="1"/>
        <v>1100</v>
      </c>
      <c r="E26" s="195">
        <v>0</v>
      </c>
      <c r="F26" s="195">
        <v>0</v>
      </c>
      <c r="G26" s="195">
        <v>0</v>
      </c>
      <c r="H26" s="195">
        <v>1100</v>
      </c>
      <c r="I26" s="651">
        <v>0</v>
      </c>
    </row>
    <row r="27" spans="1:9" s="194" customFormat="1" ht="28.5" customHeight="1">
      <c r="A27" s="652">
        <v>0</v>
      </c>
      <c r="B27" s="195">
        <v>0</v>
      </c>
      <c r="C27" s="638" t="s">
        <v>1238</v>
      </c>
      <c r="D27" s="195">
        <f t="shared" si="1"/>
        <v>40</v>
      </c>
      <c r="E27" s="195">
        <v>0</v>
      </c>
      <c r="F27" s="195">
        <v>0</v>
      </c>
      <c r="G27" s="195">
        <v>0</v>
      </c>
      <c r="H27" s="195">
        <v>40</v>
      </c>
      <c r="I27" s="651">
        <v>0</v>
      </c>
    </row>
    <row r="28" spans="1:9" s="196" customFormat="1" ht="28.8" customHeight="1">
      <c r="A28" s="652">
        <v>143458</v>
      </c>
      <c r="B28" s="195">
        <v>32750</v>
      </c>
      <c r="C28" s="638" t="s">
        <v>960</v>
      </c>
      <c r="D28" s="195">
        <f t="shared" si="1"/>
        <v>13818</v>
      </c>
      <c r="E28" s="195">
        <v>0</v>
      </c>
      <c r="F28" s="195">
        <v>0</v>
      </c>
      <c r="G28" s="195">
        <v>0</v>
      </c>
      <c r="H28" s="195">
        <v>13818</v>
      </c>
      <c r="I28" s="651">
        <v>0</v>
      </c>
    </row>
    <row r="29" spans="1:9" s="194" customFormat="1" ht="35.35" customHeight="1" thickBot="1">
      <c r="A29" s="1031">
        <v>17269</v>
      </c>
      <c r="B29" s="655">
        <f>B30+B31</f>
        <v>17269</v>
      </c>
      <c r="C29" s="1032" t="s">
        <v>961</v>
      </c>
      <c r="D29" s="655">
        <f>D30+D31</f>
        <v>16764</v>
      </c>
      <c r="E29" s="655">
        <f>E30+E31</f>
        <v>16764</v>
      </c>
      <c r="F29" s="655">
        <f t="shared" ref="F29:I29" si="3">F30+F31</f>
        <v>0</v>
      </c>
      <c r="G29" s="655">
        <f t="shared" si="3"/>
        <v>0</v>
      </c>
      <c r="H29" s="655">
        <f t="shared" si="3"/>
        <v>0</v>
      </c>
      <c r="I29" s="675">
        <f t="shared" si="3"/>
        <v>0</v>
      </c>
    </row>
    <row r="30" spans="1:9" s="196" customFormat="1" ht="29.45" customHeight="1">
      <c r="A30" s="652">
        <v>16155</v>
      </c>
      <c r="B30" s="195">
        <v>16154</v>
      </c>
      <c r="C30" s="638" t="s">
        <v>962</v>
      </c>
      <c r="D30" s="195">
        <f>SUM(E30:I30)</f>
        <v>16155</v>
      </c>
      <c r="E30" s="195">
        <v>16155</v>
      </c>
      <c r="F30" s="195">
        <v>0</v>
      </c>
      <c r="G30" s="195">
        <v>0</v>
      </c>
      <c r="H30" s="195">
        <v>0</v>
      </c>
      <c r="I30" s="651">
        <v>0</v>
      </c>
    </row>
    <row r="31" spans="1:9" s="196" customFormat="1" ht="32.4" customHeight="1">
      <c r="A31" s="652">
        <v>1114</v>
      </c>
      <c r="B31" s="195">
        <v>1115</v>
      </c>
      <c r="C31" s="638" t="s">
        <v>963</v>
      </c>
      <c r="D31" s="195">
        <f>SUM(E31:I31)</f>
        <v>609</v>
      </c>
      <c r="E31" s="195">
        <v>609</v>
      </c>
      <c r="F31" s="195">
        <v>0</v>
      </c>
      <c r="G31" s="195">
        <v>0</v>
      </c>
      <c r="H31" s="195">
        <v>0</v>
      </c>
      <c r="I31" s="651">
        <v>0</v>
      </c>
    </row>
    <row r="32" spans="1:9" s="194" customFormat="1" ht="29" customHeight="1">
      <c r="A32" s="648">
        <v>19014</v>
      </c>
      <c r="B32" s="642">
        <f>SUM(B33:B35)</f>
        <v>1488</v>
      </c>
      <c r="C32" s="665" t="s">
        <v>964</v>
      </c>
      <c r="D32" s="193">
        <f>D33+D34+D35</f>
        <v>20021</v>
      </c>
      <c r="E32" s="193">
        <f t="shared" ref="E32:I32" si="4">E33+E34+E35</f>
        <v>20021</v>
      </c>
      <c r="F32" s="193">
        <f t="shared" si="4"/>
        <v>0</v>
      </c>
      <c r="G32" s="193">
        <f t="shared" si="4"/>
        <v>0</v>
      </c>
      <c r="H32" s="193">
        <f t="shared" si="4"/>
        <v>0</v>
      </c>
      <c r="I32" s="649">
        <f t="shared" si="4"/>
        <v>0</v>
      </c>
    </row>
    <row r="33" spans="1:9" s="196" customFormat="1" ht="29" customHeight="1">
      <c r="A33" s="652">
        <v>19009</v>
      </c>
      <c r="B33" s="195">
        <v>1467</v>
      </c>
      <c r="C33" s="638" t="s">
        <v>965</v>
      </c>
      <c r="D33" s="195">
        <f>SUM(E33:I33)</f>
        <v>20000</v>
      </c>
      <c r="E33" s="195">
        <v>20000</v>
      </c>
      <c r="F33" s="195">
        <v>0</v>
      </c>
      <c r="G33" s="195">
        <v>0</v>
      </c>
      <c r="H33" s="195">
        <v>0</v>
      </c>
      <c r="I33" s="651">
        <v>0</v>
      </c>
    </row>
    <row r="34" spans="1:9" s="196" customFormat="1" ht="29" customHeight="1">
      <c r="A34" s="650">
        <v>1</v>
      </c>
      <c r="B34" s="643">
        <v>13</v>
      </c>
      <c r="C34" s="638" t="s">
        <v>966</v>
      </c>
      <c r="D34" s="195">
        <f t="shared" ref="D34:D35" si="5">SUM(E34:I34)</f>
        <v>13</v>
      </c>
      <c r="E34" s="195">
        <v>13</v>
      </c>
      <c r="F34" s="195">
        <v>0</v>
      </c>
      <c r="G34" s="195">
        <v>0</v>
      </c>
      <c r="H34" s="195">
        <v>0</v>
      </c>
      <c r="I34" s="651">
        <v>0</v>
      </c>
    </row>
    <row r="35" spans="1:9" s="196" customFormat="1" ht="29" customHeight="1">
      <c r="A35" s="650">
        <v>4</v>
      </c>
      <c r="B35" s="643">
        <v>8</v>
      </c>
      <c r="C35" s="638" t="s">
        <v>967</v>
      </c>
      <c r="D35" s="195">
        <f t="shared" si="5"/>
        <v>8</v>
      </c>
      <c r="E35" s="195">
        <v>8</v>
      </c>
      <c r="F35" s="195">
        <v>0</v>
      </c>
      <c r="G35" s="195">
        <v>0</v>
      </c>
      <c r="H35" s="195">
        <v>0</v>
      </c>
      <c r="I35" s="651">
        <v>0</v>
      </c>
    </row>
    <row r="36" spans="1:9" s="196" customFormat="1" ht="37.15" customHeight="1">
      <c r="A36" s="653">
        <v>0</v>
      </c>
      <c r="B36" s="193">
        <f>SUM(B37:B39)</f>
        <v>0</v>
      </c>
      <c r="C36" s="665" t="s">
        <v>1239</v>
      </c>
      <c r="D36" s="193">
        <f t="shared" ref="D36:I36" si="6">D37+D38+D39</f>
        <v>537108</v>
      </c>
      <c r="E36" s="193">
        <f t="shared" si="6"/>
        <v>0</v>
      </c>
      <c r="F36" s="193">
        <f t="shared" si="6"/>
        <v>0</v>
      </c>
      <c r="G36" s="193">
        <f t="shared" si="6"/>
        <v>0</v>
      </c>
      <c r="H36" s="193">
        <f t="shared" si="6"/>
        <v>537108</v>
      </c>
      <c r="I36" s="649">
        <f t="shared" si="6"/>
        <v>0</v>
      </c>
    </row>
    <row r="37" spans="1:9" s="196" customFormat="1" ht="29" hidden="1" customHeight="1">
      <c r="A37" s="652">
        <v>0</v>
      </c>
      <c r="B37" s="195">
        <v>0</v>
      </c>
      <c r="C37" s="638" t="s">
        <v>969</v>
      </c>
      <c r="D37" s="195">
        <f>SUM(E37:I37)</f>
        <v>0</v>
      </c>
      <c r="E37" s="195">
        <v>0</v>
      </c>
      <c r="F37" s="195">
        <v>0</v>
      </c>
      <c r="G37" s="195">
        <v>0</v>
      </c>
      <c r="H37" s="195">
        <v>0</v>
      </c>
      <c r="I37" s="651">
        <v>0</v>
      </c>
    </row>
    <row r="38" spans="1:9" s="196" customFormat="1" ht="29" customHeight="1">
      <c r="A38" s="652">
        <v>0</v>
      </c>
      <c r="B38" s="195">
        <v>0</v>
      </c>
      <c r="C38" s="638" t="s">
        <v>970</v>
      </c>
      <c r="D38" s="195">
        <f t="shared" ref="D38:D39" si="7">SUM(E38:I38)</f>
        <v>507108</v>
      </c>
      <c r="E38" s="195">
        <v>0</v>
      </c>
      <c r="F38" s="195">
        <v>0</v>
      </c>
      <c r="G38" s="195">
        <v>0</v>
      </c>
      <c r="H38" s="195">
        <f>457108+50000</f>
        <v>507108</v>
      </c>
      <c r="I38" s="651">
        <v>0</v>
      </c>
    </row>
    <row r="39" spans="1:9" s="196" customFormat="1" ht="34.200000000000003" customHeight="1">
      <c r="A39" s="652">
        <v>0</v>
      </c>
      <c r="B39" s="195">
        <v>0</v>
      </c>
      <c r="C39" s="638" t="s">
        <v>1558</v>
      </c>
      <c r="D39" s="195">
        <f t="shared" si="7"/>
        <v>30000</v>
      </c>
      <c r="E39" s="195">
        <v>0</v>
      </c>
      <c r="F39" s="195">
        <v>0</v>
      </c>
      <c r="G39" s="195">
        <v>0</v>
      </c>
      <c r="H39" s="195">
        <v>30000</v>
      </c>
      <c r="I39" s="651">
        <v>0</v>
      </c>
    </row>
    <row r="40" spans="1:9" s="194" customFormat="1" ht="29" customHeight="1">
      <c r="A40" s="648">
        <v>691219897</v>
      </c>
      <c r="B40" s="642">
        <f>SUM(B41:B43)</f>
        <v>529508697</v>
      </c>
      <c r="C40" s="665" t="s">
        <v>971</v>
      </c>
      <c r="D40" s="193">
        <f>D41+D42+D43</f>
        <v>564507112</v>
      </c>
      <c r="E40" s="193">
        <f>E41+E42+E43</f>
        <v>0</v>
      </c>
      <c r="F40" s="193">
        <f>F41+F42+F43</f>
        <v>0</v>
      </c>
      <c r="G40" s="193">
        <f>G42+G43+G41</f>
        <v>564491226</v>
      </c>
      <c r="H40" s="193">
        <f>H42+H43+H41</f>
        <v>15886</v>
      </c>
      <c r="I40" s="649">
        <v>0</v>
      </c>
    </row>
    <row r="41" spans="1:9" s="196" customFormat="1" ht="29" customHeight="1">
      <c r="A41" s="650">
        <v>163511477</v>
      </c>
      <c r="B41" s="195">
        <v>750494</v>
      </c>
      <c r="C41" s="638" t="s">
        <v>972</v>
      </c>
      <c r="D41" s="195">
        <f>SUM(E41:I41)</f>
        <v>917868</v>
      </c>
      <c r="E41" s="195">
        <v>0</v>
      </c>
      <c r="F41" s="195">
        <v>0</v>
      </c>
      <c r="G41" s="195">
        <v>917868</v>
      </c>
      <c r="H41" s="195">
        <v>0</v>
      </c>
      <c r="I41" s="651">
        <v>0</v>
      </c>
    </row>
    <row r="42" spans="1:9" s="196" customFormat="1" ht="29" customHeight="1">
      <c r="A42" s="650">
        <v>486855857</v>
      </c>
      <c r="B42" s="643">
        <f>522071178-300</f>
        <v>522070878</v>
      </c>
      <c r="C42" s="638" t="s">
        <v>973</v>
      </c>
      <c r="D42" s="195">
        <f>SUM(E42:I42)</f>
        <v>558612612</v>
      </c>
      <c r="E42" s="195">
        <v>0</v>
      </c>
      <c r="F42" s="195">
        <v>0</v>
      </c>
      <c r="G42" s="195">
        <f>558596960-7780+9546-1000-1000</f>
        <v>558596726</v>
      </c>
      <c r="H42" s="195">
        <v>15886</v>
      </c>
      <c r="I42" s="651">
        <v>0</v>
      </c>
    </row>
    <row r="43" spans="1:9" s="196" customFormat="1" ht="29" customHeight="1">
      <c r="A43" s="650">
        <v>40852563</v>
      </c>
      <c r="B43" s="643">
        <v>6687325</v>
      </c>
      <c r="C43" s="638" t="s">
        <v>974</v>
      </c>
      <c r="D43" s="195">
        <f>SUM(E43:I43)</f>
        <v>4976632</v>
      </c>
      <c r="E43" s="195">
        <v>0</v>
      </c>
      <c r="F43" s="195">
        <v>0</v>
      </c>
      <c r="G43" s="195">
        <f>4974632+2000</f>
        <v>4976632</v>
      </c>
      <c r="H43" s="195">
        <v>0</v>
      </c>
      <c r="I43" s="651">
        <v>0</v>
      </c>
    </row>
    <row r="44" spans="1:9" s="194" customFormat="1" ht="29" customHeight="1">
      <c r="A44" s="648">
        <v>2500567</v>
      </c>
      <c r="B44" s="642">
        <f>SUM(B45:B45)</f>
        <v>3428252</v>
      </c>
      <c r="C44" s="665" t="s">
        <v>975</v>
      </c>
      <c r="D44" s="193">
        <f>D45</f>
        <v>3700246</v>
      </c>
      <c r="E44" s="193">
        <f>E45</f>
        <v>162</v>
      </c>
      <c r="F44" s="193">
        <f t="shared" ref="F44:I44" si="8">F45</f>
        <v>0</v>
      </c>
      <c r="G44" s="193">
        <f t="shared" si="8"/>
        <v>0</v>
      </c>
      <c r="H44" s="193">
        <f t="shared" si="8"/>
        <v>3700011</v>
      </c>
      <c r="I44" s="649">
        <f t="shared" si="8"/>
        <v>73</v>
      </c>
    </row>
    <row r="45" spans="1:9" s="196" customFormat="1" ht="29" customHeight="1">
      <c r="A45" s="652">
        <v>2500567</v>
      </c>
      <c r="B45" s="195">
        <v>3428252</v>
      </c>
      <c r="C45" s="638" t="s">
        <v>976</v>
      </c>
      <c r="D45" s="195">
        <f>SUM(E45:I45)</f>
        <v>3700246</v>
      </c>
      <c r="E45" s="195">
        <v>162</v>
      </c>
      <c r="F45" s="195">
        <v>0</v>
      </c>
      <c r="G45" s="195">
        <v>0</v>
      </c>
      <c r="H45" s="195">
        <f>3702011-2000</f>
        <v>3700011</v>
      </c>
      <c r="I45" s="654">
        <v>73</v>
      </c>
    </row>
    <row r="46" spans="1:9" s="196" customFormat="1" ht="32.4" customHeight="1">
      <c r="A46" s="648">
        <v>694763933</v>
      </c>
      <c r="B46" s="193">
        <f>+B8+B19+B22+B29+B32+B40+B44+B36</f>
        <v>533964580</v>
      </c>
      <c r="C46" s="969" t="s">
        <v>977</v>
      </c>
      <c r="D46" s="193">
        <f t="shared" ref="D46:I46" si="9">+D8+D19+D22+D29+D32+D40+D44+D36</f>
        <v>570248464</v>
      </c>
      <c r="E46" s="193">
        <f t="shared" si="9"/>
        <v>39738</v>
      </c>
      <c r="F46" s="193">
        <f t="shared" si="9"/>
        <v>1003916</v>
      </c>
      <c r="G46" s="193">
        <f t="shared" si="9"/>
        <v>564491226</v>
      </c>
      <c r="H46" s="193">
        <f t="shared" si="9"/>
        <v>4713511</v>
      </c>
      <c r="I46" s="649">
        <f t="shared" si="9"/>
        <v>73</v>
      </c>
    </row>
    <row r="47" spans="1:9" s="196" customFormat="1" ht="101.45" customHeight="1">
      <c r="A47" s="648"/>
      <c r="B47" s="193"/>
      <c r="C47" s="969"/>
      <c r="D47" s="193"/>
      <c r="E47" s="193"/>
      <c r="F47" s="193"/>
      <c r="G47" s="193"/>
      <c r="H47" s="193"/>
      <c r="I47" s="649"/>
    </row>
    <row r="48" spans="1:9" ht="49.1" customHeight="1" thickBot="1">
      <c r="A48" s="970"/>
      <c r="B48" s="971"/>
      <c r="C48" s="971"/>
      <c r="D48" s="971"/>
      <c r="E48" s="971"/>
      <c r="F48" s="971"/>
      <c r="G48" s="971"/>
      <c r="H48" s="971"/>
      <c r="I48" s="972"/>
    </row>
  </sheetData>
  <mergeCells count="7">
    <mergeCell ref="C5:C6"/>
    <mergeCell ref="D5:I5"/>
    <mergeCell ref="A1:I1"/>
    <mergeCell ref="A2:I2"/>
    <mergeCell ref="A3:I3"/>
    <mergeCell ref="D4:E4"/>
    <mergeCell ref="G4:I4"/>
  </mergeCells>
  <phoneticPr fontId="5" type="noConversion"/>
  <printOptions horizontalCentered="1"/>
  <pageMargins left="0.59055118110236227" right="0.59055118110236227" top="0.59055118110236227" bottom="0.78740157480314965" header="0.51181102362204722" footer="0.51181102362204722"/>
  <pageSetup paperSize="9" firstPageNumber="56" pageOrder="overThenDown" orientation="portrait" useFirstPageNumber="1" r:id="rId1"/>
  <headerFooter alignWithMargins="0">
    <oddFooter>&amp;C&amp;"Times New Roman,標準"&amp;P</oddFooter>
  </headerFooter>
  <rowBreaks count="1" manualBreakCount="1">
    <brk id="29" max="8"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N46"/>
  <sheetViews>
    <sheetView view="pageBreakPreview" zoomScale="75" zoomScaleNormal="100" zoomScaleSheetLayoutView="75" workbookViewId="0">
      <pane xSplit="1" ySplit="6" topLeftCell="B34" activePane="bottomRight" state="frozen"/>
      <selection activeCell="B43" sqref="B43"/>
      <selection pane="topRight" activeCell="B43" sqref="B43"/>
      <selection pane="bottomLeft" activeCell="B43" sqref="B43"/>
      <selection pane="bottomRight" activeCell="B43" sqref="B43"/>
    </sheetView>
  </sheetViews>
  <sheetFormatPr defaultColWidth="9" defaultRowHeight="15.05"/>
  <cols>
    <col min="1" max="1" width="23.125" style="2" customWidth="1"/>
    <col min="2" max="2" width="14" style="2" customWidth="1"/>
    <col min="3" max="3" width="12.75" style="2" customWidth="1"/>
    <col min="4" max="4" width="9.5" style="2" customWidth="1"/>
    <col min="5" max="5" width="12.75" style="2" customWidth="1"/>
    <col min="6" max="6" width="8.625" style="2" customWidth="1"/>
    <col min="7" max="7" width="9.5" style="2" customWidth="1"/>
    <col min="8" max="8" width="11.25" style="2" customWidth="1"/>
    <col min="9" max="9" width="12" style="2" customWidth="1"/>
    <col min="10" max="10" width="13.375" style="2" customWidth="1"/>
    <col min="11" max="11" width="12.375" style="2" customWidth="1"/>
    <col min="12" max="12" width="11" style="2" customWidth="1"/>
    <col min="13" max="13" width="11.375" style="2" customWidth="1"/>
    <col min="14" max="14" width="18.375" style="2" customWidth="1"/>
    <col min="15" max="16384" width="9" style="2"/>
  </cols>
  <sheetData>
    <row r="1" spans="1:14" ht="22.25">
      <c r="A1" s="1421" t="s">
        <v>1694</v>
      </c>
      <c r="B1" s="1266"/>
      <c r="C1" s="1266"/>
      <c r="D1" s="1266"/>
      <c r="E1" s="1266"/>
      <c r="F1" s="1266"/>
      <c r="G1" s="1266"/>
      <c r="H1" s="1266"/>
      <c r="I1" s="1266"/>
      <c r="J1" s="1266"/>
      <c r="K1" s="1266"/>
      <c r="L1" s="1266"/>
      <c r="M1" s="1266"/>
      <c r="N1" s="1266"/>
    </row>
    <row r="2" spans="1:14" ht="22.25">
      <c r="A2" s="1421" t="s">
        <v>1698</v>
      </c>
      <c r="B2" s="1266"/>
      <c r="C2" s="1266"/>
      <c r="D2" s="1266"/>
      <c r="E2" s="1266"/>
      <c r="F2" s="1266"/>
      <c r="G2" s="1266"/>
      <c r="H2" s="1266"/>
      <c r="I2" s="1266"/>
      <c r="J2" s="1266"/>
      <c r="K2" s="1266"/>
      <c r="L2" s="1266"/>
      <c r="M2" s="1266"/>
      <c r="N2" s="1266"/>
    </row>
    <row r="3" spans="1:14" ht="21.6" customHeight="1">
      <c r="B3" s="146"/>
      <c r="C3" s="146"/>
      <c r="D3" s="146"/>
      <c r="E3" s="146"/>
      <c r="F3" s="1520" t="s">
        <v>116</v>
      </c>
      <c r="G3" s="1520"/>
      <c r="H3" s="1520"/>
      <c r="I3" s="1520"/>
      <c r="J3" s="1520"/>
      <c r="K3" s="146"/>
      <c r="L3" s="146"/>
      <c r="M3" s="146"/>
      <c r="N3" s="146"/>
    </row>
    <row r="4" spans="1:14" ht="22.25" customHeight="1" thickBot="1">
      <c r="B4" s="4"/>
      <c r="C4" s="4"/>
      <c r="D4" s="4"/>
      <c r="E4" s="4"/>
      <c r="F4" s="1510" t="s">
        <v>911</v>
      </c>
      <c r="G4" s="1510"/>
      <c r="H4" s="1510"/>
      <c r="I4" s="1510"/>
      <c r="J4" s="1510"/>
      <c r="K4" s="4"/>
      <c r="M4" s="1511" t="s">
        <v>1697</v>
      </c>
      <c r="N4" s="1512"/>
    </row>
    <row r="5" spans="1:14" ht="27.65" customHeight="1">
      <c r="A5" s="1518" t="s">
        <v>110</v>
      </c>
      <c r="B5" s="1515" t="s">
        <v>111</v>
      </c>
      <c r="C5" s="1513" t="s">
        <v>939</v>
      </c>
      <c r="D5" s="1514"/>
      <c r="E5" s="1514"/>
      <c r="F5" s="1514"/>
      <c r="G5" s="1517"/>
      <c r="H5" s="1513" t="s">
        <v>413</v>
      </c>
      <c r="I5" s="1521"/>
      <c r="J5" s="1522"/>
      <c r="K5" s="1513" t="s">
        <v>414</v>
      </c>
      <c r="L5" s="1514"/>
      <c r="M5" s="1514"/>
      <c r="N5" s="912" t="s">
        <v>783</v>
      </c>
    </row>
    <row r="6" spans="1:14" ht="32.25" customHeight="1">
      <c r="A6" s="1519"/>
      <c r="B6" s="1516"/>
      <c r="C6" s="1208" t="s">
        <v>117</v>
      </c>
      <c r="D6" s="413" t="s">
        <v>112</v>
      </c>
      <c r="E6" s="413" t="s">
        <v>113</v>
      </c>
      <c r="F6" s="413" t="s">
        <v>114</v>
      </c>
      <c r="G6" s="414" t="s">
        <v>115</v>
      </c>
      <c r="H6" s="1208" t="s">
        <v>117</v>
      </c>
      <c r="I6" s="639" t="s">
        <v>351</v>
      </c>
      <c r="J6" s="414" t="s">
        <v>112</v>
      </c>
      <c r="K6" s="1208" t="s">
        <v>117</v>
      </c>
      <c r="L6" s="413" t="s">
        <v>113</v>
      </c>
      <c r="M6" s="413" t="s">
        <v>114</v>
      </c>
      <c r="N6" s="646" t="s">
        <v>114</v>
      </c>
    </row>
    <row r="7" spans="1:14" ht="5.9" customHeight="1">
      <c r="A7" s="7"/>
      <c r="B7" s="1208"/>
      <c r="C7" s="84"/>
      <c r="D7" s="413"/>
      <c r="E7" s="413"/>
      <c r="F7" s="413"/>
      <c r="G7" s="414"/>
      <c r="H7" s="84"/>
      <c r="I7" s="414"/>
      <c r="J7" s="414"/>
      <c r="K7" s="84"/>
      <c r="L7" s="413"/>
      <c r="M7" s="413"/>
      <c r="N7" s="646"/>
    </row>
    <row r="8" spans="1:14" s="194" customFormat="1" ht="28" customHeight="1">
      <c r="A8" s="666" t="s">
        <v>503</v>
      </c>
      <c r="B8" s="193">
        <f>SUM(B9:B18)</f>
        <v>1447456</v>
      </c>
      <c r="C8" s="193">
        <f t="shared" ref="C8:C36" si="0">SUM(D8:G8)</f>
        <v>328896</v>
      </c>
      <c r="D8" s="193">
        <f>SUM(D9:D18)</f>
        <v>68000</v>
      </c>
      <c r="E8" s="193">
        <f>SUM(E9:E18)</f>
        <v>0</v>
      </c>
      <c r="F8" s="193">
        <f>SUM(F9:F18)</f>
        <v>260896</v>
      </c>
      <c r="G8" s="193">
        <f>SUM(G9:G18)</f>
        <v>0</v>
      </c>
      <c r="H8" s="193">
        <f t="shared" ref="H8:H36" si="1">SUM(I8:J8)</f>
        <v>938707</v>
      </c>
      <c r="I8" s="193">
        <f>SUM(I9:I18)</f>
        <v>2791</v>
      </c>
      <c r="J8" s="193">
        <f>SUM(J9:J18)</f>
        <v>935916</v>
      </c>
      <c r="K8" s="193">
        <f t="shared" ref="K8:K36" si="2">SUM(L8:M8)</f>
        <v>179853</v>
      </c>
      <c r="L8" s="193">
        <f>SUM(L9:L18)</f>
        <v>0</v>
      </c>
      <c r="M8" s="329">
        <f>SUM(M9:M18)</f>
        <v>179853</v>
      </c>
      <c r="N8" s="649">
        <f>SUM(N9:N18)</f>
        <v>0</v>
      </c>
    </row>
    <row r="9" spans="1:14" s="196" customFormat="1" ht="28" customHeight="1">
      <c r="A9" s="656" t="s">
        <v>504</v>
      </c>
      <c r="B9" s="195">
        <f t="shared" ref="B9:B18" si="3">+C9+H9+K9+N9</f>
        <v>576</v>
      </c>
      <c r="C9" s="195">
        <f t="shared" si="0"/>
        <v>0</v>
      </c>
      <c r="D9" s="195">
        <v>0</v>
      </c>
      <c r="E9" s="195">
        <v>0</v>
      </c>
      <c r="F9" s="195">
        <v>0</v>
      </c>
      <c r="G9" s="195">
        <v>0</v>
      </c>
      <c r="H9" s="195">
        <f t="shared" si="1"/>
        <v>7</v>
      </c>
      <c r="I9" s="195">
        <v>7</v>
      </c>
      <c r="J9" s="195">
        <v>0</v>
      </c>
      <c r="K9" s="195">
        <f t="shared" si="2"/>
        <v>569</v>
      </c>
      <c r="L9" s="195">
        <v>0</v>
      </c>
      <c r="M9" s="330">
        <v>569</v>
      </c>
      <c r="N9" s="651">
        <v>0</v>
      </c>
    </row>
    <row r="10" spans="1:14" s="196" customFormat="1" ht="28" customHeight="1">
      <c r="A10" s="656" t="s">
        <v>409</v>
      </c>
      <c r="B10" s="195">
        <f t="shared" si="3"/>
        <v>872</v>
      </c>
      <c r="C10" s="195">
        <f t="shared" si="0"/>
        <v>0</v>
      </c>
      <c r="D10" s="195">
        <v>0</v>
      </c>
      <c r="E10" s="195">
        <v>0</v>
      </c>
      <c r="F10" s="195">
        <v>0</v>
      </c>
      <c r="G10" s="195">
        <v>0</v>
      </c>
      <c r="H10" s="195">
        <f t="shared" si="1"/>
        <v>0</v>
      </c>
      <c r="I10" s="195">
        <v>0</v>
      </c>
      <c r="J10" s="195">
        <v>0</v>
      </c>
      <c r="K10" s="195">
        <f t="shared" si="2"/>
        <v>872</v>
      </c>
      <c r="L10" s="195">
        <v>0</v>
      </c>
      <c r="M10" s="330">
        <v>872</v>
      </c>
      <c r="N10" s="651">
        <v>0</v>
      </c>
    </row>
    <row r="11" spans="1:14" s="196" customFormat="1" ht="28" customHeight="1">
      <c r="A11" s="656" t="s">
        <v>542</v>
      </c>
      <c r="B11" s="195">
        <f t="shared" si="3"/>
        <v>5967</v>
      </c>
      <c r="C11" s="195">
        <f t="shared" si="0"/>
        <v>0</v>
      </c>
      <c r="D11" s="195">
        <v>0</v>
      </c>
      <c r="E11" s="195">
        <v>0</v>
      </c>
      <c r="F11" s="195">
        <v>0</v>
      </c>
      <c r="G11" s="195">
        <v>0</v>
      </c>
      <c r="H11" s="195">
        <f t="shared" si="1"/>
        <v>0</v>
      </c>
      <c r="I11" s="195">
        <v>0</v>
      </c>
      <c r="J11" s="195">
        <v>0</v>
      </c>
      <c r="K11" s="195">
        <f t="shared" si="2"/>
        <v>5967</v>
      </c>
      <c r="L11" s="195">
        <v>0</v>
      </c>
      <c r="M11" s="330">
        <v>5967</v>
      </c>
      <c r="N11" s="651">
        <v>0</v>
      </c>
    </row>
    <row r="12" spans="1:14" s="196" customFormat="1" ht="28" customHeight="1">
      <c r="A12" s="656" t="s">
        <v>1470</v>
      </c>
      <c r="B12" s="195">
        <f t="shared" si="3"/>
        <v>1701</v>
      </c>
      <c r="C12" s="195">
        <f t="shared" si="0"/>
        <v>0</v>
      </c>
      <c r="D12" s="195">
        <v>0</v>
      </c>
      <c r="E12" s="195">
        <v>0</v>
      </c>
      <c r="F12" s="195">
        <v>0</v>
      </c>
      <c r="G12" s="195">
        <v>0</v>
      </c>
      <c r="H12" s="195">
        <f t="shared" si="1"/>
        <v>1</v>
      </c>
      <c r="I12" s="195">
        <v>1</v>
      </c>
      <c r="J12" s="195">
        <v>0</v>
      </c>
      <c r="K12" s="195">
        <f t="shared" si="2"/>
        <v>1700</v>
      </c>
      <c r="L12" s="195">
        <v>0</v>
      </c>
      <c r="M12" s="330">
        <v>1700</v>
      </c>
      <c r="N12" s="651">
        <v>0</v>
      </c>
    </row>
    <row r="13" spans="1:14" s="196" customFormat="1" ht="28" customHeight="1">
      <c r="A13" s="656" t="s">
        <v>505</v>
      </c>
      <c r="B13" s="195">
        <f t="shared" si="3"/>
        <v>2118</v>
      </c>
      <c r="C13" s="195">
        <f t="shared" si="0"/>
        <v>0</v>
      </c>
      <c r="D13" s="195">
        <v>0</v>
      </c>
      <c r="E13" s="195">
        <v>0</v>
      </c>
      <c r="F13" s="195">
        <v>0</v>
      </c>
      <c r="G13" s="195">
        <v>0</v>
      </c>
      <c r="H13" s="195">
        <f t="shared" si="1"/>
        <v>2118</v>
      </c>
      <c r="I13" s="195">
        <v>2118</v>
      </c>
      <c r="J13" s="195">
        <v>0</v>
      </c>
      <c r="K13" s="195">
        <f t="shared" si="2"/>
        <v>0</v>
      </c>
      <c r="L13" s="195">
        <v>0</v>
      </c>
      <c r="M13" s="330">
        <v>0</v>
      </c>
      <c r="N13" s="651">
        <v>0</v>
      </c>
    </row>
    <row r="14" spans="1:14" s="196" customFormat="1" ht="28" customHeight="1">
      <c r="A14" s="656" t="s">
        <v>506</v>
      </c>
      <c r="B14" s="195">
        <f t="shared" si="3"/>
        <v>181</v>
      </c>
      <c r="C14" s="195">
        <f t="shared" si="0"/>
        <v>0</v>
      </c>
      <c r="D14" s="195">
        <v>0</v>
      </c>
      <c r="E14" s="195">
        <v>0</v>
      </c>
      <c r="F14" s="195">
        <v>0</v>
      </c>
      <c r="G14" s="195">
        <v>0</v>
      </c>
      <c r="H14" s="195">
        <f t="shared" si="1"/>
        <v>121</v>
      </c>
      <c r="I14" s="195">
        <v>121</v>
      </c>
      <c r="J14" s="195">
        <v>0</v>
      </c>
      <c r="K14" s="195">
        <f t="shared" si="2"/>
        <v>60</v>
      </c>
      <c r="L14" s="195">
        <v>0</v>
      </c>
      <c r="M14" s="330">
        <v>60</v>
      </c>
      <c r="N14" s="651">
        <v>0</v>
      </c>
    </row>
    <row r="15" spans="1:14" s="196" customFormat="1" ht="28" customHeight="1">
      <c r="A15" s="656" t="s">
        <v>507</v>
      </c>
      <c r="B15" s="195">
        <f t="shared" si="3"/>
        <v>1118587</v>
      </c>
      <c r="C15" s="195">
        <f t="shared" si="0"/>
        <v>68000</v>
      </c>
      <c r="D15" s="195">
        <v>68000</v>
      </c>
      <c r="E15" s="195">
        <v>0</v>
      </c>
      <c r="F15" s="195">
        <v>0</v>
      </c>
      <c r="G15" s="195">
        <v>0</v>
      </c>
      <c r="H15" s="195">
        <f t="shared" si="1"/>
        <v>900728</v>
      </c>
      <c r="I15" s="195">
        <v>394</v>
      </c>
      <c r="J15" s="195">
        <f>956243+13091-1000-D15</f>
        <v>900334</v>
      </c>
      <c r="K15" s="195">
        <f t="shared" si="2"/>
        <v>149859</v>
      </c>
      <c r="L15" s="195">
        <v>0</v>
      </c>
      <c r="M15" s="330">
        <v>149859</v>
      </c>
      <c r="N15" s="651">
        <v>0</v>
      </c>
    </row>
    <row r="16" spans="1:14" s="196" customFormat="1" ht="28" customHeight="1">
      <c r="A16" s="656" t="s">
        <v>508</v>
      </c>
      <c r="B16" s="195">
        <f t="shared" si="3"/>
        <v>307752</v>
      </c>
      <c r="C16" s="195">
        <f t="shared" si="0"/>
        <v>260896</v>
      </c>
      <c r="D16" s="195">
        <v>0</v>
      </c>
      <c r="E16" s="195">
        <v>0</v>
      </c>
      <c r="F16" s="195">
        <v>260896</v>
      </c>
      <c r="G16" s="195">
        <v>0</v>
      </c>
      <c r="H16" s="195">
        <f t="shared" si="1"/>
        <v>35732</v>
      </c>
      <c r="I16" s="195">
        <v>150</v>
      </c>
      <c r="J16" s="195">
        <v>35582</v>
      </c>
      <c r="K16" s="195">
        <f t="shared" si="2"/>
        <v>11124</v>
      </c>
      <c r="L16" s="195">
        <v>0</v>
      </c>
      <c r="M16" s="330">
        <f>11124</f>
        <v>11124</v>
      </c>
      <c r="N16" s="651">
        <v>0</v>
      </c>
    </row>
    <row r="17" spans="1:14" s="196" customFormat="1" ht="28" customHeight="1">
      <c r="A17" s="656" t="s">
        <v>1202</v>
      </c>
      <c r="B17" s="195">
        <f t="shared" si="3"/>
        <v>672</v>
      </c>
      <c r="C17" s="195">
        <f t="shared" si="0"/>
        <v>0</v>
      </c>
      <c r="D17" s="195">
        <v>0</v>
      </c>
      <c r="E17" s="195">
        <v>0</v>
      </c>
      <c r="F17" s="195">
        <v>0</v>
      </c>
      <c r="G17" s="195">
        <v>0</v>
      </c>
      <c r="H17" s="195">
        <f t="shared" si="1"/>
        <v>0</v>
      </c>
      <c r="I17" s="195"/>
      <c r="J17" s="195"/>
      <c r="K17" s="195">
        <f t="shared" si="2"/>
        <v>672</v>
      </c>
      <c r="L17" s="195">
        <v>0</v>
      </c>
      <c r="M17" s="330">
        <v>672</v>
      </c>
      <c r="N17" s="651">
        <v>0</v>
      </c>
    </row>
    <row r="18" spans="1:14" s="196" customFormat="1" ht="28" customHeight="1">
      <c r="A18" s="656" t="s">
        <v>1203</v>
      </c>
      <c r="B18" s="195">
        <f t="shared" si="3"/>
        <v>9030</v>
      </c>
      <c r="C18" s="195">
        <f t="shared" si="0"/>
        <v>0</v>
      </c>
      <c r="D18" s="195">
        <v>0</v>
      </c>
      <c r="E18" s="195">
        <v>0</v>
      </c>
      <c r="F18" s="195">
        <v>0</v>
      </c>
      <c r="G18" s="195">
        <v>0</v>
      </c>
      <c r="H18" s="195">
        <f t="shared" si="1"/>
        <v>0</v>
      </c>
      <c r="I18" s="195"/>
      <c r="J18" s="195"/>
      <c r="K18" s="195">
        <f t="shared" si="2"/>
        <v>9030</v>
      </c>
      <c r="L18" s="195">
        <v>0</v>
      </c>
      <c r="M18" s="330">
        <f>10030-1000</f>
        <v>9030</v>
      </c>
      <c r="N18" s="651">
        <v>0</v>
      </c>
    </row>
    <row r="19" spans="1:14" s="194" customFormat="1" ht="28" customHeight="1">
      <c r="A19" s="666" t="s">
        <v>408</v>
      </c>
      <c r="B19" s="193">
        <f>+B21+B20</f>
        <v>3100</v>
      </c>
      <c r="C19" s="193">
        <f t="shared" si="0"/>
        <v>0</v>
      </c>
      <c r="D19" s="193">
        <f>D21+D20</f>
        <v>0</v>
      </c>
      <c r="E19" s="193">
        <f>E21+E20</f>
        <v>0</v>
      </c>
      <c r="F19" s="193">
        <f>F21+F20</f>
        <v>0</v>
      </c>
      <c r="G19" s="193">
        <f>G21+G20</f>
        <v>0</v>
      </c>
      <c r="H19" s="193">
        <f t="shared" si="1"/>
        <v>0</v>
      </c>
      <c r="I19" s="193">
        <f>I21</f>
        <v>0</v>
      </c>
      <c r="J19" s="193">
        <f>J21</f>
        <v>0</v>
      </c>
      <c r="K19" s="193">
        <f t="shared" si="2"/>
        <v>3100</v>
      </c>
      <c r="L19" s="193">
        <f>L21+L20</f>
        <v>0</v>
      </c>
      <c r="M19" s="329">
        <f>SUM(M20:M21)</f>
        <v>3100</v>
      </c>
      <c r="N19" s="649">
        <f>N21+N20</f>
        <v>0</v>
      </c>
    </row>
    <row r="20" spans="1:14" s="194" customFormat="1" ht="28" customHeight="1">
      <c r="A20" s="656" t="s">
        <v>955</v>
      </c>
      <c r="B20" s="195">
        <f>+C20+H20+K20+N20</f>
        <v>1567</v>
      </c>
      <c r="C20" s="195">
        <f t="shared" si="0"/>
        <v>0</v>
      </c>
      <c r="D20" s="195">
        <v>0</v>
      </c>
      <c r="E20" s="195">
        <v>0</v>
      </c>
      <c r="F20" s="195">
        <v>0</v>
      </c>
      <c r="G20" s="195">
        <v>0</v>
      </c>
      <c r="H20" s="195">
        <f t="shared" si="1"/>
        <v>0</v>
      </c>
      <c r="I20" s="195">
        <v>0</v>
      </c>
      <c r="J20" s="195">
        <v>0</v>
      </c>
      <c r="K20" s="195">
        <f t="shared" si="2"/>
        <v>1567</v>
      </c>
      <c r="L20" s="195">
        <v>0</v>
      </c>
      <c r="M20" s="330">
        <v>1567</v>
      </c>
      <c r="N20" s="651">
        <v>0</v>
      </c>
    </row>
    <row r="21" spans="1:14" s="196" customFormat="1" ht="28" customHeight="1">
      <c r="A21" s="656" t="s">
        <v>509</v>
      </c>
      <c r="B21" s="195">
        <f>+C21+H21+K21+N21</f>
        <v>1533</v>
      </c>
      <c r="C21" s="195">
        <f t="shared" si="0"/>
        <v>0</v>
      </c>
      <c r="D21" s="195">
        <v>0</v>
      </c>
      <c r="E21" s="195">
        <v>0</v>
      </c>
      <c r="F21" s="195">
        <v>0</v>
      </c>
      <c r="G21" s="195">
        <v>0</v>
      </c>
      <c r="H21" s="195">
        <f t="shared" si="1"/>
        <v>0</v>
      </c>
      <c r="I21" s="195">
        <v>0</v>
      </c>
      <c r="J21" s="195">
        <v>0</v>
      </c>
      <c r="K21" s="195">
        <f t="shared" si="2"/>
        <v>1533</v>
      </c>
      <c r="L21" s="195">
        <v>0</v>
      </c>
      <c r="M21" s="330">
        <v>1533</v>
      </c>
      <c r="N21" s="651">
        <v>0</v>
      </c>
    </row>
    <row r="22" spans="1:14" s="194" customFormat="1" ht="28" customHeight="1">
      <c r="A22" s="666" t="s">
        <v>510</v>
      </c>
      <c r="B22" s="193">
        <f>SUM(B23:B28)</f>
        <v>16657</v>
      </c>
      <c r="C22" s="193">
        <f t="shared" si="0"/>
        <v>13818</v>
      </c>
      <c r="D22" s="193">
        <f>SUM(D23:D28)</f>
        <v>0</v>
      </c>
      <c r="E22" s="193">
        <f>SUM(E23:E28)</f>
        <v>0</v>
      </c>
      <c r="F22" s="193">
        <f>SUM(F23:F28)</f>
        <v>13818</v>
      </c>
      <c r="G22" s="193">
        <f>SUM(G23:G28)</f>
        <v>0</v>
      </c>
      <c r="H22" s="193">
        <f t="shared" si="1"/>
        <v>0</v>
      </c>
      <c r="I22" s="193">
        <f>SUM(I23:I28)</f>
        <v>0</v>
      </c>
      <c r="J22" s="193">
        <f>SUM(J23:J28)</f>
        <v>0</v>
      </c>
      <c r="K22" s="193">
        <f t="shared" si="2"/>
        <v>2839</v>
      </c>
      <c r="L22" s="193">
        <f>SUM(L23:L28)</f>
        <v>0</v>
      </c>
      <c r="M22" s="329">
        <f>SUM(M23:M28)</f>
        <v>2839</v>
      </c>
      <c r="N22" s="649">
        <f>SUM(N23:N28)</f>
        <v>0</v>
      </c>
    </row>
    <row r="23" spans="1:14" s="194" customFormat="1" ht="28" customHeight="1">
      <c r="A23" s="656" t="s">
        <v>1235</v>
      </c>
      <c r="B23" s="195">
        <f t="shared" ref="B23:B28" si="4">+C23+H23+K23+N23</f>
        <v>10</v>
      </c>
      <c r="C23" s="195">
        <f t="shared" si="0"/>
        <v>0</v>
      </c>
      <c r="D23" s="195">
        <v>0</v>
      </c>
      <c r="E23" s="195">
        <v>0</v>
      </c>
      <c r="F23" s="195">
        <v>0</v>
      </c>
      <c r="G23" s="195">
        <v>0</v>
      </c>
      <c r="H23" s="195">
        <f t="shared" si="1"/>
        <v>0</v>
      </c>
      <c r="I23" s="195">
        <v>0</v>
      </c>
      <c r="J23" s="195">
        <v>0</v>
      </c>
      <c r="K23" s="195">
        <f t="shared" si="2"/>
        <v>10</v>
      </c>
      <c r="L23" s="195">
        <v>0</v>
      </c>
      <c r="M23" s="330">
        <v>10</v>
      </c>
      <c r="N23" s="651">
        <v>0</v>
      </c>
    </row>
    <row r="24" spans="1:14" s="194" customFormat="1" ht="28" customHeight="1">
      <c r="A24" s="656" t="s">
        <v>1236</v>
      </c>
      <c r="B24" s="195">
        <f t="shared" si="4"/>
        <v>1189</v>
      </c>
      <c r="C24" s="195">
        <f t="shared" si="0"/>
        <v>0</v>
      </c>
      <c r="D24" s="195">
        <v>0</v>
      </c>
      <c r="E24" s="195">
        <v>0</v>
      </c>
      <c r="F24" s="195">
        <v>0</v>
      </c>
      <c r="G24" s="195">
        <v>0</v>
      </c>
      <c r="H24" s="195">
        <f t="shared" si="1"/>
        <v>0</v>
      </c>
      <c r="I24" s="195">
        <v>0</v>
      </c>
      <c r="J24" s="195">
        <v>0</v>
      </c>
      <c r="K24" s="195">
        <f t="shared" si="2"/>
        <v>1189</v>
      </c>
      <c r="L24" s="195">
        <v>0</v>
      </c>
      <c r="M24" s="330">
        <v>1189</v>
      </c>
      <c r="N24" s="651">
        <v>0</v>
      </c>
    </row>
    <row r="25" spans="1:14" s="194" customFormat="1" ht="27.65" customHeight="1">
      <c r="A25" s="656" t="s">
        <v>1237</v>
      </c>
      <c r="B25" s="195">
        <f t="shared" si="4"/>
        <v>500</v>
      </c>
      <c r="C25" s="195">
        <f t="shared" si="0"/>
        <v>0</v>
      </c>
      <c r="D25" s="195">
        <v>0</v>
      </c>
      <c r="E25" s="195">
        <v>0</v>
      </c>
      <c r="F25" s="195">
        <v>0</v>
      </c>
      <c r="G25" s="195">
        <v>0</v>
      </c>
      <c r="H25" s="195">
        <f t="shared" si="1"/>
        <v>0</v>
      </c>
      <c r="I25" s="195">
        <v>0</v>
      </c>
      <c r="J25" s="195">
        <v>0</v>
      </c>
      <c r="K25" s="195">
        <f t="shared" si="2"/>
        <v>500</v>
      </c>
      <c r="L25" s="195">
        <v>0</v>
      </c>
      <c r="M25" s="330">
        <v>500</v>
      </c>
      <c r="N25" s="651">
        <v>0</v>
      </c>
    </row>
    <row r="26" spans="1:14" s="194" customFormat="1" ht="28" customHeight="1">
      <c r="A26" s="656" t="s">
        <v>959</v>
      </c>
      <c r="B26" s="195">
        <f t="shared" si="4"/>
        <v>1100</v>
      </c>
      <c r="C26" s="195">
        <f t="shared" si="0"/>
        <v>0</v>
      </c>
      <c r="D26" s="195">
        <v>0</v>
      </c>
      <c r="E26" s="195">
        <v>0</v>
      </c>
      <c r="F26" s="195">
        <v>0</v>
      </c>
      <c r="G26" s="195">
        <v>0</v>
      </c>
      <c r="H26" s="195">
        <f t="shared" si="1"/>
        <v>0</v>
      </c>
      <c r="I26" s="195">
        <v>0</v>
      </c>
      <c r="J26" s="195">
        <v>0</v>
      </c>
      <c r="K26" s="195">
        <f t="shared" si="2"/>
        <v>1100</v>
      </c>
      <c r="L26" s="195">
        <v>0</v>
      </c>
      <c r="M26" s="330">
        <v>1100</v>
      </c>
      <c r="N26" s="651">
        <v>0</v>
      </c>
    </row>
    <row r="27" spans="1:14" s="194" customFormat="1" ht="27.65" customHeight="1">
      <c r="A27" s="656" t="s">
        <v>1238</v>
      </c>
      <c r="B27" s="195">
        <f t="shared" si="4"/>
        <v>40</v>
      </c>
      <c r="C27" s="195">
        <f t="shared" si="0"/>
        <v>0</v>
      </c>
      <c r="D27" s="195">
        <v>0</v>
      </c>
      <c r="E27" s="195">
        <v>0</v>
      </c>
      <c r="F27" s="195">
        <v>0</v>
      </c>
      <c r="G27" s="195">
        <v>0</v>
      </c>
      <c r="H27" s="195">
        <f t="shared" si="1"/>
        <v>0</v>
      </c>
      <c r="I27" s="195">
        <v>0</v>
      </c>
      <c r="J27" s="195">
        <v>0</v>
      </c>
      <c r="K27" s="195">
        <f t="shared" si="2"/>
        <v>40</v>
      </c>
      <c r="L27" s="195">
        <v>0</v>
      </c>
      <c r="M27" s="330">
        <v>40</v>
      </c>
      <c r="N27" s="651">
        <v>0</v>
      </c>
    </row>
    <row r="28" spans="1:14" s="196" customFormat="1" ht="27.65" customHeight="1">
      <c r="A28" s="656" t="s">
        <v>960</v>
      </c>
      <c r="B28" s="195">
        <f t="shared" si="4"/>
        <v>13818</v>
      </c>
      <c r="C28" s="195">
        <f t="shared" si="0"/>
        <v>13818</v>
      </c>
      <c r="D28" s="195">
        <v>0</v>
      </c>
      <c r="E28" s="195">
        <v>0</v>
      </c>
      <c r="F28" s="195">
        <v>13818</v>
      </c>
      <c r="G28" s="195">
        <v>0</v>
      </c>
      <c r="H28" s="195">
        <f t="shared" si="1"/>
        <v>0</v>
      </c>
      <c r="I28" s="195">
        <v>0</v>
      </c>
      <c r="J28" s="195">
        <v>0</v>
      </c>
      <c r="K28" s="195">
        <f t="shared" si="2"/>
        <v>0</v>
      </c>
      <c r="L28" s="195">
        <v>0</v>
      </c>
      <c r="M28" s="330">
        <v>0</v>
      </c>
      <c r="N28" s="651">
        <v>0</v>
      </c>
    </row>
    <row r="29" spans="1:14" s="194" customFormat="1" ht="31.45" customHeight="1" thickBot="1">
      <c r="A29" s="1233" t="s">
        <v>517</v>
      </c>
      <c r="B29" s="655">
        <f>+B30+B31</f>
        <v>16764</v>
      </c>
      <c r="C29" s="655">
        <f t="shared" si="0"/>
        <v>0</v>
      </c>
      <c r="D29" s="655">
        <f>D31</f>
        <v>0</v>
      </c>
      <c r="E29" s="655">
        <f>E31</f>
        <v>0</v>
      </c>
      <c r="F29" s="655">
        <f>F31</f>
        <v>0</v>
      </c>
      <c r="G29" s="655">
        <f>G31</f>
        <v>0</v>
      </c>
      <c r="H29" s="655">
        <f t="shared" si="1"/>
        <v>16764</v>
      </c>
      <c r="I29" s="655">
        <f>I30+I31</f>
        <v>16764</v>
      </c>
      <c r="J29" s="655">
        <f>J30+J31</f>
        <v>0</v>
      </c>
      <c r="K29" s="655">
        <f t="shared" si="2"/>
        <v>0</v>
      </c>
      <c r="L29" s="655">
        <f>L31</f>
        <v>0</v>
      </c>
      <c r="M29" s="1234">
        <f>M30+M31</f>
        <v>0</v>
      </c>
      <c r="N29" s="675">
        <f>N31</f>
        <v>0</v>
      </c>
    </row>
    <row r="30" spans="1:14" s="196" customFormat="1" ht="28" customHeight="1">
      <c r="A30" s="656" t="s">
        <v>962</v>
      </c>
      <c r="B30" s="195">
        <f>+C30+H30+K30+N30</f>
        <v>16155</v>
      </c>
      <c r="C30" s="195">
        <f t="shared" si="0"/>
        <v>0</v>
      </c>
      <c r="D30" s="195">
        <v>0</v>
      </c>
      <c r="E30" s="195">
        <v>0</v>
      </c>
      <c r="F30" s="195">
        <v>0</v>
      </c>
      <c r="G30" s="195">
        <v>0</v>
      </c>
      <c r="H30" s="195">
        <f t="shared" si="1"/>
        <v>16155</v>
      </c>
      <c r="I30" s="195">
        <v>16155</v>
      </c>
      <c r="J30" s="195">
        <v>0</v>
      </c>
      <c r="K30" s="195">
        <f t="shared" si="2"/>
        <v>0</v>
      </c>
      <c r="L30" s="195">
        <v>0</v>
      </c>
      <c r="M30" s="330">
        <v>0</v>
      </c>
      <c r="N30" s="651">
        <v>0</v>
      </c>
    </row>
    <row r="31" spans="1:14" s="196" customFormat="1" ht="28" customHeight="1">
      <c r="A31" s="656" t="s">
        <v>518</v>
      </c>
      <c r="B31" s="195">
        <f>+C31+H31+K31+N31</f>
        <v>609</v>
      </c>
      <c r="C31" s="195">
        <f t="shared" si="0"/>
        <v>0</v>
      </c>
      <c r="D31" s="195">
        <v>0</v>
      </c>
      <c r="E31" s="195">
        <v>0</v>
      </c>
      <c r="F31" s="195">
        <v>0</v>
      </c>
      <c r="G31" s="195">
        <v>0</v>
      </c>
      <c r="H31" s="195">
        <f t="shared" si="1"/>
        <v>609</v>
      </c>
      <c r="I31" s="195">
        <v>609</v>
      </c>
      <c r="J31" s="195">
        <v>0</v>
      </c>
      <c r="K31" s="195">
        <f t="shared" si="2"/>
        <v>0</v>
      </c>
      <c r="L31" s="195">
        <v>0</v>
      </c>
      <c r="M31" s="330">
        <v>0</v>
      </c>
      <c r="N31" s="651">
        <v>0</v>
      </c>
    </row>
    <row r="32" spans="1:14" s="194" customFormat="1" ht="28" customHeight="1">
      <c r="A32" s="666" t="s">
        <v>519</v>
      </c>
      <c r="B32" s="193">
        <f>+B33+B34+B35</f>
        <v>20021</v>
      </c>
      <c r="C32" s="193">
        <f t="shared" si="0"/>
        <v>0</v>
      </c>
      <c r="D32" s="193">
        <f>SUM(D33:D35)</f>
        <v>0</v>
      </c>
      <c r="E32" s="193">
        <f>SUM(E33:E35)</f>
        <v>0</v>
      </c>
      <c r="F32" s="193">
        <f>SUM(F33:F35)</f>
        <v>0</v>
      </c>
      <c r="G32" s="193">
        <f>SUM(G33:G35)</f>
        <v>0</v>
      </c>
      <c r="H32" s="193">
        <f t="shared" si="1"/>
        <v>20021</v>
      </c>
      <c r="I32" s="193">
        <f>I33+I34+I35</f>
        <v>20021</v>
      </c>
      <c r="J32" s="193">
        <f>J33+J34+J35</f>
        <v>0</v>
      </c>
      <c r="K32" s="193">
        <f t="shared" si="2"/>
        <v>0</v>
      </c>
      <c r="L32" s="193">
        <f>SUM(L33:L35)</f>
        <v>0</v>
      </c>
      <c r="M32" s="329">
        <f>M33+M34+M35</f>
        <v>0</v>
      </c>
      <c r="N32" s="649">
        <f>SUM(N33:N35)</f>
        <v>0</v>
      </c>
    </row>
    <row r="33" spans="1:14" s="196" customFormat="1" ht="28" customHeight="1">
      <c r="A33" s="656" t="s">
        <v>511</v>
      </c>
      <c r="B33" s="195">
        <f>+C33+H33+K33+N33</f>
        <v>20000</v>
      </c>
      <c r="C33" s="195">
        <f t="shared" si="0"/>
        <v>0</v>
      </c>
      <c r="D33" s="195">
        <v>0</v>
      </c>
      <c r="E33" s="195">
        <v>0</v>
      </c>
      <c r="F33" s="195">
        <v>0</v>
      </c>
      <c r="G33" s="195">
        <v>0</v>
      </c>
      <c r="H33" s="195">
        <f t="shared" si="1"/>
        <v>20000</v>
      </c>
      <c r="I33" s="195">
        <v>20000</v>
      </c>
      <c r="J33" s="195">
        <v>0</v>
      </c>
      <c r="K33" s="195">
        <f t="shared" si="2"/>
        <v>0</v>
      </c>
      <c r="L33" s="195">
        <v>0</v>
      </c>
      <c r="M33" s="330">
        <v>0</v>
      </c>
      <c r="N33" s="651">
        <v>0</v>
      </c>
    </row>
    <row r="34" spans="1:14" s="196" customFormat="1" ht="28" customHeight="1">
      <c r="A34" s="656" t="s">
        <v>512</v>
      </c>
      <c r="B34" s="195">
        <f>+C34+H34+K34+N34</f>
        <v>13</v>
      </c>
      <c r="C34" s="195">
        <f t="shared" si="0"/>
        <v>0</v>
      </c>
      <c r="D34" s="195">
        <v>0</v>
      </c>
      <c r="E34" s="195">
        <v>0</v>
      </c>
      <c r="F34" s="195">
        <v>0</v>
      </c>
      <c r="G34" s="195">
        <v>0</v>
      </c>
      <c r="H34" s="195">
        <f t="shared" si="1"/>
        <v>13</v>
      </c>
      <c r="I34" s="195">
        <v>13</v>
      </c>
      <c r="J34" s="195">
        <v>0</v>
      </c>
      <c r="K34" s="195">
        <f t="shared" si="2"/>
        <v>0</v>
      </c>
      <c r="L34" s="195">
        <v>0</v>
      </c>
      <c r="M34" s="330">
        <v>0</v>
      </c>
      <c r="N34" s="651">
        <v>0</v>
      </c>
    </row>
    <row r="35" spans="1:14" s="196" customFormat="1" ht="28" customHeight="1">
      <c r="A35" s="656" t="s">
        <v>513</v>
      </c>
      <c r="B35" s="195">
        <f>+C35+H35+K35+N35</f>
        <v>8</v>
      </c>
      <c r="C35" s="195">
        <f t="shared" si="0"/>
        <v>0</v>
      </c>
      <c r="D35" s="195">
        <v>0</v>
      </c>
      <c r="E35" s="195">
        <v>0</v>
      </c>
      <c r="F35" s="195">
        <v>0</v>
      </c>
      <c r="G35" s="195">
        <v>0</v>
      </c>
      <c r="H35" s="195">
        <f t="shared" si="1"/>
        <v>8</v>
      </c>
      <c r="I35" s="195">
        <v>8</v>
      </c>
      <c r="J35" s="195">
        <v>0</v>
      </c>
      <c r="K35" s="195">
        <f t="shared" si="2"/>
        <v>0</v>
      </c>
      <c r="L35" s="195">
        <v>0</v>
      </c>
      <c r="M35" s="330">
        <v>0</v>
      </c>
      <c r="N35" s="651">
        <v>0</v>
      </c>
    </row>
    <row r="36" spans="1:14" s="196" customFormat="1" ht="47.95" customHeight="1">
      <c r="A36" s="1235" t="s">
        <v>968</v>
      </c>
      <c r="B36" s="193">
        <f>+B38+B39</f>
        <v>537108</v>
      </c>
      <c r="C36" s="193">
        <f t="shared" si="0"/>
        <v>0</v>
      </c>
      <c r="D36" s="193">
        <f>SUM(D38:D40)</f>
        <v>0</v>
      </c>
      <c r="E36" s="193">
        <f>SUM(E38:E39)</f>
        <v>0</v>
      </c>
      <c r="F36" s="193">
        <f>SUM(F38:F39)</f>
        <v>0</v>
      </c>
      <c r="G36" s="193">
        <f>SUM(G38:G39)</f>
        <v>0</v>
      </c>
      <c r="H36" s="193">
        <f t="shared" si="1"/>
        <v>0</v>
      </c>
      <c r="I36" s="193">
        <f>I37+I38+I39</f>
        <v>0</v>
      </c>
      <c r="J36" s="193">
        <f>J37+J38+J39</f>
        <v>0</v>
      </c>
      <c r="K36" s="193">
        <f t="shared" si="2"/>
        <v>537108</v>
      </c>
      <c r="L36" s="193">
        <f>SUM(L38:L39)</f>
        <v>0</v>
      </c>
      <c r="M36" s="329">
        <f>M37+M38+M39</f>
        <v>537108</v>
      </c>
      <c r="N36" s="649">
        <f>SUM(N38:N39)</f>
        <v>0</v>
      </c>
    </row>
    <row r="37" spans="1:14" s="196" customFormat="1" ht="47.95" hidden="1" customHeight="1">
      <c r="A37" s="666"/>
      <c r="B37" s="193"/>
      <c r="C37" s="193"/>
      <c r="D37" s="193"/>
      <c r="E37" s="193"/>
      <c r="F37" s="193"/>
      <c r="G37" s="193"/>
      <c r="H37" s="193"/>
      <c r="I37" s="193">
        <v>0</v>
      </c>
      <c r="J37" s="193">
        <v>0</v>
      </c>
      <c r="K37" s="193"/>
      <c r="L37" s="193"/>
      <c r="M37" s="329">
        <v>0</v>
      </c>
      <c r="N37" s="649"/>
    </row>
    <row r="38" spans="1:14" s="196" customFormat="1" ht="27.65" customHeight="1">
      <c r="A38" s="656" t="s">
        <v>1469</v>
      </c>
      <c r="B38" s="195">
        <f>+C38+H38+K38+N38</f>
        <v>507108</v>
      </c>
      <c r="C38" s="195">
        <f t="shared" ref="C38:C46" si="5">SUM(D38:G38)</f>
        <v>0</v>
      </c>
      <c r="D38" s="195">
        <v>0</v>
      </c>
      <c r="E38" s="195">
        <v>0</v>
      </c>
      <c r="F38" s="195">
        <v>0</v>
      </c>
      <c r="G38" s="195">
        <v>0</v>
      </c>
      <c r="H38" s="195">
        <f t="shared" ref="H38:H46" si="6">SUM(I38:J38)</f>
        <v>0</v>
      </c>
      <c r="I38" s="195">
        <v>0</v>
      </c>
      <c r="J38" s="195">
        <v>0</v>
      </c>
      <c r="K38" s="195">
        <f>SUM(L38:M38)</f>
        <v>507108</v>
      </c>
      <c r="L38" s="195">
        <v>0</v>
      </c>
      <c r="M38" s="330">
        <f>457108+50000</f>
        <v>507108</v>
      </c>
      <c r="N38" s="651">
        <v>0</v>
      </c>
    </row>
    <row r="39" spans="1:14" s="196" customFormat="1" ht="32.4" customHeight="1">
      <c r="A39" s="656" t="s">
        <v>1559</v>
      </c>
      <c r="B39" s="195">
        <f>+C39+H39+K39+N39</f>
        <v>30000</v>
      </c>
      <c r="C39" s="195">
        <f t="shared" si="5"/>
        <v>0</v>
      </c>
      <c r="D39" s="195">
        <v>0</v>
      </c>
      <c r="E39" s="195">
        <v>0</v>
      </c>
      <c r="F39" s="195">
        <v>0</v>
      </c>
      <c r="G39" s="195">
        <v>0</v>
      </c>
      <c r="H39" s="195">
        <f t="shared" si="6"/>
        <v>0</v>
      </c>
      <c r="I39" s="195">
        <v>0</v>
      </c>
      <c r="J39" s="195">
        <v>0</v>
      </c>
      <c r="K39" s="195">
        <f>SUM(L39:M39)</f>
        <v>30000</v>
      </c>
      <c r="L39" s="195">
        <v>0</v>
      </c>
      <c r="M39" s="330">
        <v>30000</v>
      </c>
      <c r="N39" s="651">
        <v>0</v>
      </c>
    </row>
    <row r="40" spans="1:14" s="194" customFormat="1" ht="27.5" customHeight="1">
      <c r="A40" s="666" t="s">
        <v>520</v>
      </c>
      <c r="B40" s="193">
        <f>+B41+B42+B43</f>
        <v>564507112</v>
      </c>
      <c r="C40" s="193">
        <f t="shared" si="5"/>
        <v>564136674</v>
      </c>
      <c r="D40" s="193">
        <f>SUM(D41:D43)</f>
        <v>0</v>
      </c>
      <c r="E40" s="193">
        <f>SUM(E41:E43)</f>
        <v>564136674</v>
      </c>
      <c r="F40" s="193">
        <f>SUM(F41:F43)</f>
        <v>0</v>
      </c>
      <c r="G40" s="193">
        <f>SUM(G41:G43)</f>
        <v>0</v>
      </c>
      <c r="H40" s="193">
        <f t="shared" si="6"/>
        <v>0</v>
      </c>
      <c r="I40" s="193">
        <f>I41+I42+I43</f>
        <v>0</v>
      </c>
      <c r="J40" s="193">
        <f>J41+J42+J43</f>
        <v>0</v>
      </c>
      <c r="K40" s="193">
        <f>SUM(L40:M40)</f>
        <v>370438</v>
      </c>
      <c r="L40" s="193">
        <f>SUM(L41:L43)</f>
        <v>354552</v>
      </c>
      <c r="M40" s="329">
        <f>M42+M43+M41</f>
        <v>15886</v>
      </c>
      <c r="N40" s="649">
        <f>SUM(N41:N43)</f>
        <v>0</v>
      </c>
    </row>
    <row r="41" spans="1:14" s="196" customFormat="1" ht="27.5" customHeight="1">
      <c r="A41" s="656" t="s">
        <v>972</v>
      </c>
      <c r="B41" s="195">
        <f>+C41+H41+K41+N41</f>
        <v>917868</v>
      </c>
      <c r="C41" s="195">
        <f t="shared" si="5"/>
        <v>917868</v>
      </c>
      <c r="D41" s="195">
        <v>0</v>
      </c>
      <c r="E41" s="195">
        <v>917868</v>
      </c>
      <c r="F41" s="195">
        <v>0</v>
      </c>
      <c r="G41" s="195">
        <v>0</v>
      </c>
      <c r="H41" s="195">
        <f t="shared" si="6"/>
        <v>0</v>
      </c>
      <c r="I41" s="195">
        <v>0</v>
      </c>
      <c r="J41" s="195">
        <v>0</v>
      </c>
      <c r="K41" s="195">
        <f>SUM(L41:M41)</f>
        <v>0</v>
      </c>
      <c r="L41" s="195">
        <v>0</v>
      </c>
      <c r="M41" s="330">
        <v>0</v>
      </c>
      <c r="N41" s="651">
        <v>0</v>
      </c>
    </row>
    <row r="42" spans="1:14" s="196" customFormat="1" ht="27.65" customHeight="1">
      <c r="A42" s="656" t="s">
        <v>973</v>
      </c>
      <c r="B42" s="195">
        <f>+C42+H42+K42+N42</f>
        <v>558612612</v>
      </c>
      <c r="C42" s="195">
        <f t="shared" si="5"/>
        <v>558258184</v>
      </c>
      <c r="D42" s="195">
        <v>0</v>
      </c>
      <c r="E42" s="195">
        <v>558258184</v>
      </c>
      <c r="F42" s="195">
        <v>0</v>
      </c>
      <c r="G42" s="195">
        <v>0</v>
      </c>
      <c r="H42" s="195">
        <f t="shared" si="6"/>
        <v>0</v>
      </c>
      <c r="I42" s="195">
        <v>0</v>
      </c>
      <c r="J42" s="195">
        <v>0</v>
      </c>
      <c r="K42" s="195">
        <f>+L42+M42</f>
        <v>354428</v>
      </c>
      <c r="L42" s="195">
        <f>171207+168335-1000</f>
        <v>338542</v>
      </c>
      <c r="M42" s="330">
        <v>15886</v>
      </c>
      <c r="N42" s="651">
        <v>0</v>
      </c>
    </row>
    <row r="43" spans="1:14" s="196" customFormat="1" ht="28" customHeight="1">
      <c r="A43" s="656" t="s">
        <v>514</v>
      </c>
      <c r="B43" s="195">
        <f>+C43+H43+K43+N43</f>
        <v>4976632</v>
      </c>
      <c r="C43" s="195">
        <f t="shared" si="5"/>
        <v>4960622</v>
      </c>
      <c r="D43" s="195">
        <v>0</v>
      </c>
      <c r="E43" s="195">
        <f>[11]各項費用彙計表!G43-'各項費用彙計表 (單位)'!L43</f>
        <v>4960622</v>
      </c>
      <c r="F43" s="195">
        <v>0</v>
      </c>
      <c r="G43" s="195">
        <v>0</v>
      </c>
      <c r="H43" s="195">
        <f t="shared" si="6"/>
        <v>0</v>
      </c>
      <c r="I43" s="195">
        <v>0</v>
      </c>
      <c r="J43" s="195">
        <v>0</v>
      </c>
      <c r="K43" s="195">
        <f>SUM(L43:M43)</f>
        <v>16010</v>
      </c>
      <c r="L43" s="195">
        <v>16010</v>
      </c>
      <c r="M43" s="330">
        <v>0</v>
      </c>
      <c r="N43" s="651">
        <v>0</v>
      </c>
    </row>
    <row r="44" spans="1:14" s="194" customFormat="1" ht="28" customHeight="1">
      <c r="A44" s="666" t="s">
        <v>739</v>
      </c>
      <c r="B44" s="193">
        <f>+B45</f>
        <v>3700246</v>
      </c>
      <c r="C44" s="193">
        <f t="shared" si="5"/>
        <v>73</v>
      </c>
      <c r="D44" s="193">
        <f>D45</f>
        <v>0</v>
      </c>
      <c r="E44" s="193">
        <f>E45</f>
        <v>0</v>
      </c>
      <c r="F44" s="193">
        <f>F45</f>
        <v>0</v>
      </c>
      <c r="G44" s="193">
        <f>G45</f>
        <v>73</v>
      </c>
      <c r="H44" s="193">
        <f t="shared" si="6"/>
        <v>162</v>
      </c>
      <c r="I44" s="193">
        <f>I45</f>
        <v>162</v>
      </c>
      <c r="J44" s="193">
        <f>J45</f>
        <v>0</v>
      </c>
      <c r="K44" s="329">
        <f>SUM(L44:M44)</f>
        <v>0</v>
      </c>
      <c r="L44" s="193">
        <f>L45</f>
        <v>0</v>
      </c>
      <c r="M44" s="352">
        <f>M45</f>
        <v>0</v>
      </c>
      <c r="N44" s="649">
        <f>N45</f>
        <v>3700011</v>
      </c>
    </row>
    <row r="45" spans="1:14" s="196" customFormat="1" ht="28" customHeight="1">
      <c r="A45" s="656" t="s">
        <v>515</v>
      </c>
      <c r="B45" s="195">
        <f>+C45+H45+K45+N45</f>
        <v>3700246</v>
      </c>
      <c r="C45" s="195">
        <f t="shared" si="5"/>
        <v>73</v>
      </c>
      <c r="D45" s="195">
        <v>0</v>
      </c>
      <c r="E45" s="195">
        <v>0</v>
      </c>
      <c r="F45" s="195">
        <v>0</v>
      </c>
      <c r="G45" s="327">
        <v>73</v>
      </c>
      <c r="H45" s="195">
        <f t="shared" si="6"/>
        <v>162</v>
      </c>
      <c r="I45" s="195">
        <v>162</v>
      </c>
      <c r="J45" s="195">
        <v>0</v>
      </c>
      <c r="K45" s="195">
        <f>SUM(L45:M45)</f>
        <v>0</v>
      </c>
      <c r="L45" s="195">
        <v>0</v>
      </c>
      <c r="M45" s="330">
        <v>0</v>
      </c>
      <c r="N45" s="651">
        <v>3700011</v>
      </c>
    </row>
    <row r="46" spans="1:14" s="194" customFormat="1" ht="174.15" customHeight="1" thickBot="1">
      <c r="A46" s="701" t="s">
        <v>516</v>
      </c>
      <c r="B46" s="655">
        <f>+B8+B19+B22+B29+B32+B40+B44+B36</f>
        <v>570248464</v>
      </c>
      <c r="C46" s="655">
        <f t="shared" si="5"/>
        <v>564479461</v>
      </c>
      <c r="D46" s="655">
        <f>+D8+D19+D22+D29+D32+D40+D44</f>
        <v>68000</v>
      </c>
      <c r="E46" s="655">
        <f>+E8+E19+E22+E29+E32+E40+E44</f>
        <v>564136674</v>
      </c>
      <c r="F46" s="655">
        <f>+F8+F19+F22+F29+F32+F40+F44</f>
        <v>274714</v>
      </c>
      <c r="G46" s="655">
        <f>+G8+G19+G22+G29+G32+G40+G44</f>
        <v>73</v>
      </c>
      <c r="H46" s="655">
        <f t="shared" si="6"/>
        <v>975654</v>
      </c>
      <c r="I46" s="655">
        <f>+I8+I19+I22+I29+I32+I40+I44+I36</f>
        <v>39738</v>
      </c>
      <c r="J46" s="655">
        <f>+J8+J19+J22+J29+J32+J40+J44+J36</f>
        <v>935916</v>
      </c>
      <c r="K46" s="655">
        <f>SUM(L46:M46)</f>
        <v>1093338</v>
      </c>
      <c r="L46" s="655">
        <f>+L8+L19+L22+L29+L32+L40+L44</f>
        <v>354552</v>
      </c>
      <c r="M46" s="655">
        <f>+M8+M19+M22+M29+M32+M40+M44+M36</f>
        <v>738786</v>
      </c>
      <c r="N46" s="675">
        <f>+N8+N19+N22+N29+N32+N40+N44</f>
        <v>3700011</v>
      </c>
    </row>
  </sheetData>
  <mergeCells count="10">
    <mergeCell ref="K5:M5"/>
    <mergeCell ref="A1:N1"/>
    <mergeCell ref="A2:N2"/>
    <mergeCell ref="F4:J4"/>
    <mergeCell ref="B5:B6"/>
    <mergeCell ref="C5:G5"/>
    <mergeCell ref="A5:A6"/>
    <mergeCell ref="F3:J3"/>
    <mergeCell ref="H5:J5"/>
    <mergeCell ref="M4:N4"/>
  </mergeCells>
  <phoneticPr fontId="5" type="noConversion"/>
  <printOptions horizontalCentered="1"/>
  <pageMargins left="0.59055118110236227" right="0.59055118110236227" top="0.59055118110236227" bottom="0.78740157480314965" header="0.51181102362204722" footer="0.51181102362204722"/>
  <pageSetup paperSize="9" firstPageNumber="60" pageOrder="overThenDown" orientation="portrait" useFirstPageNumber="1" r:id="rId1"/>
  <headerFooter alignWithMargins="0">
    <oddFooter>&amp;C&amp;"Times New Roman,標準"&amp;P</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E25"/>
  <sheetViews>
    <sheetView view="pageBreakPreview" zoomScaleNormal="100" zoomScaleSheetLayoutView="100" workbookViewId="0">
      <selection activeCell="L13" sqref="L13"/>
    </sheetView>
  </sheetViews>
  <sheetFormatPr defaultColWidth="9" defaultRowHeight="15.05"/>
  <cols>
    <col min="1" max="1" width="36.75" style="6" customWidth="1"/>
    <col min="2" max="5" width="13.375" style="6" customWidth="1"/>
    <col min="6" max="16384" width="9" style="6"/>
  </cols>
  <sheetData>
    <row r="1" spans="1:5" s="2" customFormat="1" ht="22.25">
      <c r="A1" s="1266" t="s">
        <v>59</v>
      </c>
      <c r="B1" s="1266"/>
      <c r="C1" s="1266"/>
      <c r="D1" s="1266"/>
      <c r="E1" s="1266"/>
    </row>
    <row r="2" spans="1:5" s="2" customFormat="1" ht="22.25">
      <c r="A2" s="1421" t="s">
        <v>60</v>
      </c>
      <c r="B2" s="1266"/>
      <c r="C2" s="1266"/>
      <c r="D2" s="1266"/>
      <c r="E2" s="1266"/>
    </row>
    <row r="3" spans="1:5" s="2" customFormat="1" ht="24.75" customHeight="1">
      <c r="A3" s="1267" t="s">
        <v>1718</v>
      </c>
      <c r="B3" s="1268"/>
      <c r="C3" s="1268"/>
      <c r="D3" s="1268"/>
      <c r="E3" s="1268"/>
    </row>
    <row r="4" spans="1:5" s="2" customFormat="1" ht="24.9" customHeight="1" thickBot="1">
      <c r="A4" s="1316" t="s">
        <v>1739</v>
      </c>
      <c r="B4" s="1287"/>
      <c r="C4" s="1287"/>
      <c r="D4" s="1287"/>
      <c r="E4" s="1287"/>
    </row>
    <row r="5" spans="1:5">
      <c r="A5" s="1526" t="s">
        <v>118</v>
      </c>
      <c r="B5" s="1523" t="s">
        <v>119</v>
      </c>
      <c r="C5" s="1523"/>
      <c r="D5" s="1523"/>
      <c r="E5" s="1524" t="s">
        <v>120</v>
      </c>
    </row>
    <row r="6" spans="1:5" ht="32.75">
      <c r="A6" s="1527"/>
      <c r="B6" s="415" t="s">
        <v>121</v>
      </c>
      <c r="C6" s="415" t="s">
        <v>122</v>
      </c>
      <c r="D6" s="416" t="s">
        <v>123</v>
      </c>
      <c r="E6" s="1525"/>
    </row>
    <row r="7" spans="1:5" ht="8.1999999999999993" customHeight="1">
      <c r="A7" s="57"/>
      <c r="B7" s="58"/>
      <c r="C7" s="58"/>
      <c r="D7" s="58"/>
      <c r="E7" s="59"/>
    </row>
    <row r="8" spans="1:5" s="234" customFormat="1" ht="34.549999999999997" customHeight="1">
      <c r="A8" s="667" t="s">
        <v>410</v>
      </c>
      <c r="B8" s="62">
        <f>SUM(B9:B24)</f>
        <v>2130336</v>
      </c>
      <c r="C8" s="62"/>
      <c r="D8" s="62">
        <f>SUM(D9:D24)</f>
        <v>2130336</v>
      </c>
      <c r="E8" s="228">
        <f>SUM(E9:E24)</f>
        <v>280944</v>
      </c>
    </row>
    <row r="9" spans="1:5" ht="42.55" customHeight="1">
      <c r="A9" s="417" t="s">
        <v>521</v>
      </c>
      <c r="B9" s="60">
        <v>1640423</v>
      </c>
      <c r="C9" s="60"/>
      <c r="D9" s="60">
        <f>SUM(B9:C9)</f>
        <v>1640423</v>
      </c>
      <c r="E9" s="61">
        <v>147825</v>
      </c>
    </row>
    <row r="10" spans="1:5" s="30" customFormat="1" ht="32.25" customHeight="1">
      <c r="A10" s="417" t="s">
        <v>522</v>
      </c>
      <c r="B10" s="956">
        <v>0</v>
      </c>
      <c r="C10" s="955"/>
      <c r="D10" s="956">
        <v>0</v>
      </c>
      <c r="E10" s="61">
        <v>1458</v>
      </c>
    </row>
    <row r="11" spans="1:5" s="9" customFormat="1" ht="32.25" customHeight="1">
      <c r="A11" s="417" t="s">
        <v>523</v>
      </c>
      <c r="B11" s="60">
        <v>149250</v>
      </c>
      <c r="C11" s="60"/>
      <c r="D11" s="60">
        <f t="shared" ref="D11:D22" si="0">SUM(B11:C11)</f>
        <v>149250</v>
      </c>
      <c r="E11" s="61">
        <v>20013</v>
      </c>
    </row>
    <row r="12" spans="1:5" s="9" customFormat="1" ht="36.85" customHeight="1">
      <c r="A12" s="417" t="s">
        <v>524</v>
      </c>
      <c r="B12" s="60">
        <v>101728</v>
      </c>
      <c r="C12" s="60"/>
      <c r="D12" s="60">
        <f t="shared" si="0"/>
        <v>101728</v>
      </c>
      <c r="E12" s="61">
        <v>9737</v>
      </c>
    </row>
    <row r="13" spans="1:5" s="9" customFormat="1" ht="32.25" customHeight="1">
      <c r="A13" s="417" t="s">
        <v>411</v>
      </c>
      <c r="B13" s="60">
        <v>941</v>
      </c>
      <c r="C13" s="60"/>
      <c r="D13" s="60">
        <f t="shared" si="0"/>
        <v>941</v>
      </c>
      <c r="E13" s="379">
        <v>0</v>
      </c>
    </row>
    <row r="14" spans="1:5" s="9" customFormat="1" ht="32.25" customHeight="1">
      <c r="A14" s="417" t="s">
        <v>412</v>
      </c>
      <c r="B14" s="60">
        <v>1856</v>
      </c>
      <c r="C14" s="60"/>
      <c r="D14" s="60">
        <f t="shared" si="0"/>
        <v>1856</v>
      </c>
      <c r="E14" s="61">
        <v>359</v>
      </c>
    </row>
    <row r="15" spans="1:5" s="9" customFormat="1" ht="32.25" customHeight="1">
      <c r="A15" s="417" t="s">
        <v>525</v>
      </c>
      <c r="B15" s="60">
        <v>4059</v>
      </c>
      <c r="C15" s="60"/>
      <c r="D15" s="60">
        <f t="shared" si="0"/>
        <v>4059</v>
      </c>
      <c r="E15" s="61">
        <v>996</v>
      </c>
    </row>
    <row r="16" spans="1:5" ht="32.25" hidden="1" customHeight="1">
      <c r="A16" s="417" t="s">
        <v>526</v>
      </c>
      <c r="B16" s="60"/>
      <c r="C16" s="62"/>
      <c r="D16" s="60">
        <f t="shared" si="0"/>
        <v>0</v>
      </c>
      <c r="E16" s="379">
        <v>0</v>
      </c>
    </row>
    <row r="17" spans="1:5" ht="36.85" customHeight="1">
      <c r="A17" s="417" t="s">
        <v>527</v>
      </c>
      <c r="B17" s="60">
        <v>21246</v>
      </c>
      <c r="C17" s="60"/>
      <c r="D17" s="60">
        <f t="shared" si="0"/>
        <v>21246</v>
      </c>
      <c r="E17" s="379">
        <v>3897</v>
      </c>
    </row>
    <row r="18" spans="1:5" ht="36.85" customHeight="1">
      <c r="A18" s="417" t="s">
        <v>724</v>
      </c>
      <c r="B18" s="60">
        <v>22185</v>
      </c>
      <c r="C18" s="60"/>
      <c r="D18" s="60">
        <f t="shared" si="0"/>
        <v>22185</v>
      </c>
      <c r="E18" s="61">
        <v>2002</v>
      </c>
    </row>
    <row r="19" spans="1:5" ht="36.85" customHeight="1">
      <c r="A19" s="417" t="s">
        <v>725</v>
      </c>
      <c r="B19" s="60">
        <v>1142</v>
      </c>
      <c r="C19" s="60"/>
      <c r="D19" s="60">
        <f t="shared" si="0"/>
        <v>1142</v>
      </c>
      <c r="E19" s="61">
        <v>93</v>
      </c>
    </row>
    <row r="20" spans="1:5" ht="37.5" customHeight="1">
      <c r="A20" s="417" t="s">
        <v>528</v>
      </c>
      <c r="B20" s="60">
        <v>166581</v>
      </c>
      <c r="C20" s="60"/>
      <c r="D20" s="60">
        <f t="shared" si="0"/>
        <v>166581</v>
      </c>
      <c r="E20" s="61">
        <v>91302</v>
      </c>
    </row>
    <row r="21" spans="1:5" s="9" customFormat="1" ht="36.85" customHeight="1">
      <c r="A21" s="417" t="s">
        <v>529</v>
      </c>
      <c r="B21" s="60">
        <v>6329</v>
      </c>
      <c r="C21" s="60"/>
      <c r="D21" s="60">
        <f t="shared" si="0"/>
        <v>6329</v>
      </c>
      <c r="E21" s="379">
        <v>0</v>
      </c>
    </row>
    <row r="22" spans="1:5" ht="32.25" customHeight="1">
      <c r="A22" s="417" t="s">
        <v>530</v>
      </c>
      <c r="B22" s="60">
        <v>14596</v>
      </c>
      <c r="C22" s="60"/>
      <c r="D22" s="60">
        <f t="shared" si="0"/>
        <v>14596</v>
      </c>
      <c r="E22" s="61">
        <v>3262</v>
      </c>
    </row>
    <row r="23" spans="1:5" ht="75.599999999999994" customHeight="1">
      <c r="A23" s="417"/>
      <c r="B23" s="60"/>
      <c r="C23" s="60"/>
      <c r="D23" s="60"/>
      <c r="E23" s="61"/>
    </row>
    <row r="24" spans="1:5" ht="25.55" customHeight="1">
      <c r="A24" s="417"/>
      <c r="B24" s="60"/>
      <c r="C24" s="60"/>
      <c r="D24" s="60"/>
      <c r="E24" s="61"/>
    </row>
    <row r="25" spans="1:5" ht="31.6" customHeight="1" thickBot="1">
      <c r="A25" s="253"/>
      <c r="B25" s="254"/>
      <c r="C25" s="254"/>
      <c r="D25" s="254"/>
      <c r="E25" s="255"/>
    </row>
  </sheetData>
  <mergeCells count="7">
    <mergeCell ref="B5:D5"/>
    <mergeCell ref="E5:E6"/>
    <mergeCell ref="A4:E4"/>
    <mergeCell ref="A1:E1"/>
    <mergeCell ref="A2:E2"/>
    <mergeCell ref="A3:E3"/>
    <mergeCell ref="A5:A6"/>
  </mergeCells>
  <phoneticPr fontId="5" type="noConversion"/>
  <printOptions horizontalCentered="1"/>
  <pageMargins left="0.59055118110236227" right="0.59055118110236227" top="0.59055118110236227" bottom="0.78740157480314965" header="0.51181102362204722" footer="0.51181102362204722"/>
  <pageSetup paperSize="9" firstPageNumber="65" orientation="portrait" useFirstPageNumber="1" r:id="rId1"/>
  <headerFooter alignWithMargins="0">
    <oddFooter>&amp;C&amp;"Times New Roman,標準"&amp;P</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N72"/>
  <sheetViews>
    <sheetView view="pageBreakPreview" zoomScaleNormal="91" zoomScaleSheetLayoutView="100" workbookViewId="0">
      <selection activeCell="L13" sqref="L13"/>
    </sheetView>
  </sheetViews>
  <sheetFormatPr defaultColWidth="9" defaultRowHeight="15.05"/>
  <cols>
    <col min="1" max="1" width="24.625" style="6" customWidth="1"/>
    <col min="2" max="2" width="11.5" style="6" customWidth="1"/>
    <col min="3" max="3" width="11" style="6" customWidth="1"/>
    <col min="4" max="4" width="7.375" style="6" customWidth="1"/>
    <col min="5" max="5" width="12.625" style="6" customWidth="1"/>
    <col min="6" max="6" width="2.5" style="6" customWidth="1"/>
    <col min="7" max="7" width="3.125" style="6" customWidth="1"/>
    <col min="8" max="8" width="17.5" style="6" customWidth="1"/>
    <col min="9" max="9" width="9" style="6"/>
    <col min="10" max="10" width="26.375" style="6" customWidth="1"/>
    <col min="11" max="11" width="19.875" style="6" customWidth="1"/>
    <col min="12" max="12" width="14.625" style="6" bestFit="1" customWidth="1"/>
    <col min="13" max="13" width="12.25" style="6" bestFit="1" customWidth="1"/>
    <col min="14" max="16384" width="9" style="6"/>
  </cols>
  <sheetData>
    <row r="1" spans="1:14" s="2" customFormat="1" ht="22.25">
      <c r="A1" s="1421" t="s">
        <v>59</v>
      </c>
      <c r="B1" s="1266"/>
      <c r="C1" s="1266"/>
      <c r="D1" s="1266"/>
      <c r="E1" s="1266"/>
      <c r="F1" s="1266"/>
      <c r="G1" s="1266"/>
      <c r="H1" s="1266"/>
      <c r="I1" s="1"/>
      <c r="J1" s="1"/>
    </row>
    <row r="2" spans="1:14" s="2" customFormat="1" ht="22.25">
      <c r="A2" s="1421" t="s">
        <v>60</v>
      </c>
      <c r="B2" s="1266"/>
      <c r="C2" s="1266"/>
      <c r="D2" s="1266"/>
      <c r="E2" s="1266"/>
      <c r="F2" s="1266"/>
      <c r="G2" s="1266"/>
      <c r="H2" s="1266"/>
      <c r="I2" s="1"/>
      <c r="J2" s="1"/>
    </row>
    <row r="3" spans="1:14" s="2" customFormat="1" ht="24.75" customHeight="1">
      <c r="A3" s="1267" t="s">
        <v>1719</v>
      </c>
      <c r="B3" s="1268"/>
      <c r="C3" s="1268"/>
      <c r="D3" s="1268"/>
      <c r="E3" s="1268"/>
      <c r="F3" s="1268"/>
      <c r="G3" s="1268"/>
      <c r="H3" s="1268"/>
      <c r="I3" s="3"/>
    </row>
    <row r="4" spans="1:14" s="2" customFormat="1" ht="24.75" customHeight="1" thickBot="1">
      <c r="A4" s="1316" t="s">
        <v>1740</v>
      </c>
      <c r="B4" s="1287"/>
      <c r="C4" s="1287"/>
      <c r="D4" s="1287"/>
      <c r="E4" s="1287"/>
      <c r="F4" s="1287"/>
      <c r="G4" s="1287"/>
      <c r="H4" s="1287"/>
      <c r="I4" s="4"/>
      <c r="J4" s="4"/>
    </row>
    <row r="5" spans="1:14" ht="15.75" customHeight="1">
      <c r="A5" s="1407" t="s">
        <v>1031</v>
      </c>
      <c r="B5" s="1397" t="s">
        <v>1032</v>
      </c>
      <c r="C5" s="1398"/>
      <c r="D5" s="1398"/>
      <c r="E5" s="1399"/>
      <c r="F5" s="1317" t="s">
        <v>63</v>
      </c>
      <c r="G5" s="1318"/>
      <c r="H5" s="1319"/>
      <c r="I5" s="4"/>
      <c r="J5" s="4"/>
    </row>
    <row r="6" spans="1:14">
      <c r="A6" s="1408"/>
      <c r="B6" s="1531" t="s">
        <v>1033</v>
      </c>
      <c r="C6" s="1533" t="s">
        <v>978</v>
      </c>
      <c r="D6" s="1535" t="s">
        <v>1030</v>
      </c>
      <c r="E6" s="1536" t="s">
        <v>1034</v>
      </c>
      <c r="F6" s="1320"/>
      <c r="G6" s="1321"/>
      <c r="H6" s="1322"/>
      <c r="I6" s="4"/>
      <c r="J6" s="4"/>
    </row>
    <row r="7" spans="1:14" ht="21.8" customHeight="1">
      <c r="A7" s="1409"/>
      <c r="B7" s="1532"/>
      <c r="C7" s="1534"/>
      <c r="D7" s="1535"/>
      <c r="E7" s="1536"/>
      <c r="F7" s="1323"/>
      <c r="G7" s="1324"/>
      <c r="H7" s="1325"/>
    </row>
    <row r="8" spans="1:14" ht="4.5999999999999996" customHeight="1">
      <c r="A8" s="73"/>
      <c r="B8" s="80"/>
      <c r="C8" s="80"/>
      <c r="D8" s="81"/>
      <c r="E8" s="1012"/>
      <c r="F8" s="84"/>
      <c r="G8" s="133"/>
      <c r="H8" s="87"/>
    </row>
    <row r="9" spans="1:14" s="30" customFormat="1" ht="24.25" customHeight="1">
      <c r="A9" s="443" t="s">
        <v>1035</v>
      </c>
      <c r="B9" s="88"/>
      <c r="C9" s="88"/>
      <c r="D9" s="88"/>
      <c r="E9" s="20">
        <f>+E10+E31+E43+E52+E54</f>
        <v>479888341</v>
      </c>
      <c r="F9" s="1528"/>
      <c r="G9" s="1529"/>
      <c r="H9" s="1530"/>
    </row>
    <row r="10" spans="1:14" s="30" customFormat="1" ht="32.4" customHeight="1">
      <c r="A10" s="444" t="s">
        <v>1036</v>
      </c>
      <c r="B10" s="88"/>
      <c r="C10" s="88"/>
      <c r="D10" s="88"/>
      <c r="E10" s="20">
        <f>E11+E26</f>
        <v>439465515</v>
      </c>
      <c r="F10" s="86"/>
      <c r="H10" s="1243"/>
      <c r="J10" s="36"/>
    </row>
    <row r="11" spans="1:14" s="30" customFormat="1" ht="32.4" customHeight="1">
      <c r="A11" s="445" t="s">
        <v>1038</v>
      </c>
      <c r="B11" s="20"/>
      <c r="C11" s="20"/>
      <c r="D11" s="230"/>
      <c r="E11" s="20">
        <f>SUM(E12:E25)</f>
        <v>438997753</v>
      </c>
      <c r="F11" s="86" t="s">
        <v>1037</v>
      </c>
      <c r="G11" s="1537" t="s">
        <v>1561</v>
      </c>
      <c r="H11" s="1538"/>
      <c r="L11" s="30">
        <f>SUM(L12:L25)/12</f>
        <v>350533640000</v>
      </c>
      <c r="M11" s="992"/>
      <c r="N11" s="1011" t="e">
        <f>E11/12/C11/B11*100*1000</f>
        <v>#DIV/0!</v>
      </c>
    </row>
    <row r="12" spans="1:14" s="1011" customFormat="1" ht="35.049999999999997" customHeight="1">
      <c r="A12" s="139" t="s">
        <v>1039</v>
      </c>
      <c r="B12" s="8">
        <v>3180000</v>
      </c>
      <c r="C12" s="8">
        <v>36000</v>
      </c>
      <c r="D12" s="82">
        <v>10.58</v>
      </c>
      <c r="E12" s="8">
        <f>49180608+96163200</f>
        <v>145343808</v>
      </c>
      <c r="F12" s="86"/>
      <c r="G12" s="1537"/>
      <c r="H12" s="1538"/>
      <c r="L12" s="1011">
        <f t="shared" ref="L12:L22" si="0">B12*C12*12</f>
        <v>1373760000000</v>
      </c>
      <c r="N12" s="1011">
        <f>E12/12/C12/B12*100*1000</f>
        <v>10.58</v>
      </c>
    </row>
    <row r="13" spans="1:14" s="1011" customFormat="1" ht="30.6" customHeight="1">
      <c r="A13" s="139" t="s">
        <v>1040</v>
      </c>
      <c r="B13" s="8">
        <v>3422000</v>
      </c>
      <c r="C13" s="8">
        <v>34700</v>
      </c>
      <c r="D13" s="82">
        <v>10.56</v>
      </c>
      <c r="E13" s="8">
        <f>50679683+99744456</f>
        <v>150424139</v>
      </c>
      <c r="F13" s="1001"/>
      <c r="G13" s="1537"/>
      <c r="H13" s="1538"/>
      <c r="L13" s="1011">
        <f t="shared" si="0"/>
        <v>1424920800000</v>
      </c>
      <c r="N13" s="1011">
        <f t="shared" ref="N13:N25" si="1">E13/12/C13/B13*100*1000</f>
        <v>10.556666658245145</v>
      </c>
    </row>
    <row r="14" spans="1:14" s="1011" customFormat="1" ht="34.85" customHeight="1">
      <c r="A14" s="139" t="s">
        <v>1042</v>
      </c>
      <c r="B14" s="8">
        <v>351000</v>
      </c>
      <c r="C14" s="8">
        <v>37600</v>
      </c>
      <c r="D14" s="82">
        <v>10.54</v>
      </c>
      <c r="E14" s="8">
        <f>5606340+11085984</f>
        <v>16692324</v>
      </c>
      <c r="F14" s="1001" t="s">
        <v>1041</v>
      </c>
      <c r="G14" s="1537"/>
      <c r="H14" s="1538"/>
      <c r="L14" s="1011">
        <f t="shared" si="0"/>
        <v>158371200000</v>
      </c>
      <c r="N14" s="997">
        <f t="shared" si="1"/>
        <v>10.53999969691459</v>
      </c>
    </row>
    <row r="15" spans="1:14" s="1011" customFormat="1" ht="35.049999999999997" customHeight="1">
      <c r="A15" s="139" t="s">
        <v>1043</v>
      </c>
      <c r="B15" s="8">
        <v>462300</v>
      </c>
      <c r="C15" s="8">
        <v>35900</v>
      </c>
      <c r="D15" s="82">
        <v>10.54</v>
      </c>
      <c r="E15" s="8">
        <f>7056862+13941119-1</f>
        <v>20997980</v>
      </c>
      <c r="F15" s="86"/>
      <c r="G15" s="1537"/>
      <c r="H15" s="1538"/>
      <c r="L15" s="1011">
        <f t="shared" si="0"/>
        <v>199158840000</v>
      </c>
      <c r="N15" s="1011">
        <f t="shared" si="1"/>
        <v>10.543333150564646</v>
      </c>
    </row>
    <row r="16" spans="1:14" s="1011" customFormat="1" ht="33.049999999999997" customHeight="1">
      <c r="A16" s="139" t="s">
        <v>1045</v>
      </c>
      <c r="B16" s="8">
        <v>6000</v>
      </c>
      <c r="C16" s="8">
        <v>27100</v>
      </c>
      <c r="D16" s="82">
        <v>10.56</v>
      </c>
      <c r="E16" s="8">
        <f>69528+136584</f>
        <v>206112</v>
      </c>
      <c r="F16" s="86" t="s">
        <v>1044</v>
      </c>
      <c r="G16" s="1537" t="s">
        <v>1560</v>
      </c>
      <c r="H16" s="1538"/>
      <c r="K16" s="1000"/>
      <c r="L16" s="1011">
        <f t="shared" si="0"/>
        <v>1951200000</v>
      </c>
      <c r="N16" s="1011">
        <f t="shared" si="1"/>
        <v>10.563345633456336</v>
      </c>
    </row>
    <row r="17" spans="1:14" s="1011" customFormat="1" ht="33.049999999999997" customHeight="1">
      <c r="A17" s="139" t="s">
        <v>1046</v>
      </c>
      <c r="B17" s="8">
        <v>13000</v>
      </c>
      <c r="C17" s="8">
        <v>14400</v>
      </c>
      <c r="D17" s="82">
        <v>10.54</v>
      </c>
      <c r="E17" s="8">
        <f>79448+157248</f>
        <v>236696</v>
      </c>
      <c r="F17" s="86"/>
      <c r="G17" s="1537"/>
      <c r="H17" s="1538"/>
      <c r="L17" s="1011">
        <f t="shared" si="0"/>
        <v>2246400000</v>
      </c>
      <c r="N17" s="1011">
        <f t="shared" si="1"/>
        <v>10.536680911680913</v>
      </c>
    </row>
    <row r="18" spans="1:14" s="1011" customFormat="1" ht="30.6" customHeight="1">
      <c r="A18" s="439" t="s">
        <v>1047</v>
      </c>
      <c r="B18" s="8">
        <v>1977000</v>
      </c>
      <c r="C18" s="8">
        <v>29500</v>
      </c>
      <c r="D18" s="82">
        <v>10.58</v>
      </c>
      <c r="E18" s="8">
        <f>25078245+48990060</f>
        <v>74068305</v>
      </c>
      <c r="F18" s="86"/>
      <c r="G18" s="1537"/>
      <c r="H18" s="1538"/>
      <c r="L18" s="1011">
        <f t="shared" si="0"/>
        <v>699858000000</v>
      </c>
      <c r="N18" s="1011">
        <f t="shared" si="1"/>
        <v>10.583333333333332</v>
      </c>
    </row>
    <row r="19" spans="1:14" s="1011" customFormat="1" ht="32.1" customHeight="1">
      <c r="A19" s="439" t="s">
        <v>1048</v>
      </c>
      <c r="B19" s="8">
        <v>253000</v>
      </c>
      <c r="C19" s="8">
        <v>29700</v>
      </c>
      <c r="D19" s="82">
        <v>10.56</v>
      </c>
      <c r="E19" s="8">
        <f>3213029+6311844</f>
        <v>9524873</v>
      </c>
      <c r="F19" s="86"/>
      <c r="G19" s="1537"/>
      <c r="H19" s="1538"/>
      <c r="L19" s="1011">
        <f t="shared" si="0"/>
        <v>90169200000</v>
      </c>
      <c r="N19" s="1011">
        <f t="shared" si="1"/>
        <v>10.563333155889151</v>
      </c>
    </row>
    <row r="20" spans="1:14" s="1011" customFormat="1" ht="33.549999999999997" customHeight="1">
      <c r="A20" s="439" t="s">
        <v>1049</v>
      </c>
      <c r="B20" s="8">
        <v>427000</v>
      </c>
      <c r="C20" s="8">
        <v>34270</v>
      </c>
      <c r="D20" s="82">
        <v>10.54</v>
      </c>
      <c r="E20" s="8">
        <f>6216222+12291964-1</f>
        <v>18508185</v>
      </c>
      <c r="F20" s="1001"/>
      <c r="G20" s="1537"/>
      <c r="H20" s="1538"/>
      <c r="L20" s="1011">
        <f t="shared" si="0"/>
        <v>175599480000</v>
      </c>
      <c r="N20" s="997">
        <f t="shared" si="1"/>
        <v>10.539999890660269</v>
      </c>
    </row>
    <row r="21" spans="1:14" s="1011" customFormat="1" ht="36" customHeight="1">
      <c r="A21" s="439" t="s">
        <v>1050</v>
      </c>
      <c r="B21" s="8">
        <v>12000</v>
      </c>
      <c r="C21" s="8">
        <v>39300</v>
      </c>
      <c r="D21" s="82">
        <v>10.5</v>
      </c>
      <c r="E21" s="8">
        <f>198072+396144</f>
        <v>594216</v>
      </c>
      <c r="F21" s="1001" t="s">
        <v>1053</v>
      </c>
      <c r="G21" s="1537"/>
      <c r="H21" s="1538"/>
      <c r="L21" s="1011">
        <f t="shared" si="0"/>
        <v>5659200000</v>
      </c>
      <c r="N21" s="997">
        <f t="shared" si="1"/>
        <v>10.5</v>
      </c>
    </row>
    <row r="22" spans="1:14" s="1011" customFormat="1" ht="32.4" customHeight="1">
      <c r="A22" s="439" t="s">
        <v>1051</v>
      </c>
      <c r="B22" s="8">
        <v>1100</v>
      </c>
      <c r="C22" s="8">
        <v>45200</v>
      </c>
      <c r="D22" s="82">
        <v>10.81</v>
      </c>
      <c r="E22" s="8">
        <f>22712+41765</f>
        <v>64477</v>
      </c>
      <c r="F22" s="1001"/>
      <c r="G22" s="1016" t="s">
        <v>1548</v>
      </c>
      <c r="H22" s="1538" t="s">
        <v>1612</v>
      </c>
      <c r="L22" s="1011">
        <f t="shared" si="0"/>
        <v>596640000</v>
      </c>
      <c r="N22" s="1011">
        <f t="shared" si="1"/>
        <v>10.806684097613299</v>
      </c>
    </row>
    <row r="23" spans="1:14" s="1011" customFormat="1" ht="31.25" customHeight="1">
      <c r="A23" s="439" t="s">
        <v>1052</v>
      </c>
      <c r="B23" s="8">
        <v>1000</v>
      </c>
      <c r="C23" s="8">
        <v>29600</v>
      </c>
      <c r="D23" s="82">
        <v>10.5</v>
      </c>
      <c r="E23" s="8">
        <v>37296</v>
      </c>
      <c r="F23" s="86"/>
      <c r="G23" s="1022"/>
      <c r="H23" s="1538"/>
      <c r="L23" s="1011">
        <f>B23*C23*12</f>
        <v>355200000</v>
      </c>
      <c r="N23" s="997">
        <f t="shared" si="1"/>
        <v>10.499999999999998</v>
      </c>
    </row>
    <row r="24" spans="1:14" s="1011" customFormat="1" ht="49.25" customHeight="1">
      <c r="A24" s="139" t="s">
        <v>1054</v>
      </c>
      <c r="B24" s="8">
        <v>445000</v>
      </c>
      <c r="C24" s="8">
        <v>29700</v>
      </c>
      <c r="D24" s="82">
        <v>0.2</v>
      </c>
      <c r="E24" s="8">
        <v>105732</v>
      </c>
      <c r="F24" s="86"/>
      <c r="G24" s="1022"/>
      <c r="H24" s="1538"/>
      <c r="L24" s="1011">
        <f>B24*C24*4</f>
        <v>52866000000</v>
      </c>
      <c r="N24" s="997">
        <f>E24/4/C24/B24*100*1000</f>
        <v>0.19999999999999998</v>
      </c>
    </row>
    <row r="25" spans="1:14" s="1011" customFormat="1" ht="33.049999999999997" customHeight="1">
      <c r="A25" s="439" t="s">
        <v>1055</v>
      </c>
      <c r="B25" s="8">
        <v>49600</v>
      </c>
      <c r="C25" s="8">
        <v>35100</v>
      </c>
      <c r="D25" s="82">
        <v>10.5</v>
      </c>
      <c r="E25" s="8">
        <f>731203+1462406+1</f>
        <v>2193610</v>
      </c>
      <c r="F25" s="86"/>
      <c r="G25" s="233"/>
      <c r="H25" s="1538"/>
      <c r="L25" s="1011">
        <f>B25*C25*12</f>
        <v>20891520000</v>
      </c>
      <c r="N25" s="997">
        <f t="shared" si="1"/>
        <v>10.500001914652453</v>
      </c>
    </row>
    <row r="26" spans="1:14" s="30" customFormat="1" ht="54.35" customHeight="1" thickBot="1">
      <c r="A26" s="465" t="s">
        <v>1056</v>
      </c>
      <c r="B26" s="277"/>
      <c r="C26" s="823"/>
      <c r="D26" s="824"/>
      <c r="E26" s="277">
        <f>462992+4770</f>
        <v>467762</v>
      </c>
      <c r="F26" s="825"/>
      <c r="G26" s="244"/>
      <c r="H26" s="1559"/>
    </row>
    <row r="27" spans="1:14" s="30" customFormat="1" ht="4.25" hidden="1" customHeight="1">
      <c r="A27" s="979"/>
      <c r="B27" s="976"/>
      <c r="C27" s="978"/>
      <c r="D27" s="977"/>
      <c r="E27" s="976"/>
      <c r="F27" s="975"/>
      <c r="G27" s="974"/>
      <c r="H27" s="973"/>
    </row>
    <row r="28" spans="1:14" s="30" customFormat="1" ht="97.85" customHeight="1">
      <c r="A28" s="444"/>
      <c r="B28" s="88"/>
      <c r="C28" s="88"/>
      <c r="D28" s="88"/>
      <c r="E28" s="20"/>
      <c r="F28" s="1002"/>
      <c r="G28" s="1014"/>
      <c r="H28" s="1226" t="s">
        <v>1613</v>
      </c>
    </row>
    <row r="29" spans="1:14" s="30" customFormat="1" ht="31.75" customHeight="1">
      <c r="A29" s="444"/>
      <c r="B29" s="88"/>
      <c r="C29" s="88"/>
      <c r="D29" s="88"/>
      <c r="E29" s="20"/>
      <c r="F29" s="1002"/>
      <c r="G29" s="1016" t="s">
        <v>1057</v>
      </c>
      <c r="H29" s="1241" t="s">
        <v>1562</v>
      </c>
    </row>
    <row r="30" spans="1:14" s="30" customFormat="1" ht="16.850000000000001" customHeight="1">
      <c r="A30" s="444"/>
      <c r="B30" s="88"/>
      <c r="C30" s="88"/>
      <c r="D30" s="88"/>
      <c r="E30" s="20"/>
      <c r="F30" s="1002"/>
      <c r="G30" s="1016"/>
      <c r="H30" s="1003"/>
    </row>
    <row r="31" spans="1:14" s="30" customFormat="1" ht="31.95" customHeight="1">
      <c r="A31" s="444" t="s">
        <v>1058</v>
      </c>
      <c r="B31" s="88"/>
      <c r="C31" s="88"/>
      <c r="D31" s="88"/>
      <c r="E31" s="20">
        <f>E32+E40</f>
        <v>30396889</v>
      </c>
      <c r="F31" s="1528"/>
      <c r="G31" s="1529"/>
      <c r="H31" s="1530"/>
    </row>
    <row r="32" spans="1:14" s="30" customFormat="1" ht="29.95" customHeight="1">
      <c r="A32" s="445" t="s">
        <v>1059</v>
      </c>
      <c r="B32" s="20">
        <f>SUM(B33:B39)</f>
        <v>7170000</v>
      </c>
      <c r="C32" s="20">
        <v>35300</v>
      </c>
      <c r="D32" s="230">
        <v>1</v>
      </c>
      <c r="E32" s="20">
        <f>SUM(E33:E39)</f>
        <v>30372516</v>
      </c>
      <c r="F32" s="86" t="s">
        <v>1060</v>
      </c>
      <c r="G32" s="1541" t="s">
        <v>1061</v>
      </c>
      <c r="H32" s="1542"/>
    </row>
    <row r="33" spans="1:10" s="1011" customFormat="1" ht="38.450000000000003" customHeight="1">
      <c r="A33" s="139" t="s">
        <v>1062</v>
      </c>
      <c r="B33" s="8">
        <v>2737000</v>
      </c>
      <c r="C33" s="8">
        <v>36600</v>
      </c>
      <c r="D33" s="82">
        <v>1</v>
      </c>
      <c r="E33" s="8">
        <v>12020904</v>
      </c>
      <c r="F33" s="86"/>
      <c r="G33" s="1543"/>
      <c r="H33" s="1542"/>
    </row>
    <row r="34" spans="1:10" s="1011" customFormat="1" ht="29.95" customHeight="1">
      <c r="A34" s="139" t="s">
        <v>1063</v>
      </c>
      <c r="B34" s="8">
        <v>3193000</v>
      </c>
      <c r="C34" s="8">
        <v>34000</v>
      </c>
      <c r="D34" s="82">
        <v>1</v>
      </c>
      <c r="E34" s="8">
        <v>13027440</v>
      </c>
      <c r="F34" s="86" t="s">
        <v>1041</v>
      </c>
      <c r="G34" s="1541" t="s">
        <v>1064</v>
      </c>
      <c r="H34" s="1542"/>
    </row>
    <row r="35" spans="1:10" s="1011" customFormat="1" ht="35.35" customHeight="1">
      <c r="A35" s="139" t="s">
        <v>1065</v>
      </c>
      <c r="B35" s="8">
        <v>343000</v>
      </c>
      <c r="C35" s="8">
        <v>37840</v>
      </c>
      <c r="D35" s="82">
        <v>1</v>
      </c>
      <c r="E35" s="8">
        <v>1557494</v>
      </c>
      <c r="F35" s="86"/>
      <c r="G35" s="1544"/>
      <c r="H35" s="1542"/>
    </row>
    <row r="36" spans="1:10" s="1011" customFormat="1" ht="38.950000000000003" customHeight="1">
      <c r="A36" s="139" t="s">
        <v>1043</v>
      </c>
      <c r="B36" s="8">
        <v>446000</v>
      </c>
      <c r="C36" s="8">
        <v>36500</v>
      </c>
      <c r="D36" s="82">
        <v>1</v>
      </c>
      <c r="E36" s="8">
        <v>1953480</v>
      </c>
      <c r="F36" s="86"/>
      <c r="G36" s="1529"/>
      <c r="H36" s="1530"/>
    </row>
    <row r="37" spans="1:10" s="1011" customFormat="1" ht="36" customHeight="1">
      <c r="A37" s="139" t="s">
        <v>1045</v>
      </c>
      <c r="B37" s="8">
        <v>600</v>
      </c>
      <c r="C37" s="8">
        <v>37300</v>
      </c>
      <c r="D37" s="82">
        <v>1</v>
      </c>
      <c r="E37" s="8">
        <v>2686</v>
      </c>
      <c r="F37" s="233"/>
      <c r="G37" s="418"/>
      <c r="H37" s="419"/>
    </row>
    <row r="38" spans="1:10" s="1011" customFormat="1" ht="26.35" customHeight="1">
      <c r="A38" s="439" t="s">
        <v>1066</v>
      </c>
      <c r="B38" s="8">
        <v>400800</v>
      </c>
      <c r="C38" s="8">
        <v>33300</v>
      </c>
      <c r="D38" s="82">
        <v>1</v>
      </c>
      <c r="E38" s="8">
        <v>1601597</v>
      </c>
      <c r="F38" s="233"/>
      <c r="G38" s="418"/>
      <c r="H38" s="419"/>
    </row>
    <row r="39" spans="1:10" s="1011" customFormat="1" ht="27.65" customHeight="1">
      <c r="A39" s="439" t="s">
        <v>1055</v>
      </c>
      <c r="B39" s="8">
        <v>49600</v>
      </c>
      <c r="C39" s="8">
        <v>35100</v>
      </c>
      <c r="D39" s="82">
        <v>1</v>
      </c>
      <c r="E39" s="8">
        <v>208915</v>
      </c>
      <c r="F39" s="86"/>
      <c r="G39" s="418"/>
      <c r="H39" s="419"/>
    </row>
    <row r="40" spans="1:10" s="30" customFormat="1" ht="26.2" customHeight="1">
      <c r="A40" s="444" t="s">
        <v>1067</v>
      </c>
      <c r="B40" s="20"/>
      <c r="C40" s="231"/>
      <c r="D40" s="232"/>
      <c r="E40" s="20">
        <v>24373</v>
      </c>
      <c r="F40" s="86"/>
      <c r="G40" s="996"/>
      <c r="H40" s="419"/>
    </row>
    <row r="41" spans="1:10" s="233" customFormat="1" ht="15.55" customHeight="1">
      <c r="A41" s="466"/>
      <c r="B41" s="83"/>
      <c r="C41" s="89"/>
      <c r="D41" s="90"/>
      <c r="E41" s="8"/>
      <c r="F41" s="86"/>
      <c r="G41" s="996"/>
      <c r="H41" s="419"/>
    </row>
    <row r="42" spans="1:10" s="1011" customFormat="1" ht="29.95" customHeight="1">
      <c r="A42" s="444" t="s">
        <v>1068</v>
      </c>
      <c r="B42" s="88"/>
      <c r="C42" s="88"/>
      <c r="D42" s="88"/>
      <c r="E42" s="20">
        <f>+E43+E52</f>
        <v>3265722</v>
      </c>
      <c r="F42" s="86"/>
      <c r="G42" s="996"/>
      <c r="H42" s="419"/>
    </row>
    <row r="43" spans="1:10" s="1011" customFormat="1" ht="28.8" customHeight="1">
      <c r="A43" s="1165" t="s">
        <v>1069</v>
      </c>
      <c r="B43" s="88"/>
      <c r="C43" s="88"/>
      <c r="D43" s="88"/>
      <c r="E43" s="1162">
        <f>E44+E51</f>
        <v>3169722</v>
      </c>
      <c r="F43" s="86"/>
      <c r="G43" s="996"/>
      <c r="H43" s="419"/>
    </row>
    <row r="44" spans="1:10" s="1011" customFormat="1" ht="29.95" customHeight="1">
      <c r="A44" s="1166" t="s">
        <v>1070</v>
      </c>
      <c r="B44" s="1162">
        <v>1012000</v>
      </c>
      <c r="C44" s="1162">
        <v>10200</v>
      </c>
      <c r="D44" s="230">
        <v>2.5499999999999998</v>
      </c>
      <c r="E44" s="1162">
        <v>3158654</v>
      </c>
      <c r="F44" s="1545" t="s">
        <v>1549</v>
      </c>
      <c r="G44" s="1546"/>
      <c r="H44" s="1547"/>
    </row>
    <row r="45" spans="1:10" s="1011" customFormat="1" ht="36" customHeight="1">
      <c r="A45" s="1165"/>
      <c r="B45" s="1161"/>
      <c r="C45" s="89"/>
      <c r="D45" s="90"/>
      <c r="E45" s="1161"/>
      <c r="F45" s="1545"/>
      <c r="G45" s="1546"/>
      <c r="H45" s="1547"/>
    </row>
    <row r="46" spans="1:10" s="1011" customFormat="1" ht="2.95" hidden="1" customHeight="1">
      <c r="A46" s="1165"/>
      <c r="B46" s="1161"/>
      <c r="C46" s="89"/>
      <c r="D46" s="90"/>
      <c r="E46" s="1161"/>
      <c r="F46" s="1545"/>
      <c r="G46" s="1546"/>
      <c r="H46" s="1547"/>
    </row>
    <row r="47" spans="1:10" s="1011" customFormat="1" ht="16.850000000000001" customHeight="1" thickBot="1">
      <c r="A47" s="465"/>
      <c r="B47" s="37"/>
      <c r="C47" s="1227"/>
      <c r="D47" s="1228"/>
      <c r="E47" s="37"/>
      <c r="F47" s="1548"/>
      <c r="G47" s="1549"/>
      <c r="H47" s="1550"/>
      <c r="J47" s="1004"/>
    </row>
    <row r="48" spans="1:10" s="1011" customFormat="1" ht="26.35" customHeight="1">
      <c r="A48" s="444"/>
      <c r="B48" s="8"/>
      <c r="C48" s="89"/>
      <c r="D48" s="90"/>
      <c r="E48" s="8"/>
      <c r="F48" s="1551" t="s">
        <v>1564</v>
      </c>
      <c r="G48" s="1541"/>
      <c r="H48" s="1552"/>
    </row>
    <row r="49" spans="1:14" s="1011" customFormat="1" ht="24.55" customHeight="1">
      <c r="A49" s="444"/>
      <c r="B49" s="8"/>
      <c r="C49" s="816"/>
      <c r="D49" s="819"/>
      <c r="E49" s="83"/>
      <c r="F49" s="1551"/>
      <c r="G49" s="1541"/>
      <c r="H49" s="1552"/>
    </row>
    <row r="50" spans="1:14" s="1011" customFormat="1" ht="46.15" customHeight="1">
      <c r="A50" s="817"/>
      <c r="B50" s="8"/>
      <c r="C50" s="816"/>
      <c r="D50" s="819"/>
      <c r="E50" s="83"/>
      <c r="F50" s="1551"/>
      <c r="G50" s="1541"/>
      <c r="H50" s="1552"/>
    </row>
    <row r="51" spans="1:14" s="1011" customFormat="1" ht="27.65" customHeight="1">
      <c r="A51" s="817" t="s">
        <v>1071</v>
      </c>
      <c r="B51" s="20"/>
      <c r="C51" s="815"/>
      <c r="D51" s="820"/>
      <c r="E51" s="20">
        <v>11068</v>
      </c>
      <c r="F51" s="993"/>
      <c r="G51" s="994"/>
      <c r="H51" s="995"/>
    </row>
    <row r="52" spans="1:14" s="1011" customFormat="1" ht="30.8" customHeight="1">
      <c r="A52" s="817" t="s">
        <v>1072</v>
      </c>
      <c r="B52" s="818"/>
      <c r="C52" s="10"/>
      <c r="D52" s="818"/>
      <c r="E52" s="20">
        <f>E53+E76</f>
        <v>96000</v>
      </c>
      <c r="F52" s="996"/>
      <c r="G52" s="996"/>
      <c r="H52" s="419"/>
    </row>
    <row r="53" spans="1:14" s="1011" customFormat="1" ht="49.75" customHeight="1">
      <c r="A53" s="1005" t="s">
        <v>1073</v>
      </c>
      <c r="B53" s="20">
        <v>320000</v>
      </c>
      <c r="C53" s="243">
        <v>10200</v>
      </c>
      <c r="D53" s="1006">
        <v>0.24</v>
      </c>
      <c r="E53" s="20">
        <v>96000</v>
      </c>
      <c r="F53" s="996"/>
      <c r="G53" s="996"/>
      <c r="H53" s="419"/>
    </row>
    <row r="54" spans="1:14" s="30" customFormat="1" ht="30.6" customHeight="1">
      <c r="A54" s="444" t="s">
        <v>1074</v>
      </c>
      <c r="B54" s="88"/>
      <c r="C54" s="88"/>
      <c r="D54" s="88"/>
      <c r="E54" s="20">
        <f>E55+E70</f>
        <v>6760215</v>
      </c>
      <c r="F54" s="85"/>
      <c r="G54" s="243"/>
      <c r="H54" s="1013"/>
    </row>
    <row r="55" spans="1:14" s="30" customFormat="1" ht="30.6" customHeight="1">
      <c r="A55" s="445" t="s">
        <v>1075</v>
      </c>
      <c r="B55" s="20">
        <f>SUM(B56:B69)</f>
        <v>10860000</v>
      </c>
      <c r="C55" s="20">
        <v>38700</v>
      </c>
      <c r="D55" s="230">
        <v>0.2</v>
      </c>
      <c r="E55" s="20">
        <f>SUM(E56:E69)</f>
        <v>6749590</v>
      </c>
      <c r="F55" s="86" t="s">
        <v>1076</v>
      </c>
      <c r="G55" s="1553" t="s">
        <v>1563</v>
      </c>
      <c r="H55" s="1554"/>
      <c r="L55" s="30">
        <f>SUM(L56:L69)</f>
        <v>420276870000</v>
      </c>
      <c r="M55" s="992">
        <f>L55/B55</f>
        <v>38699.52762430939</v>
      </c>
      <c r="N55" s="1011">
        <f>E55/8/C55/B55*100*1000</f>
        <v>0.20074586825036522</v>
      </c>
    </row>
    <row r="56" spans="1:14" s="1011" customFormat="1" ht="34.200000000000003" customHeight="1">
      <c r="A56" s="139" t="s">
        <v>1077</v>
      </c>
      <c r="B56" s="8">
        <v>3208000</v>
      </c>
      <c r="C56" s="8">
        <v>41300</v>
      </c>
      <c r="D56" s="82">
        <v>0.24</v>
      </c>
      <c r="E56" s="8">
        <v>2543816</v>
      </c>
      <c r="F56" s="86"/>
      <c r="G56" s="1553"/>
      <c r="H56" s="1554"/>
      <c r="L56" s="1011">
        <f>B56*C56</f>
        <v>132490400000</v>
      </c>
      <c r="N56" s="1011">
        <f>E56/8/C56/B56*100*1000</f>
        <v>0.24000003019086666</v>
      </c>
    </row>
    <row r="57" spans="1:14" s="1011" customFormat="1" ht="33.549999999999997" customHeight="1">
      <c r="A57" s="139" t="s">
        <v>1078</v>
      </c>
      <c r="B57" s="8">
        <v>3448500</v>
      </c>
      <c r="C57" s="8">
        <v>39900</v>
      </c>
      <c r="D57" s="82">
        <v>0.17</v>
      </c>
      <c r="E57" s="8">
        <v>1871294</v>
      </c>
      <c r="F57" s="86"/>
      <c r="G57" s="1553"/>
      <c r="H57" s="1554"/>
      <c r="L57" s="1011">
        <f t="shared" ref="L57:L68" si="2">B57*C57</f>
        <v>137595150000</v>
      </c>
      <c r="N57" s="1011">
        <f t="shared" ref="N57:N69" si="3">E57/8/C57/B57*100*1000</f>
        <v>0.16999999636615098</v>
      </c>
    </row>
    <row r="58" spans="1:14" s="1011" customFormat="1" ht="48.6" customHeight="1">
      <c r="A58" s="139" t="s">
        <v>1079</v>
      </c>
      <c r="B58" s="8">
        <v>356000</v>
      </c>
      <c r="C58" s="8">
        <v>43500</v>
      </c>
      <c r="D58" s="82">
        <v>0.12</v>
      </c>
      <c r="E58" s="8">
        <v>148666</v>
      </c>
      <c r="F58" s="1015" t="s">
        <v>1080</v>
      </c>
      <c r="G58" s="1555" t="s">
        <v>1081</v>
      </c>
      <c r="H58" s="1556"/>
      <c r="L58" s="1011">
        <f t="shared" si="2"/>
        <v>15486000000</v>
      </c>
      <c r="N58" s="1011">
        <f t="shared" si="3"/>
        <v>0.12000032287227173</v>
      </c>
    </row>
    <row r="59" spans="1:14" s="1011" customFormat="1" ht="31.95" customHeight="1">
      <c r="A59" s="139" t="s">
        <v>1082</v>
      </c>
      <c r="B59" s="8">
        <v>468300</v>
      </c>
      <c r="C59" s="8">
        <v>41300</v>
      </c>
      <c r="D59" s="82">
        <v>0.13</v>
      </c>
      <c r="E59" s="8">
        <v>201144</v>
      </c>
      <c r="F59" s="86"/>
      <c r="G59" s="1557"/>
      <c r="H59" s="1558"/>
      <c r="L59" s="1011">
        <f t="shared" si="2"/>
        <v>19340790000</v>
      </c>
      <c r="N59" s="1011">
        <f t="shared" si="3"/>
        <v>0.1299998603986704</v>
      </c>
    </row>
    <row r="60" spans="1:14" s="1011" customFormat="1" ht="31.25" customHeight="1">
      <c r="A60" s="439" t="s">
        <v>1083</v>
      </c>
      <c r="B60" s="8">
        <v>444700</v>
      </c>
      <c r="C60" s="8">
        <v>39600</v>
      </c>
      <c r="D60" s="82">
        <v>0.12</v>
      </c>
      <c r="E60" s="8">
        <v>169057</v>
      </c>
      <c r="F60" s="86"/>
      <c r="G60" s="1557"/>
      <c r="H60" s="1558"/>
      <c r="L60" s="1011">
        <f t="shared" si="2"/>
        <v>17610120000</v>
      </c>
      <c r="N60" s="1011">
        <f t="shared" si="3"/>
        <v>0.11999989210749273</v>
      </c>
    </row>
    <row r="61" spans="1:14" s="1011" customFormat="1" ht="33.75" customHeight="1">
      <c r="A61" s="139" t="s">
        <v>1084</v>
      </c>
      <c r="B61" s="8">
        <v>230000</v>
      </c>
      <c r="C61" s="8">
        <v>24000</v>
      </c>
      <c r="D61" s="82">
        <v>0.17</v>
      </c>
      <c r="E61" s="8">
        <v>75072</v>
      </c>
      <c r="F61" s="86"/>
      <c r="G61" s="1557"/>
      <c r="H61" s="1558"/>
      <c r="L61" s="1011">
        <f t="shared" si="2"/>
        <v>5520000000</v>
      </c>
      <c r="N61" s="1011">
        <f t="shared" si="3"/>
        <v>0.17</v>
      </c>
    </row>
    <row r="62" spans="1:14" s="1011" customFormat="1" ht="36" customHeight="1">
      <c r="A62" s="139" t="s">
        <v>1085</v>
      </c>
      <c r="B62" s="8">
        <v>6000</v>
      </c>
      <c r="C62" s="8">
        <v>31100</v>
      </c>
      <c r="D62" s="82">
        <v>0.19</v>
      </c>
      <c r="E62" s="8">
        <v>2836</v>
      </c>
      <c r="F62" s="86"/>
      <c r="G62" s="1557"/>
      <c r="H62" s="1558"/>
      <c r="L62" s="1011">
        <f t="shared" si="2"/>
        <v>186600000</v>
      </c>
      <c r="N62" s="1011">
        <f t="shared" si="3"/>
        <v>0.189978563772776</v>
      </c>
    </row>
    <row r="63" spans="1:14" s="1011" customFormat="1" ht="34.200000000000003" customHeight="1">
      <c r="A63" s="439" t="s">
        <v>1086</v>
      </c>
      <c r="B63" s="1161">
        <v>1977000</v>
      </c>
      <c r="C63" s="1161">
        <v>34100</v>
      </c>
      <c r="D63" s="82">
        <v>0.25</v>
      </c>
      <c r="E63" s="1161">
        <v>1348314</v>
      </c>
      <c r="F63" s="1229"/>
      <c r="G63" s="998"/>
      <c r="H63" s="999"/>
      <c r="L63" s="1011">
        <f t="shared" si="2"/>
        <v>67415700000</v>
      </c>
      <c r="N63" s="1011">
        <f t="shared" si="3"/>
        <v>0.25</v>
      </c>
    </row>
    <row r="64" spans="1:14" s="1011" customFormat="1" ht="37.15" customHeight="1">
      <c r="A64" s="439" t="s">
        <v>1087</v>
      </c>
      <c r="B64" s="1161">
        <v>253000</v>
      </c>
      <c r="C64" s="1161">
        <v>34300</v>
      </c>
      <c r="D64" s="82">
        <v>0.19</v>
      </c>
      <c r="E64" s="1161">
        <v>131904</v>
      </c>
      <c r="F64" s="86"/>
      <c r="G64" s="998"/>
      <c r="H64" s="999"/>
      <c r="L64" s="1011">
        <f t="shared" si="2"/>
        <v>8677900000</v>
      </c>
      <c r="N64" s="1011">
        <f t="shared" si="3"/>
        <v>0.18999988476474722</v>
      </c>
    </row>
    <row r="65" spans="1:14" s="1011" customFormat="1" ht="36.65" customHeight="1" thickBot="1">
      <c r="A65" s="475" t="s">
        <v>1088</v>
      </c>
      <c r="B65" s="37">
        <v>13000</v>
      </c>
      <c r="C65" s="37">
        <v>13800</v>
      </c>
      <c r="D65" s="1007">
        <v>0.11</v>
      </c>
      <c r="E65" s="37">
        <v>1579</v>
      </c>
      <c r="F65" s="1008"/>
      <c r="G65" s="1009"/>
      <c r="H65" s="1010"/>
      <c r="L65" s="1011">
        <f t="shared" si="2"/>
        <v>179400000</v>
      </c>
      <c r="N65" s="1011">
        <f t="shared" si="3"/>
        <v>0.1100195094760312</v>
      </c>
    </row>
    <row r="66" spans="1:14" s="1011" customFormat="1" ht="55.15" customHeight="1">
      <c r="A66" s="139" t="s">
        <v>1089</v>
      </c>
      <c r="B66" s="8">
        <v>300</v>
      </c>
      <c r="C66" s="8">
        <v>38700</v>
      </c>
      <c r="D66" s="82">
        <v>0.11</v>
      </c>
      <c r="E66" s="8">
        <v>102</v>
      </c>
      <c r="F66" s="86"/>
      <c r="G66" s="998"/>
      <c r="H66" s="999"/>
      <c r="L66" s="1011">
        <f t="shared" si="2"/>
        <v>11610000</v>
      </c>
      <c r="N66" s="1011">
        <f t="shared" si="3"/>
        <v>0.10981912144702842</v>
      </c>
    </row>
    <row r="67" spans="1:14" s="1011" customFormat="1" ht="34.200000000000003" customHeight="1">
      <c r="A67" s="439" t="s">
        <v>1090</v>
      </c>
      <c r="B67" s="8">
        <v>1200</v>
      </c>
      <c r="C67" s="8">
        <v>52000</v>
      </c>
      <c r="D67" s="82">
        <v>0.92</v>
      </c>
      <c r="E67" s="8">
        <v>4593</v>
      </c>
      <c r="F67" s="86"/>
      <c r="G67" s="998"/>
      <c r="H67" s="999"/>
      <c r="L67" s="1011">
        <f t="shared" si="2"/>
        <v>62400000</v>
      </c>
      <c r="N67" s="1011">
        <f t="shared" si="3"/>
        <v>0.92007211538461542</v>
      </c>
    </row>
    <row r="68" spans="1:14" s="1011" customFormat="1" ht="37.5" customHeight="1">
      <c r="A68" s="439" t="s">
        <v>1091</v>
      </c>
      <c r="B68" s="8">
        <v>9000</v>
      </c>
      <c r="C68" s="8">
        <v>38700</v>
      </c>
      <c r="D68" s="82">
        <v>0.2</v>
      </c>
      <c r="E68" s="8">
        <v>5573</v>
      </c>
      <c r="F68" s="86"/>
      <c r="G68" s="998"/>
      <c r="H68" s="999"/>
      <c r="L68" s="1011">
        <f t="shared" si="2"/>
        <v>348300000</v>
      </c>
      <c r="N68" s="1011">
        <f t="shared" si="3"/>
        <v>0.20000717772035606</v>
      </c>
    </row>
    <row r="69" spans="1:14" s="1011" customFormat="1" ht="53.35" customHeight="1">
      <c r="A69" s="139" t="s">
        <v>1092</v>
      </c>
      <c r="B69" s="8">
        <v>445000</v>
      </c>
      <c r="C69" s="8">
        <v>34500</v>
      </c>
      <c r="D69" s="82">
        <v>0.2</v>
      </c>
      <c r="E69" s="8">
        <v>245640</v>
      </c>
      <c r="F69" s="86"/>
      <c r="G69" s="1539"/>
      <c r="H69" s="419"/>
      <c r="L69" s="1011">
        <f>B69*C69</f>
        <v>15352500000</v>
      </c>
      <c r="N69" s="1011">
        <f t="shared" si="3"/>
        <v>0.19999999999999998</v>
      </c>
    </row>
    <row r="70" spans="1:14" s="1011" customFormat="1" ht="44.35" customHeight="1">
      <c r="A70" s="444" t="s">
        <v>1056</v>
      </c>
      <c r="B70" s="20"/>
      <c r="C70" s="231"/>
      <c r="D70" s="232"/>
      <c r="E70" s="20">
        <v>10625</v>
      </c>
      <c r="F70" s="86"/>
      <c r="G70" s="1539"/>
      <c r="H70" s="419"/>
    </row>
    <row r="71" spans="1:14" s="1011" customFormat="1" ht="210.15" customHeight="1">
      <c r="A71" s="444"/>
      <c r="B71" s="20"/>
      <c r="C71" s="231"/>
      <c r="D71" s="232"/>
      <c r="E71" s="20"/>
      <c r="F71" s="86"/>
      <c r="G71" s="1539"/>
      <c r="H71" s="419"/>
    </row>
    <row r="72" spans="1:14" s="30" customFormat="1" ht="189" customHeight="1" thickBot="1">
      <c r="A72" s="465"/>
      <c r="B72" s="277"/>
      <c r="C72" s="823"/>
      <c r="D72" s="824"/>
      <c r="E72" s="277"/>
      <c r="F72" s="825"/>
      <c r="G72" s="1540"/>
      <c r="H72" s="420"/>
    </row>
  </sheetData>
  <mergeCells count="25">
    <mergeCell ref="G11:H15"/>
    <mergeCell ref="G69:G72"/>
    <mergeCell ref="F31:H31"/>
    <mergeCell ref="G32:H33"/>
    <mergeCell ref="G34:H35"/>
    <mergeCell ref="G36:H36"/>
    <mergeCell ref="F44:H47"/>
    <mergeCell ref="F48:H50"/>
    <mergeCell ref="G55:H57"/>
    <mergeCell ref="G58:H58"/>
    <mergeCell ref="G59:H62"/>
    <mergeCell ref="H22:H26"/>
    <mergeCell ref="G16:H21"/>
    <mergeCell ref="F9:H9"/>
    <mergeCell ref="A1:H1"/>
    <mergeCell ref="A2:H2"/>
    <mergeCell ref="A3:H3"/>
    <mergeCell ref="A4:H4"/>
    <mergeCell ref="A5:A7"/>
    <mergeCell ref="B5:E5"/>
    <mergeCell ref="F5:H7"/>
    <mergeCell ref="B6:B7"/>
    <mergeCell ref="C6:C7"/>
    <mergeCell ref="D6:D7"/>
    <mergeCell ref="E6:E7"/>
  </mergeCells>
  <phoneticPr fontId="5" type="noConversion"/>
  <printOptions horizontalCentered="1"/>
  <pageMargins left="0.59055118110236227" right="0.59055118110236227" top="0.59055118110236227" bottom="0.78740157480314965" header="0.51181102362204722" footer="0.51181102362204722"/>
  <pageSetup paperSize="9" firstPageNumber="66" orientation="portrait" useFirstPageNumber="1" r:id="rId1"/>
  <headerFooter alignWithMargins="0">
    <oddFooter>&amp;C&amp;"Times New Roman,標準"&amp;P</oddFooter>
  </headerFooter>
  <rowBreaks count="2" manualBreakCount="2">
    <brk id="27" max="7" man="1"/>
    <brk id="47" max="7"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Q175"/>
  <sheetViews>
    <sheetView showGridLines="0" view="pageBreakPreview" zoomScaleNormal="100" zoomScaleSheetLayoutView="100" workbookViewId="0">
      <selection activeCell="L13" sqref="L13"/>
    </sheetView>
  </sheetViews>
  <sheetFormatPr defaultColWidth="12" defaultRowHeight="20.3"/>
  <cols>
    <col min="1" max="1" width="25.5" style="158" customWidth="1"/>
    <col min="2" max="2" width="14.75" style="158" customWidth="1"/>
    <col min="3" max="3" width="50" style="158" customWidth="1"/>
    <col min="4" max="4" width="14.625" style="158" bestFit="1" customWidth="1"/>
    <col min="5" max="5" width="12.25" style="158" bestFit="1" customWidth="1"/>
    <col min="6" max="6" width="14.625" style="158" bestFit="1" customWidth="1"/>
    <col min="7" max="16384" width="12" style="158"/>
  </cols>
  <sheetData>
    <row r="1" spans="1:17" s="2" customFormat="1" ht="22.25">
      <c r="A1" s="1266" t="s">
        <v>59</v>
      </c>
      <c r="B1" s="1266"/>
      <c r="C1" s="1266"/>
    </row>
    <row r="2" spans="1:17" s="2" customFormat="1" ht="22.25">
      <c r="A2" s="1266" t="s">
        <v>60</v>
      </c>
      <c r="B2" s="1266"/>
      <c r="C2" s="1266"/>
    </row>
    <row r="3" spans="1:17" s="2" customFormat="1" ht="24.75" customHeight="1">
      <c r="A3" s="1509" t="s">
        <v>1720</v>
      </c>
      <c r="B3" s="1268"/>
      <c r="C3" s="1268"/>
    </row>
    <row r="4" spans="1:17" s="2" customFormat="1" ht="24.9" customHeight="1" thickBot="1">
      <c r="A4" s="1336" t="s">
        <v>1741</v>
      </c>
      <c r="B4" s="1270"/>
      <c r="C4" s="1270"/>
    </row>
    <row r="5" spans="1:17" s="6" customFormat="1" ht="15.75" customHeight="1">
      <c r="A5" s="1407" t="s">
        <v>156</v>
      </c>
      <c r="B5" s="1515" t="s">
        <v>62</v>
      </c>
      <c r="C5" s="1508" t="s">
        <v>63</v>
      </c>
      <c r="D5" s="4"/>
      <c r="E5" s="4"/>
    </row>
    <row r="6" spans="1:17" s="6" customFormat="1" ht="15.75" customHeight="1">
      <c r="A6" s="1408"/>
      <c r="B6" s="1566"/>
      <c r="C6" s="1568"/>
      <c r="D6" s="4"/>
      <c r="E6" s="4"/>
    </row>
    <row r="7" spans="1:17" s="6" customFormat="1" ht="15.75" customHeight="1">
      <c r="A7" s="1409"/>
      <c r="B7" s="1567"/>
      <c r="C7" s="1568"/>
    </row>
    <row r="8" spans="1:17" s="702" customFormat="1" ht="5.9" customHeight="1">
      <c r="A8" s="711"/>
      <c r="B8" s="710"/>
      <c r="C8" s="712"/>
    </row>
    <row r="9" spans="1:17" s="215" customFormat="1" ht="24.55" customHeight="1">
      <c r="A9" s="443" t="s">
        <v>216</v>
      </c>
      <c r="B9" s="207">
        <f>B10+B63+B95+B106</f>
        <v>479888341</v>
      </c>
      <c r="C9" s="703"/>
    </row>
    <row r="10" spans="1:17" s="235" customFormat="1" ht="25.55" customHeight="1">
      <c r="A10" s="444" t="s">
        <v>32</v>
      </c>
      <c r="B10" s="207">
        <f>SUM(B11,B61)</f>
        <v>439465515</v>
      </c>
      <c r="C10" s="704"/>
    </row>
    <row r="11" spans="1:17" s="235" customFormat="1" ht="35.049999999999997" customHeight="1">
      <c r="A11" s="445" t="s">
        <v>217</v>
      </c>
      <c r="B11" s="211">
        <f>SUM(B12,B16,B20,B24,B32,B39,B36,B42,B28,B46,B49,B52,B55,B57)</f>
        <v>438997753</v>
      </c>
      <c r="C11" s="704" t="s">
        <v>1524</v>
      </c>
      <c r="D11" s="1191">
        <v>436121456</v>
      </c>
      <c r="E11" s="1191">
        <v>2876297</v>
      </c>
      <c r="F11" s="1192">
        <f>D11+E11</f>
        <v>438997753</v>
      </c>
    </row>
    <row r="12" spans="1:17" s="237" customFormat="1" ht="41.4" customHeight="1">
      <c r="A12" s="134" t="s">
        <v>218</v>
      </c>
      <c r="B12" s="211">
        <f>SUM(B13:B15)</f>
        <v>145343808</v>
      </c>
      <c r="C12" s="1560" t="s">
        <v>124</v>
      </c>
    </row>
    <row r="13" spans="1:17" s="238" customFormat="1" ht="23.4" customHeight="1">
      <c r="A13" s="467" t="s">
        <v>232</v>
      </c>
      <c r="B13" s="210">
        <v>28848960</v>
      </c>
      <c r="C13" s="1560"/>
    </row>
    <row r="14" spans="1:17" s="238" customFormat="1" ht="23.4" customHeight="1">
      <c r="A14" s="467" t="s">
        <v>233</v>
      </c>
      <c r="B14" s="210">
        <v>102070368</v>
      </c>
      <c r="C14" s="1560"/>
    </row>
    <row r="15" spans="1:17" s="238" customFormat="1" ht="23.6" customHeight="1">
      <c r="A15" s="467" t="s">
        <v>231</v>
      </c>
      <c r="B15" s="210">
        <v>14424480</v>
      </c>
      <c r="C15" s="1560"/>
    </row>
    <row r="16" spans="1:17" s="237" customFormat="1" ht="38.950000000000003" customHeight="1">
      <c r="A16" s="134" t="s">
        <v>219</v>
      </c>
      <c r="B16" s="211">
        <f>SUM(B17:B19)</f>
        <v>150424139</v>
      </c>
      <c r="C16" s="1560" t="s">
        <v>124</v>
      </c>
      <c r="D16" s="238"/>
      <c r="E16" s="238"/>
      <c r="F16" s="238"/>
      <c r="G16" s="238"/>
      <c r="H16" s="238"/>
      <c r="I16" s="238"/>
      <c r="J16" s="238"/>
      <c r="K16" s="238"/>
      <c r="L16" s="238"/>
      <c r="M16" s="238"/>
      <c r="N16" s="238"/>
      <c r="O16" s="238"/>
      <c r="P16" s="238"/>
      <c r="Q16" s="238"/>
    </row>
    <row r="17" spans="1:17" s="238" customFormat="1" ht="23.4" customHeight="1">
      <c r="A17" s="467" t="s">
        <v>234</v>
      </c>
      <c r="B17" s="210">
        <v>29923337</v>
      </c>
      <c r="C17" s="1560"/>
    </row>
    <row r="18" spans="1:17" s="238" customFormat="1" ht="24.9" customHeight="1">
      <c r="A18" s="467" t="s">
        <v>233</v>
      </c>
      <c r="B18" s="210">
        <v>105539134</v>
      </c>
      <c r="C18" s="1560"/>
    </row>
    <row r="19" spans="1:17" s="238" customFormat="1" ht="24.9" customHeight="1">
      <c r="A19" s="467" t="s">
        <v>231</v>
      </c>
      <c r="B19" s="210">
        <v>14961668</v>
      </c>
      <c r="C19" s="1560"/>
    </row>
    <row r="20" spans="1:17" s="238" customFormat="1" ht="50.25" customHeight="1">
      <c r="A20" s="134" t="s">
        <v>226</v>
      </c>
      <c r="B20" s="211">
        <f>SUM(B21:B23)</f>
        <v>16692324</v>
      </c>
      <c r="C20" s="1560" t="s">
        <v>124</v>
      </c>
    </row>
    <row r="21" spans="1:17" s="238" customFormat="1" ht="23.4" customHeight="1">
      <c r="A21" s="467" t="s">
        <v>531</v>
      </c>
      <c r="B21" s="210">
        <v>3325795</v>
      </c>
      <c r="C21" s="1560"/>
    </row>
    <row r="22" spans="1:17" s="238" customFormat="1" ht="24.75" customHeight="1">
      <c r="A22" s="467" t="s">
        <v>235</v>
      </c>
      <c r="B22" s="210">
        <v>11703632</v>
      </c>
      <c r="C22" s="1560"/>
    </row>
    <row r="23" spans="1:17" s="238" customFormat="1" ht="24.55" customHeight="1">
      <c r="A23" s="467" t="s">
        <v>236</v>
      </c>
      <c r="B23" s="210">
        <v>1662897</v>
      </c>
      <c r="C23" s="1560"/>
    </row>
    <row r="24" spans="1:17" s="238" customFormat="1" ht="47" customHeight="1">
      <c r="A24" s="134" t="s">
        <v>237</v>
      </c>
      <c r="B24" s="211">
        <f>SUM(B25:B27)</f>
        <v>20997980</v>
      </c>
      <c r="C24" s="1560" t="s">
        <v>124</v>
      </c>
    </row>
    <row r="25" spans="1:17" s="238" customFormat="1" ht="24.05" customHeight="1">
      <c r="A25" s="467" t="s">
        <v>234</v>
      </c>
      <c r="B25" s="210">
        <v>4182336</v>
      </c>
      <c r="C25" s="1560"/>
    </row>
    <row r="26" spans="1:17" s="238" customFormat="1" ht="23.25" customHeight="1">
      <c r="A26" s="467" t="s">
        <v>233</v>
      </c>
      <c r="B26" s="210">
        <v>14724476</v>
      </c>
      <c r="C26" s="1560"/>
    </row>
    <row r="27" spans="1:17" s="238" customFormat="1" ht="25.55" customHeight="1">
      <c r="A27" s="467" t="s">
        <v>231</v>
      </c>
      <c r="B27" s="210">
        <v>2091168</v>
      </c>
      <c r="C27" s="1560"/>
    </row>
    <row r="28" spans="1:17" s="237" customFormat="1" ht="54" customHeight="1">
      <c r="A28" s="134" t="s">
        <v>228</v>
      </c>
      <c r="B28" s="211">
        <f>SUM(B29:B31)</f>
        <v>206112</v>
      </c>
      <c r="C28" s="905" t="s">
        <v>124</v>
      </c>
      <c r="D28" s="238"/>
      <c r="E28" s="238"/>
      <c r="F28" s="238"/>
      <c r="G28" s="238"/>
      <c r="H28" s="238"/>
      <c r="I28" s="238"/>
      <c r="J28" s="238"/>
      <c r="K28" s="238"/>
      <c r="L28" s="238"/>
      <c r="M28" s="238"/>
      <c r="N28" s="238"/>
      <c r="O28" s="238"/>
      <c r="P28" s="238"/>
      <c r="Q28" s="238"/>
    </row>
    <row r="29" spans="1:17" s="238" customFormat="1" ht="23.4" customHeight="1" thickBot="1">
      <c r="A29" s="470" t="s">
        <v>534</v>
      </c>
      <c r="B29" s="906">
        <v>40975</v>
      </c>
      <c r="C29" s="907"/>
    </row>
    <row r="30" spans="1:17" s="238" customFormat="1" ht="25.2" customHeight="1">
      <c r="A30" s="467" t="s">
        <v>235</v>
      </c>
      <c r="B30" s="210">
        <v>144649</v>
      </c>
      <c r="C30" s="905"/>
    </row>
    <row r="31" spans="1:17" s="238" customFormat="1" ht="24.55" customHeight="1">
      <c r="A31" s="467" t="s">
        <v>243</v>
      </c>
      <c r="B31" s="210">
        <v>20488</v>
      </c>
      <c r="C31" s="905"/>
    </row>
    <row r="32" spans="1:17" s="237" customFormat="1" ht="59.25" customHeight="1">
      <c r="A32" s="134" t="s">
        <v>532</v>
      </c>
      <c r="B32" s="211">
        <f>SUM(B33:B35)</f>
        <v>236696</v>
      </c>
      <c r="C32" s="708" t="s">
        <v>124</v>
      </c>
      <c r="D32" s="238"/>
      <c r="E32" s="238"/>
      <c r="F32" s="238"/>
      <c r="G32" s="238"/>
      <c r="H32" s="238"/>
      <c r="I32" s="238"/>
      <c r="J32" s="238"/>
      <c r="K32" s="238"/>
      <c r="L32" s="238"/>
      <c r="M32" s="238"/>
      <c r="N32" s="238"/>
      <c r="O32" s="238"/>
      <c r="P32" s="238"/>
      <c r="Q32" s="238"/>
    </row>
    <row r="33" spans="1:17" s="238" customFormat="1" ht="26.05" customHeight="1">
      <c r="A33" s="467" t="s">
        <v>531</v>
      </c>
      <c r="B33" s="210">
        <v>47175</v>
      </c>
      <c r="C33" s="706"/>
    </row>
    <row r="34" spans="1:17" s="238" customFormat="1" ht="26.05" customHeight="1">
      <c r="A34" s="467" t="s">
        <v>533</v>
      </c>
      <c r="B34" s="210">
        <v>165934</v>
      </c>
      <c r="C34" s="706"/>
    </row>
    <row r="35" spans="1:17" s="238" customFormat="1" ht="26.05" customHeight="1">
      <c r="A35" s="467" t="s">
        <v>239</v>
      </c>
      <c r="B35" s="210">
        <v>23587</v>
      </c>
      <c r="C35" s="706"/>
    </row>
    <row r="36" spans="1:17" s="237" customFormat="1" ht="38.15" customHeight="1">
      <c r="A36" s="26" t="s">
        <v>221</v>
      </c>
      <c r="B36" s="211">
        <f>SUM(B37:B38)</f>
        <v>74068305</v>
      </c>
      <c r="C36" s="1560" t="s">
        <v>126</v>
      </c>
      <c r="D36" s="238"/>
      <c r="E36" s="238"/>
      <c r="F36" s="238"/>
      <c r="G36" s="238"/>
      <c r="H36" s="238"/>
      <c r="I36" s="238"/>
      <c r="J36" s="238"/>
      <c r="K36" s="238"/>
      <c r="L36" s="238"/>
      <c r="M36" s="238"/>
      <c r="N36" s="238"/>
      <c r="O36" s="238"/>
      <c r="P36" s="238"/>
      <c r="Q36" s="238"/>
    </row>
    <row r="37" spans="1:17" s="238" customFormat="1" ht="26.05" customHeight="1">
      <c r="A37" s="467" t="s">
        <v>241</v>
      </c>
      <c r="B37" s="210">
        <v>44440983</v>
      </c>
      <c r="C37" s="1560"/>
    </row>
    <row r="38" spans="1:17" s="238" customFormat="1" ht="26.05" customHeight="1">
      <c r="A38" s="467" t="s">
        <v>240</v>
      </c>
      <c r="B38" s="210">
        <v>29627322</v>
      </c>
      <c r="C38" s="1560"/>
    </row>
    <row r="39" spans="1:17" s="237" customFormat="1" ht="38.15" customHeight="1">
      <c r="A39" s="26" t="s">
        <v>220</v>
      </c>
      <c r="B39" s="211">
        <f>SUM(B40:B41)</f>
        <v>9524873</v>
      </c>
      <c r="C39" s="1560" t="s">
        <v>125</v>
      </c>
      <c r="D39" s="238"/>
      <c r="E39" s="238"/>
      <c r="F39" s="238"/>
      <c r="G39" s="238"/>
      <c r="H39" s="238"/>
      <c r="I39" s="238"/>
      <c r="J39" s="238"/>
      <c r="K39" s="238"/>
      <c r="L39" s="238"/>
      <c r="M39" s="238"/>
      <c r="N39" s="238"/>
      <c r="O39" s="238"/>
      <c r="P39" s="238"/>
      <c r="Q39" s="238"/>
    </row>
    <row r="40" spans="1:17" s="238" customFormat="1" ht="26.05" customHeight="1">
      <c r="A40" s="467" t="s">
        <v>234</v>
      </c>
      <c r="B40" s="210">
        <v>1904974</v>
      </c>
      <c r="C40" s="1560"/>
    </row>
    <row r="41" spans="1:17" s="238" customFormat="1" ht="26.05" customHeight="1">
      <c r="A41" s="467" t="s">
        <v>240</v>
      </c>
      <c r="B41" s="210">
        <v>7619899</v>
      </c>
      <c r="C41" s="1560"/>
    </row>
    <row r="42" spans="1:17" s="237" customFormat="1" ht="42.05" customHeight="1">
      <c r="A42" s="26" t="s">
        <v>222</v>
      </c>
      <c r="B42" s="211">
        <f>SUM(B43:B45)</f>
        <v>18508185</v>
      </c>
      <c r="C42" s="1560" t="s">
        <v>124</v>
      </c>
      <c r="D42" s="238"/>
      <c r="E42" s="238"/>
      <c r="F42" s="238"/>
      <c r="G42" s="238"/>
      <c r="H42" s="238"/>
      <c r="I42" s="238"/>
      <c r="J42" s="238"/>
      <c r="K42" s="238"/>
      <c r="L42" s="238"/>
      <c r="M42" s="238"/>
      <c r="N42" s="238"/>
      <c r="O42" s="238"/>
      <c r="P42" s="238"/>
      <c r="Q42" s="238"/>
    </row>
    <row r="43" spans="1:17" s="238" customFormat="1" ht="26.05" customHeight="1">
      <c r="A43" s="467" t="s">
        <v>234</v>
      </c>
      <c r="B43" s="210">
        <v>3687589</v>
      </c>
      <c r="C43" s="1560"/>
    </row>
    <row r="44" spans="1:17" s="238" customFormat="1" ht="26.05" customHeight="1">
      <c r="A44" s="467" t="s">
        <v>235</v>
      </c>
      <c r="B44" s="210">
        <v>12976802</v>
      </c>
      <c r="C44" s="1560"/>
    </row>
    <row r="45" spans="1:17" s="238" customFormat="1" ht="26.05" customHeight="1">
      <c r="A45" s="467" t="s">
        <v>242</v>
      </c>
      <c r="B45" s="210">
        <v>1843794</v>
      </c>
      <c r="C45" s="1560"/>
    </row>
    <row r="46" spans="1:17" s="237" customFormat="1" ht="42.05" customHeight="1">
      <c r="A46" s="26" t="s">
        <v>223</v>
      </c>
      <c r="B46" s="211">
        <f>SUM(B47:B48)</f>
        <v>594216</v>
      </c>
      <c r="C46" s="1560" t="s">
        <v>415</v>
      </c>
      <c r="D46" s="238"/>
      <c r="E46" s="238"/>
      <c r="F46" s="238"/>
      <c r="G46" s="238"/>
      <c r="H46" s="238"/>
      <c r="I46" s="238"/>
      <c r="J46" s="238"/>
      <c r="K46" s="238"/>
      <c r="L46" s="238"/>
      <c r="M46" s="238"/>
      <c r="N46" s="238"/>
      <c r="O46" s="238"/>
      <c r="P46" s="238"/>
      <c r="Q46" s="238"/>
    </row>
    <row r="47" spans="1:17" s="238" customFormat="1" ht="26.35" customHeight="1">
      <c r="A47" s="467" t="s">
        <v>244</v>
      </c>
      <c r="B47" s="210">
        <v>475373</v>
      </c>
      <c r="C47" s="1564"/>
    </row>
    <row r="48" spans="1:17" s="238" customFormat="1" ht="27" customHeight="1">
      <c r="A48" s="467" t="s">
        <v>243</v>
      </c>
      <c r="B48" s="210">
        <v>118843</v>
      </c>
      <c r="C48" s="1564"/>
    </row>
    <row r="49" spans="1:17" s="237" customFormat="1" ht="43.55" customHeight="1" thickBot="1">
      <c r="A49" s="469" t="s">
        <v>224</v>
      </c>
      <c r="B49" s="214">
        <f>SUM(B50:B51)</f>
        <v>64477</v>
      </c>
      <c r="C49" s="705" t="s">
        <v>127</v>
      </c>
      <c r="D49" s="238"/>
      <c r="E49" s="238"/>
      <c r="F49" s="238"/>
      <c r="G49" s="238"/>
      <c r="H49" s="238"/>
      <c r="I49" s="238"/>
      <c r="J49" s="238"/>
      <c r="K49" s="238"/>
      <c r="L49" s="238"/>
      <c r="M49" s="238"/>
      <c r="N49" s="238"/>
      <c r="O49" s="238"/>
      <c r="P49" s="238"/>
      <c r="Q49" s="238"/>
    </row>
    <row r="50" spans="1:17" s="238" customFormat="1" ht="24.9" customHeight="1">
      <c r="A50" s="467" t="s">
        <v>245</v>
      </c>
      <c r="B50" s="210">
        <v>51582</v>
      </c>
      <c r="C50" s="706"/>
    </row>
    <row r="51" spans="1:17" s="238" customFormat="1" ht="24.9" customHeight="1">
      <c r="A51" s="467" t="s">
        <v>231</v>
      </c>
      <c r="B51" s="210">
        <v>12895</v>
      </c>
      <c r="C51" s="706"/>
    </row>
    <row r="52" spans="1:17" s="237" customFormat="1" ht="30.8" customHeight="1">
      <c r="A52" s="26" t="s">
        <v>238</v>
      </c>
      <c r="B52" s="211">
        <f>SUM(B53:B54)</f>
        <v>37296</v>
      </c>
      <c r="C52" s="1565" t="s">
        <v>1659</v>
      </c>
      <c r="D52" s="238"/>
      <c r="E52" s="238"/>
      <c r="F52" s="238"/>
      <c r="G52" s="238"/>
      <c r="H52" s="238"/>
      <c r="I52" s="238"/>
      <c r="J52" s="238"/>
      <c r="K52" s="238"/>
      <c r="L52" s="238"/>
      <c r="M52" s="238"/>
      <c r="N52" s="238"/>
      <c r="O52" s="238"/>
      <c r="P52" s="238"/>
      <c r="Q52" s="238"/>
    </row>
    <row r="53" spans="1:17" s="238" customFormat="1" ht="24.9" customHeight="1">
      <c r="A53" s="467" t="s">
        <v>244</v>
      </c>
      <c r="B53" s="210">
        <v>14545</v>
      </c>
      <c r="C53" s="1564"/>
    </row>
    <row r="54" spans="1:17" s="238" customFormat="1" ht="24.9" customHeight="1">
      <c r="A54" s="467" t="s">
        <v>246</v>
      </c>
      <c r="B54" s="210">
        <v>22751</v>
      </c>
      <c r="C54" s="1564"/>
    </row>
    <row r="55" spans="1:17" s="237" customFormat="1" ht="64.150000000000006" customHeight="1">
      <c r="A55" s="134" t="s">
        <v>229</v>
      </c>
      <c r="B55" s="211">
        <f>SUM(B56)</f>
        <v>105732</v>
      </c>
      <c r="C55" s="1560" t="s">
        <v>128</v>
      </c>
      <c r="D55" s="238"/>
      <c r="E55" s="238"/>
      <c r="F55" s="238"/>
      <c r="G55" s="238"/>
      <c r="H55" s="238"/>
      <c r="I55" s="238"/>
      <c r="J55" s="238"/>
      <c r="K55" s="238"/>
      <c r="L55" s="238"/>
      <c r="M55" s="238"/>
      <c r="N55" s="238"/>
      <c r="O55" s="238"/>
      <c r="P55" s="238"/>
      <c r="Q55" s="238"/>
    </row>
    <row r="56" spans="1:17" s="237" customFormat="1" ht="24.9" customHeight="1">
      <c r="A56" s="467" t="s">
        <v>235</v>
      </c>
      <c r="B56" s="210">
        <v>105732</v>
      </c>
      <c r="C56" s="1560"/>
      <c r="D56" s="238"/>
      <c r="E56" s="238"/>
      <c r="F56" s="238"/>
      <c r="G56" s="238"/>
      <c r="H56" s="238"/>
      <c r="I56" s="238"/>
      <c r="J56" s="238"/>
      <c r="K56" s="238"/>
      <c r="L56" s="238"/>
      <c r="M56" s="238"/>
      <c r="N56" s="238"/>
      <c r="O56" s="238"/>
      <c r="P56" s="238"/>
      <c r="Q56" s="238"/>
    </row>
    <row r="57" spans="1:17" s="237" customFormat="1" ht="41.25" customHeight="1">
      <c r="A57" s="26" t="s">
        <v>225</v>
      </c>
      <c r="B57" s="211">
        <f>SUM(B58:B60)</f>
        <v>2193610</v>
      </c>
      <c r="C57" s="1560" t="s">
        <v>913</v>
      </c>
      <c r="D57" s="238"/>
      <c r="E57" s="238"/>
      <c r="F57" s="238"/>
      <c r="G57" s="238"/>
      <c r="H57" s="238"/>
      <c r="I57" s="238"/>
      <c r="J57" s="238"/>
      <c r="K57" s="238"/>
      <c r="L57" s="238"/>
      <c r="M57" s="238"/>
      <c r="N57" s="238"/>
      <c r="O57" s="238"/>
      <c r="P57" s="238"/>
      <c r="Q57" s="238"/>
    </row>
    <row r="58" spans="1:17" s="237" customFormat="1" ht="26.05" customHeight="1">
      <c r="A58" s="467" t="s">
        <v>534</v>
      </c>
      <c r="B58" s="210">
        <v>438722</v>
      </c>
      <c r="C58" s="1564"/>
      <c r="D58" s="238"/>
      <c r="E58" s="238"/>
      <c r="F58" s="238"/>
      <c r="G58" s="238"/>
      <c r="H58" s="238"/>
      <c r="I58" s="238"/>
      <c r="J58" s="238"/>
      <c r="K58" s="238"/>
      <c r="L58" s="238"/>
      <c r="M58" s="238"/>
      <c r="N58" s="238"/>
      <c r="O58" s="238"/>
      <c r="P58" s="238"/>
      <c r="Q58" s="238"/>
    </row>
    <row r="59" spans="1:17" s="237" customFormat="1" ht="26.05" customHeight="1">
      <c r="A59" s="467" t="s">
        <v>235</v>
      </c>
      <c r="B59" s="210">
        <v>1535527</v>
      </c>
      <c r="C59" s="1564"/>
      <c r="D59" s="238"/>
      <c r="E59" s="238"/>
      <c r="F59" s="238"/>
      <c r="G59" s="238"/>
      <c r="H59" s="238"/>
      <c r="I59" s="238"/>
      <c r="J59" s="238"/>
      <c r="K59" s="238"/>
      <c r="L59" s="238"/>
      <c r="M59" s="238"/>
      <c r="N59" s="238"/>
      <c r="O59" s="238"/>
      <c r="P59" s="238"/>
      <c r="Q59" s="238"/>
    </row>
    <row r="60" spans="1:17" s="238" customFormat="1" ht="26.05" customHeight="1">
      <c r="A60" s="467" t="s">
        <v>239</v>
      </c>
      <c r="B60" s="210">
        <v>219361</v>
      </c>
      <c r="C60" s="704"/>
    </row>
    <row r="61" spans="1:17" s="237" customFormat="1" ht="52.2" customHeight="1">
      <c r="A61" s="444" t="s">
        <v>255</v>
      </c>
      <c r="B61" s="207">
        <f>462992+4770</f>
        <v>467762</v>
      </c>
      <c r="C61" s="707" t="s">
        <v>1240</v>
      </c>
      <c r="D61" s="238"/>
      <c r="E61" s="238"/>
      <c r="F61" s="238"/>
      <c r="G61" s="238"/>
      <c r="H61" s="238"/>
      <c r="I61" s="238"/>
      <c r="J61" s="238"/>
      <c r="K61" s="238"/>
      <c r="L61" s="238"/>
      <c r="M61" s="238"/>
      <c r="N61" s="238"/>
      <c r="O61" s="238"/>
      <c r="P61" s="238"/>
      <c r="Q61" s="238"/>
    </row>
    <row r="62" spans="1:17" s="237" customFormat="1" ht="7.2" customHeight="1">
      <c r="A62" s="467"/>
      <c r="B62" s="211"/>
      <c r="C62" s="704"/>
      <c r="D62" s="238"/>
      <c r="E62" s="238"/>
      <c r="F62" s="238"/>
      <c r="G62" s="238"/>
      <c r="H62" s="238"/>
      <c r="I62" s="238"/>
      <c r="J62" s="238"/>
      <c r="K62" s="238"/>
      <c r="L62" s="238"/>
      <c r="M62" s="238"/>
      <c r="N62" s="238"/>
      <c r="O62" s="238"/>
      <c r="P62" s="238"/>
      <c r="Q62" s="238"/>
    </row>
    <row r="63" spans="1:17" s="237" customFormat="1" ht="29.3" customHeight="1">
      <c r="A63" s="444" t="s">
        <v>33</v>
      </c>
      <c r="B63" s="207">
        <f>SUM(B64,B93)</f>
        <v>30396889</v>
      </c>
      <c r="C63" s="704"/>
    </row>
    <row r="64" spans="1:17" s="237" customFormat="1" ht="29.95" customHeight="1">
      <c r="A64" s="445" t="s">
        <v>217</v>
      </c>
      <c r="B64" s="207">
        <f>SUM(B65,B69,B73,B77,B85,B81,B89)</f>
        <v>30372516</v>
      </c>
      <c r="C64" s="704"/>
    </row>
    <row r="65" spans="1:17" s="237" customFormat="1" ht="51.55" customHeight="1">
      <c r="A65" s="134" t="s">
        <v>218</v>
      </c>
      <c r="B65" s="207">
        <f>SUM(B66:B68)</f>
        <v>12020904</v>
      </c>
      <c r="C65" s="1560" t="s">
        <v>129</v>
      </c>
    </row>
    <row r="66" spans="1:17" s="238" customFormat="1" ht="26.05" customHeight="1">
      <c r="A66" s="467" t="s">
        <v>534</v>
      </c>
      <c r="B66" s="208">
        <v>2404181</v>
      </c>
      <c r="C66" s="1560"/>
    </row>
    <row r="67" spans="1:17" s="238" customFormat="1" ht="26.05" customHeight="1">
      <c r="A67" s="467" t="s">
        <v>533</v>
      </c>
      <c r="B67" s="208">
        <v>8414633</v>
      </c>
      <c r="C67" s="1560"/>
    </row>
    <row r="68" spans="1:17" s="238" customFormat="1" ht="26.05" customHeight="1">
      <c r="A68" s="467" t="s">
        <v>239</v>
      </c>
      <c r="B68" s="208">
        <v>1202090</v>
      </c>
      <c r="C68" s="1560"/>
    </row>
    <row r="69" spans="1:17" s="237" customFormat="1" ht="38.950000000000003" customHeight="1" thickBot="1">
      <c r="A69" s="468" t="s">
        <v>535</v>
      </c>
      <c r="B69" s="212">
        <f>SUM(B70:B72)</f>
        <v>13027440</v>
      </c>
      <c r="C69" s="705" t="s">
        <v>129</v>
      </c>
      <c r="D69" s="238"/>
      <c r="E69" s="238"/>
      <c r="F69" s="238"/>
      <c r="G69" s="238"/>
      <c r="H69" s="238"/>
      <c r="I69" s="238"/>
      <c r="J69" s="238"/>
      <c r="K69" s="238"/>
      <c r="L69" s="238"/>
      <c r="M69" s="238"/>
      <c r="N69" s="238"/>
      <c r="O69" s="238"/>
      <c r="P69" s="238"/>
      <c r="Q69" s="238"/>
    </row>
    <row r="70" spans="1:17" s="238" customFormat="1" ht="25.2" customHeight="1">
      <c r="A70" s="467" t="s">
        <v>232</v>
      </c>
      <c r="B70" s="208">
        <v>2605488</v>
      </c>
      <c r="C70" s="708"/>
    </row>
    <row r="71" spans="1:17" s="238" customFormat="1" ht="25.2" customHeight="1">
      <c r="A71" s="467" t="s">
        <v>235</v>
      </c>
      <c r="B71" s="208">
        <v>9119208</v>
      </c>
      <c r="C71" s="708"/>
    </row>
    <row r="72" spans="1:17" s="238" customFormat="1" ht="25.2" customHeight="1">
      <c r="A72" s="467" t="s">
        <v>231</v>
      </c>
      <c r="B72" s="208">
        <v>1302744</v>
      </c>
      <c r="C72" s="708"/>
    </row>
    <row r="73" spans="1:17" s="238" customFormat="1" ht="45" customHeight="1">
      <c r="A73" s="134" t="s">
        <v>230</v>
      </c>
      <c r="B73" s="207">
        <f>SUM(B74:B76)</f>
        <v>1557494</v>
      </c>
      <c r="C73" s="1560" t="s">
        <v>129</v>
      </c>
    </row>
    <row r="74" spans="1:17" s="238" customFormat="1" ht="25.2" customHeight="1">
      <c r="A74" s="467" t="s">
        <v>247</v>
      </c>
      <c r="B74" s="208">
        <v>311499</v>
      </c>
      <c r="C74" s="1560"/>
    </row>
    <row r="75" spans="1:17" s="238" customFormat="1" ht="25.2" customHeight="1">
      <c r="A75" s="467" t="s">
        <v>235</v>
      </c>
      <c r="B75" s="208">
        <v>1090246</v>
      </c>
      <c r="C75" s="1560"/>
    </row>
    <row r="76" spans="1:17" s="238" customFormat="1" ht="25.2" customHeight="1">
      <c r="A76" s="467" t="s">
        <v>231</v>
      </c>
      <c r="B76" s="208">
        <v>155749</v>
      </c>
      <c r="C76" s="1560"/>
    </row>
    <row r="77" spans="1:17" s="238" customFormat="1" ht="45.65" customHeight="1">
      <c r="A77" s="134" t="s">
        <v>227</v>
      </c>
      <c r="B77" s="207">
        <f>SUM(B78:B80)</f>
        <v>1953480</v>
      </c>
      <c r="C77" s="709" t="s">
        <v>129</v>
      </c>
    </row>
    <row r="78" spans="1:17" s="238" customFormat="1" ht="25.2" customHeight="1">
      <c r="A78" s="467" t="s">
        <v>234</v>
      </c>
      <c r="B78" s="208">
        <v>390696</v>
      </c>
      <c r="C78" s="708"/>
    </row>
    <row r="79" spans="1:17" s="238" customFormat="1" ht="25.2" customHeight="1">
      <c r="A79" s="467" t="s">
        <v>233</v>
      </c>
      <c r="B79" s="208">
        <v>1367436</v>
      </c>
      <c r="C79" s="708"/>
    </row>
    <row r="80" spans="1:17" s="238" customFormat="1" ht="25.2" customHeight="1">
      <c r="A80" s="467" t="s">
        <v>231</v>
      </c>
      <c r="B80" s="208">
        <v>195348</v>
      </c>
      <c r="C80" s="708"/>
    </row>
    <row r="81" spans="1:17" s="237" customFormat="1" ht="47" customHeight="1">
      <c r="A81" s="134" t="s">
        <v>228</v>
      </c>
      <c r="B81" s="207">
        <f>SUM(B82:B84)</f>
        <v>2686</v>
      </c>
      <c r="C81" s="1560" t="s">
        <v>129</v>
      </c>
      <c r="D81" s="238"/>
      <c r="E81" s="238"/>
      <c r="F81" s="238"/>
      <c r="G81" s="238"/>
      <c r="H81" s="238"/>
      <c r="I81" s="238"/>
      <c r="J81" s="238"/>
      <c r="K81" s="238"/>
      <c r="L81" s="238"/>
      <c r="M81" s="238"/>
      <c r="N81" s="238"/>
      <c r="O81" s="238"/>
      <c r="P81" s="238"/>
      <c r="Q81" s="238"/>
    </row>
    <row r="82" spans="1:17" s="238" customFormat="1" ht="21.6" customHeight="1">
      <c r="A82" s="467" t="s">
        <v>534</v>
      </c>
      <c r="B82" s="208">
        <v>537</v>
      </c>
      <c r="C82" s="1560"/>
    </row>
    <row r="83" spans="1:17" s="238" customFormat="1" ht="23.4" customHeight="1">
      <c r="A83" s="467" t="s">
        <v>248</v>
      </c>
      <c r="B83" s="208">
        <v>1880</v>
      </c>
      <c r="C83" s="1560"/>
    </row>
    <row r="84" spans="1:17" s="238" customFormat="1" ht="24.05" customHeight="1">
      <c r="A84" s="467" t="s">
        <v>536</v>
      </c>
      <c r="B84" s="208">
        <v>269</v>
      </c>
      <c r="C84" s="1560"/>
    </row>
    <row r="85" spans="1:17" s="237" customFormat="1" ht="38.950000000000003" customHeight="1">
      <c r="A85" s="26" t="s">
        <v>222</v>
      </c>
      <c r="B85" s="207">
        <f>SUM(B86:B88)</f>
        <v>1601597</v>
      </c>
      <c r="C85" s="1560" t="s">
        <v>129</v>
      </c>
      <c r="D85" s="238"/>
      <c r="E85" s="238"/>
      <c r="F85" s="238"/>
      <c r="G85" s="238"/>
      <c r="H85" s="238"/>
      <c r="I85" s="238"/>
      <c r="J85" s="238"/>
      <c r="K85" s="238"/>
      <c r="L85" s="238"/>
      <c r="M85" s="238"/>
      <c r="N85" s="238"/>
      <c r="O85" s="238"/>
      <c r="P85" s="238"/>
      <c r="Q85" s="238"/>
    </row>
    <row r="86" spans="1:17" s="238" customFormat="1" ht="24.55" customHeight="1">
      <c r="A86" s="467" t="s">
        <v>232</v>
      </c>
      <c r="B86" s="208">
        <v>320319</v>
      </c>
      <c r="C86" s="1560"/>
    </row>
    <row r="87" spans="1:17" s="238" customFormat="1" ht="23.4" customHeight="1">
      <c r="A87" s="467" t="s">
        <v>233</v>
      </c>
      <c r="B87" s="208">
        <v>1121118</v>
      </c>
      <c r="C87" s="1560"/>
    </row>
    <row r="88" spans="1:17" s="238" customFormat="1" ht="22.95" customHeight="1">
      <c r="A88" s="467" t="s">
        <v>240</v>
      </c>
      <c r="B88" s="208">
        <v>160160</v>
      </c>
      <c r="C88" s="1560"/>
    </row>
    <row r="89" spans="1:17" s="238" customFormat="1" ht="56" customHeight="1">
      <c r="A89" s="26" t="s">
        <v>225</v>
      </c>
      <c r="B89" s="207">
        <f>SUM(B90:B92)</f>
        <v>208915</v>
      </c>
      <c r="C89" s="1569" t="s">
        <v>914</v>
      </c>
    </row>
    <row r="90" spans="1:17" s="238" customFormat="1" ht="26.2" customHeight="1" thickBot="1">
      <c r="A90" s="470" t="s">
        <v>537</v>
      </c>
      <c r="B90" s="209">
        <v>41783</v>
      </c>
      <c r="C90" s="1570"/>
    </row>
    <row r="91" spans="1:17" s="238" customFormat="1" ht="29.95" customHeight="1">
      <c r="A91" s="467" t="s">
        <v>235</v>
      </c>
      <c r="B91" s="208">
        <v>146241</v>
      </c>
      <c r="C91" s="706"/>
    </row>
    <row r="92" spans="1:17" s="238" customFormat="1" ht="29.95" customHeight="1">
      <c r="A92" s="467" t="s">
        <v>231</v>
      </c>
      <c r="B92" s="208">
        <v>20891</v>
      </c>
      <c r="C92" s="704"/>
    </row>
    <row r="93" spans="1:17" s="237" customFormat="1" ht="32.75">
      <c r="A93" s="444" t="s">
        <v>254</v>
      </c>
      <c r="B93" s="207">
        <v>24373</v>
      </c>
      <c r="C93" s="707" t="s">
        <v>784</v>
      </c>
      <c r="D93" s="238"/>
      <c r="E93" s="238"/>
      <c r="F93" s="238"/>
      <c r="G93" s="238"/>
      <c r="H93" s="238"/>
      <c r="I93" s="238"/>
      <c r="J93" s="238"/>
      <c r="K93" s="238"/>
      <c r="L93" s="238"/>
      <c r="M93" s="238"/>
      <c r="N93" s="238"/>
      <c r="O93" s="238"/>
      <c r="P93" s="238"/>
      <c r="Q93" s="238"/>
    </row>
    <row r="94" spans="1:17" s="237" customFormat="1" ht="15.55" customHeight="1">
      <c r="A94" s="467"/>
      <c r="B94" s="211"/>
      <c r="C94" s="704"/>
      <c r="D94" s="238"/>
      <c r="E94" s="238"/>
      <c r="F94" s="238"/>
      <c r="G94" s="238"/>
      <c r="H94" s="238"/>
      <c r="I94" s="238"/>
      <c r="J94" s="238"/>
      <c r="K94" s="238"/>
      <c r="L94" s="238"/>
      <c r="M94" s="238"/>
      <c r="N94" s="238"/>
      <c r="O94" s="238"/>
      <c r="P94" s="238"/>
      <c r="Q94" s="238"/>
    </row>
    <row r="95" spans="1:17" s="237" customFormat="1" ht="29.95" customHeight="1">
      <c r="A95" s="444" t="s">
        <v>726</v>
      </c>
      <c r="B95" s="207">
        <f>+B96+B101</f>
        <v>3265722</v>
      </c>
      <c r="C95" s="704"/>
      <c r="D95" s="238"/>
      <c r="E95" s="238"/>
      <c r="F95" s="238"/>
      <c r="G95" s="238"/>
      <c r="H95" s="238"/>
      <c r="I95" s="238"/>
      <c r="J95" s="238"/>
      <c r="K95" s="238"/>
      <c r="L95" s="238"/>
      <c r="M95" s="238"/>
      <c r="N95" s="238"/>
      <c r="O95" s="238"/>
      <c r="P95" s="238"/>
      <c r="Q95" s="238"/>
    </row>
    <row r="96" spans="1:17" s="237" customFormat="1" ht="29.95" customHeight="1">
      <c r="A96" s="444" t="s">
        <v>727</v>
      </c>
      <c r="B96" s="207">
        <f>+B97+B100</f>
        <v>3169722</v>
      </c>
      <c r="C96" s="838"/>
      <c r="D96" s="238"/>
      <c r="E96" s="238"/>
      <c r="F96" s="238"/>
      <c r="G96" s="238"/>
      <c r="H96" s="238"/>
      <c r="I96" s="238"/>
      <c r="J96" s="238"/>
      <c r="K96" s="238"/>
      <c r="L96" s="238"/>
      <c r="M96" s="238"/>
      <c r="N96" s="238"/>
      <c r="O96" s="238"/>
      <c r="P96" s="238"/>
      <c r="Q96" s="238"/>
    </row>
    <row r="97" spans="1:17" s="237" customFormat="1" ht="29.95" customHeight="1">
      <c r="A97" s="445" t="s">
        <v>731</v>
      </c>
      <c r="B97" s="207">
        <f>SUM(B98:B99)</f>
        <v>3158654</v>
      </c>
      <c r="C97" s="1562" t="s">
        <v>728</v>
      </c>
      <c r="D97" s="238"/>
      <c r="E97" s="238"/>
      <c r="F97" s="238"/>
      <c r="G97" s="238"/>
      <c r="H97" s="238"/>
      <c r="I97" s="238"/>
      <c r="J97" s="238"/>
      <c r="K97" s="238"/>
      <c r="L97" s="238"/>
      <c r="M97" s="238"/>
      <c r="N97" s="238"/>
      <c r="O97" s="238"/>
      <c r="P97" s="238"/>
      <c r="Q97" s="238"/>
    </row>
    <row r="98" spans="1:17" s="238" customFormat="1" ht="30.6" customHeight="1">
      <c r="A98" s="467" t="s">
        <v>732</v>
      </c>
      <c r="B98" s="210">
        <v>947596</v>
      </c>
      <c r="C98" s="1563"/>
    </row>
    <row r="99" spans="1:17" s="238" customFormat="1" ht="29.95" customHeight="1">
      <c r="A99" s="467" t="s">
        <v>733</v>
      </c>
      <c r="B99" s="210">
        <v>2211058</v>
      </c>
      <c r="C99" s="704"/>
    </row>
    <row r="100" spans="1:17" s="237" customFormat="1" ht="36" customHeight="1">
      <c r="A100" s="444" t="s">
        <v>734</v>
      </c>
      <c r="B100" s="207">
        <v>11068</v>
      </c>
      <c r="C100" s="839" t="s">
        <v>912</v>
      </c>
      <c r="D100" s="238"/>
      <c r="E100" s="238"/>
      <c r="F100" s="238"/>
      <c r="G100" s="238"/>
      <c r="H100" s="238"/>
      <c r="I100" s="238"/>
      <c r="J100" s="238"/>
      <c r="K100" s="238"/>
      <c r="L100" s="238"/>
      <c r="M100" s="238"/>
      <c r="N100" s="238"/>
      <c r="O100" s="238"/>
      <c r="P100" s="238"/>
      <c r="Q100" s="238"/>
    </row>
    <row r="101" spans="1:17" s="237" customFormat="1" ht="29.95" customHeight="1">
      <c r="A101" s="444" t="s">
        <v>730</v>
      </c>
      <c r="B101" s="207">
        <f>SUM(B102,B144)</f>
        <v>96000</v>
      </c>
      <c r="C101" s="839"/>
      <c r="D101" s="238"/>
      <c r="E101" s="238"/>
      <c r="F101" s="238"/>
      <c r="G101" s="238"/>
      <c r="H101" s="238"/>
      <c r="I101" s="238"/>
      <c r="J101" s="238"/>
      <c r="K101" s="238"/>
      <c r="L101" s="238"/>
      <c r="M101" s="238"/>
      <c r="N101" s="238"/>
      <c r="O101" s="238"/>
      <c r="P101" s="238"/>
      <c r="Q101" s="238"/>
    </row>
    <row r="102" spans="1:17" s="237" customFormat="1" ht="29.95" customHeight="1">
      <c r="A102" s="445" t="s">
        <v>729</v>
      </c>
      <c r="B102" s="207">
        <f>SUM(B103:B104)</f>
        <v>96000</v>
      </c>
      <c r="C102" s="842" t="s">
        <v>1690</v>
      </c>
      <c r="D102" s="238"/>
      <c r="E102" s="238"/>
      <c r="F102" s="238"/>
      <c r="G102" s="238"/>
      <c r="H102" s="238"/>
      <c r="I102" s="238"/>
      <c r="J102" s="238"/>
      <c r="K102" s="238"/>
      <c r="L102" s="238"/>
      <c r="M102" s="238"/>
      <c r="N102" s="238"/>
      <c r="O102" s="238"/>
      <c r="P102" s="238"/>
      <c r="Q102" s="238"/>
    </row>
    <row r="103" spans="1:17" s="238" customFormat="1" ht="30.6" customHeight="1">
      <c r="A103" s="467" t="s">
        <v>732</v>
      </c>
      <c r="B103" s="210">
        <v>57600</v>
      </c>
      <c r="C103" s="839"/>
    </row>
    <row r="104" spans="1:17" s="238" customFormat="1" ht="29.95" customHeight="1">
      <c r="A104" s="467" t="s">
        <v>733</v>
      </c>
      <c r="B104" s="210">
        <v>38400</v>
      </c>
      <c r="C104" s="839"/>
    </row>
    <row r="105" spans="1:17" s="238" customFormat="1" ht="15.55" customHeight="1">
      <c r="A105" s="467"/>
      <c r="B105" s="210"/>
      <c r="C105" s="841"/>
    </row>
    <row r="106" spans="1:17" s="235" customFormat="1" ht="26.35" customHeight="1">
      <c r="A106" s="1165" t="s">
        <v>1074</v>
      </c>
      <c r="B106" s="207">
        <f>SUM(B107,B139)</f>
        <v>6760215</v>
      </c>
      <c r="C106" s="1196"/>
    </row>
    <row r="107" spans="1:17" s="235" customFormat="1" ht="26.35" customHeight="1">
      <c r="A107" s="1166" t="s">
        <v>217</v>
      </c>
      <c r="B107" s="211">
        <f>SUM(B108,B110,B112,B114,B128,B125,B122,B116,B120,B132,B135,B137,B118,B130)</f>
        <v>6749590</v>
      </c>
      <c r="C107" s="1186"/>
      <c r="D107" s="1191"/>
      <c r="E107" s="1191"/>
      <c r="F107" s="1192">
        <f>D107+E107</f>
        <v>0</v>
      </c>
    </row>
    <row r="108" spans="1:17" s="237" customFormat="1" ht="48.8" customHeight="1">
      <c r="A108" s="134" t="s">
        <v>218</v>
      </c>
      <c r="B108" s="211">
        <f>SUM(B109:B109)</f>
        <v>2543816</v>
      </c>
      <c r="C108" s="1561" t="s">
        <v>1241</v>
      </c>
    </row>
    <row r="109" spans="1:17" s="238" customFormat="1" ht="23.4" customHeight="1">
      <c r="A109" s="467" t="s">
        <v>233</v>
      </c>
      <c r="B109" s="210">
        <v>2543816</v>
      </c>
      <c r="C109" s="1560"/>
    </row>
    <row r="110" spans="1:17" s="237" customFormat="1" ht="41.4" customHeight="1">
      <c r="A110" s="134" t="s">
        <v>219</v>
      </c>
      <c r="B110" s="211">
        <f>SUM(B111:B111)</f>
        <v>1871294</v>
      </c>
      <c r="C110" s="1193" t="s">
        <v>1241</v>
      </c>
      <c r="D110" s="238"/>
      <c r="E110" s="238"/>
      <c r="F110" s="238"/>
      <c r="G110" s="238"/>
      <c r="H110" s="238"/>
      <c r="I110" s="238"/>
      <c r="J110" s="238"/>
      <c r="K110" s="238"/>
      <c r="L110" s="238"/>
      <c r="M110" s="238"/>
      <c r="N110" s="238"/>
      <c r="O110" s="238"/>
      <c r="P110" s="238"/>
      <c r="Q110" s="238"/>
    </row>
    <row r="111" spans="1:17" s="238" customFormat="1" ht="28.15" customHeight="1" thickBot="1">
      <c r="A111" s="470" t="s">
        <v>233</v>
      </c>
      <c r="B111" s="906">
        <v>1871294</v>
      </c>
      <c r="C111" s="1198"/>
    </row>
    <row r="112" spans="1:17" s="238" customFormat="1" ht="50.25" customHeight="1">
      <c r="A112" s="134" t="s">
        <v>226</v>
      </c>
      <c r="B112" s="211">
        <f>SUM(B113:B113)</f>
        <v>148666</v>
      </c>
      <c r="C112" s="1193" t="s">
        <v>1241</v>
      </c>
    </row>
    <row r="113" spans="1:17" s="238" customFormat="1" ht="24.75" customHeight="1">
      <c r="A113" s="467" t="s">
        <v>235</v>
      </c>
      <c r="B113" s="210">
        <v>148666</v>
      </c>
      <c r="C113" s="1194"/>
    </row>
    <row r="114" spans="1:17" s="238" customFormat="1" ht="52.55" customHeight="1">
      <c r="A114" s="134" t="s">
        <v>237</v>
      </c>
      <c r="B114" s="211">
        <f>SUM(B115:B115)</f>
        <v>201144</v>
      </c>
      <c r="C114" s="1193" t="s">
        <v>1241</v>
      </c>
    </row>
    <row r="115" spans="1:17" s="238" customFormat="1" ht="23.25" customHeight="1">
      <c r="A115" s="467" t="s">
        <v>233</v>
      </c>
      <c r="B115" s="210">
        <v>201144</v>
      </c>
      <c r="C115" s="1194"/>
    </row>
    <row r="116" spans="1:17" s="237" customFormat="1" ht="42.05" customHeight="1">
      <c r="A116" s="26" t="s">
        <v>222</v>
      </c>
      <c r="B116" s="211">
        <f>SUM(B117:B117)</f>
        <v>169057</v>
      </c>
      <c r="C116" s="1193" t="s">
        <v>1241</v>
      </c>
      <c r="D116" s="238"/>
      <c r="E116" s="238"/>
      <c r="F116" s="238"/>
      <c r="G116" s="238"/>
      <c r="H116" s="238"/>
      <c r="I116" s="238"/>
      <c r="J116" s="238"/>
      <c r="K116" s="238"/>
      <c r="L116" s="238"/>
      <c r="M116" s="238"/>
      <c r="N116" s="238"/>
      <c r="O116" s="238"/>
      <c r="P116" s="238"/>
      <c r="Q116" s="238"/>
    </row>
    <row r="117" spans="1:17" s="238" customFormat="1" ht="26.05" customHeight="1">
      <c r="A117" s="467" t="s">
        <v>235</v>
      </c>
      <c r="B117" s="210">
        <v>169057</v>
      </c>
      <c r="C117" s="1194"/>
    </row>
    <row r="118" spans="1:17" s="237" customFormat="1" ht="42.05" customHeight="1">
      <c r="A118" s="134" t="s">
        <v>1243</v>
      </c>
      <c r="B118" s="211">
        <f>SUM(B119:B119)</f>
        <v>75072</v>
      </c>
      <c r="C118" s="1193" t="s">
        <v>1241</v>
      </c>
      <c r="D118" s="238"/>
      <c r="E118" s="238"/>
      <c r="F118" s="238"/>
      <c r="G118" s="238"/>
      <c r="H118" s="238"/>
      <c r="I118" s="238"/>
      <c r="J118" s="238"/>
      <c r="K118" s="238"/>
      <c r="L118" s="238"/>
      <c r="M118" s="238"/>
      <c r="N118" s="238"/>
      <c r="O118" s="238"/>
      <c r="P118" s="238"/>
      <c r="Q118" s="238"/>
    </row>
    <row r="119" spans="1:17" s="238" customFormat="1" ht="26.05" customHeight="1">
      <c r="A119" s="467" t="s">
        <v>235</v>
      </c>
      <c r="B119" s="210">
        <v>75072</v>
      </c>
      <c r="C119" s="1194"/>
    </row>
    <row r="120" spans="1:17" s="237" customFormat="1" ht="54" customHeight="1">
      <c r="A120" s="134" t="s">
        <v>228</v>
      </c>
      <c r="B120" s="211">
        <f>SUM(B121:B121)</f>
        <v>2836</v>
      </c>
      <c r="C120" s="1196" t="s">
        <v>1241</v>
      </c>
      <c r="D120" s="238"/>
      <c r="E120" s="238"/>
      <c r="F120" s="238"/>
      <c r="G120" s="238"/>
      <c r="H120" s="238"/>
      <c r="I120" s="238"/>
      <c r="J120" s="238"/>
      <c r="K120" s="238"/>
      <c r="L120" s="238"/>
      <c r="M120" s="238"/>
      <c r="N120" s="238"/>
      <c r="O120" s="238"/>
      <c r="P120" s="238"/>
      <c r="Q120" s="238"/>
    </row>
    <row r="121" spans="1:17" s="238" customFormat="1" ht="25.2" customHeight="1">
      <c r="A121" s="467" t="s">
        <v>235</v>
      </c>
      <c r="B121" s="210">
        <v>2836</v>
      </c>
      <c r="C121" s="1186"/>
    </row>
    <row r="122" spans="1:17" s="237" customFormat="1" ht="38.15" customHeight="1">
      <c r="A122" s="26" t="s">
        <v>221</v>
      </c>
      <c r="B122" s="211">
        <f>SUM(B123:B124)</f>
        <v>1348314</v>
      </c>
      <c r="C122" s="1560" t="s">
        <v>126</v>
      </c>
      <c r="D122" s="238"/>
      <c r="E122" s="238"/>
      <c r="F122" s="238"/>
      <c r="G122" s="238"/>
      <c r="H122" s="238"/>
      <c r="I122" s="238"/>
      <c r="J122" s="238"/>
      <c r="K122" s="238"/>
      <c r="L122" s="238"/>
      <c r="M122" s="238"/>
      <c r="N122" s="238"/>
      <c r="O122" s="238"/>
      <c r="P122" s="238"/>
      <c r="Q122" s="238"/>
    </row>
    <row r="123" spans="1:17" s="238" customFormat="1" ht="26.05" customHeight="1">
      <c r="A123" s="467" t="s">
        <v>241</v>
      </c>
      <c r="B123" s="210">
        <v>808988</v>
      </c>
      <c r="C123" s="1560"/>
    </row>
    <row r="124" spans="1:17" s="238" customFormat="1" ht="26.05" customHeight="1">
      <c r="A124" s="467" t="s">
        <v>240</v>
      </c>
      <c r="B124" s="210">
        <v>539326</v>
      </c>
      <c r="C124" s="1560"/>
    </row>
    <row r="125" spans="1:17" s="237" customFormat="1" ht="38.15" customHeight="1">
      <c r="A125" s="26" t="s">
        <v>220</v>
      </c>
      <c r="B125" s="211">
        <f>SUM(B126:B127)</f>
        <v>131904</v>
      </c>
      <c r="C125" s="1560" t="s">
        <v>1244</v>
      </c>
      <c r="D125" s="238"/>
      <c r="E125" s="238"/>
      <c r="F125" s="238"/>
      <c r="G125" s="238"/>
      <c r="H125" s="238"/>
      <c r="I125" s="238"/>
      <c r="J125" s="238"/>
      <c r="K125" s="238"/>
      <c r="L125" s="238"/>
      <c r="M125" s="238"/>
      <c r="N125" s="238"/>
      <c r="O125" s="238"/>
      <c r="P125" s="238"/>
      <c r="Q125" s="238"/>
    </row>
    <row r="126" spans="1:17" s="238" customFormat="1" ht="26.05" customHeight="1">
      <c r="A126" s="467" t="s">
        <v>234</v>
      </c>
      <c r="B126" s="210">
        <v>26381</v>
      </c>
      <c r="C126" s="1560"/>
    </row>
    <row r="127" spans="1:17" s="238" customFormat="1" ht="26.05" customHeight="1">
      <c r="A127" s="467" t="s">
        <v>240</v>
      </c>
      <c r="B127" s="210">
        <v>105523</v>
      </c>
      <c r="C127" s="1560"/>
    </row>
    <row r="128" spans="1:17" s="237" customFormat="1" ht="54" customHeight="1">
      <c r="A128" s="134" t="s">
        <v>532</v>
      </c>
      <c r="B128" s="211">
        <f>SUM(B129:B129)</f>
        <v>1579</v>
      </c>
      <c r="C128" s="1197" t="s">
        <v>1245</v>
      </c>
      <c r="D128" s="238"/>
      <c r="E128" s="238"/>
      <c r="F128" s="238"/>
      <c r="G128" s="238"/>
      <c r="H128" s="238"/>
      <c r="I128" s="238"/>
      <c r="J128" s="238"/>
      <c r="K128" s="238"/>
      <c r="L128" s="238"/>
      <c r="M128" s="238"/>
      <c r="N128" s="238"/>
      <c r="O128" s="238"/>
      <c r="P128" s="238"/>
      <c r="Q128" s="238"/>
    </row>
    <row r="129" spans="1:17" s="238" customFormat="1" ht="26.05" customHeight="1" thickBot="1">
      <c r="A129" s="470" t="s">
        <v>533</v>
      </c>
      <c r="B129" s="906">
        <v>1579</v>
      </c>
      <c r="C129" s="1199"/>
    </row>
    <row r="130" spans="1:17" s="237" customFormat="1" ht="59.25" customHeight="1">
      <c r="A130" s="134" t="s">
        <v>1246</v>
      </c>
      <c r="B130" s="211">
        <f>SUM(B131:B131)</f>
        <v>102</v>
      </c>
      <c r="C130" s="1197" t="s">
        <v>1245</v>
      </c>
      <c r="D130" s="238"/>
      <c r="E130" s="238"/>
      <c r="F130" s="238"/>
      <c r="G130" s="238"/>
      <c r="H130" s="238"/>
      <c r="I130" s="238"/>
      <c r="J130" s="238"/>
      <c r="K130" s="238"/>
      <c r="L130" s="238"/>
      <c r="M130" s="238"/>
      <c r="N130" s="238"/>
      <c r="O130" s="238"/>
      <c r="P130" s="238"/>
      <c r="Q130" s="238"/>
    </row>
    <row r="131" spans="1:17" s="238" customFormat="1" ht="26.05" customHeight="1">
      <c r="A131" s="467" t="s">
        <v>533</v>
      </c>
      <c r="B131" s="210">
        <v>102</v>
      </c>
      <c r="C131" s="706"/>
    </row>
    <row r="132" spans="1:17" s="237" customFormat="1" ht="43.55" customHeight="1">
      <c r="A132" s="26" t="s">
        <v>224</v>
      </c>
      <c r="B132" s="211">
        <f>SUM(B133:B134)</f>
        <v>4593</v>
      </c>
      <c r="C132" s="708" t="s">
        <v>1247</v>
      </c>
      <c r="D132" s="238"/>
      <c r="E132" s="238"/>
      <c r="F132" s="238"/>
      <c r="G132" s="238"/>
      <c r="H132" s="238"/>
      <c r="I132" s="238"/>
      <c r="J132" s="238"/>
      <c r="K132" s="238"/>
      <c r="L132" s="238"/>
      <c r="M132" s="238"/>
      <c r="N132" s="238"/>
      <c r="O132" s="238"/>
      <c r="P132" s="238"/>
      <c r="Q132" s="238"/>
    </row>
    <row r="133" spans="1:17" s="238" customFormat="1" ht="24.9" customHeight="1">
      <c r="A133" s="467" t="s">
        <v>245</v>
      </c>
      <c r="B133" s="210">
        <v>3674</v>
      </c>
      <c r="C133" s="706"/>
    </row>
    <row r="134" spans="1:17" s="238" customFormat="1" ht="24.9" customHeight="1">
      <c r="A134" s="467" t="s">
        <v>231</v>
      </c>
      <c r="B134" s="210">
        <v>919</v>
      </c>
      <c r="C134" s="706"/>
    </row>
    <row r="135" spans="1:17" s="237" customFormat="1" ht="30.8" customHeight="1">
      <c r="A135" s="26" t="s">
        <v>1242</v>
      </c>
      <c r="B135" s="211">
        <f>SUM(B136:B136)</f>
        <v>5573</v>
      </c>
      <c r="C135" s="1193" t="s">
        <v>1241</v>
      </c>
      <c r="D135" s="238"/>
      <c r="E135" s="238"/>
      <c r="F135" s="238"/>
      <c r="G135" s="238"/>
      <c r="H135" s="238"/>
      <c r="I135" s="238"/>
      <c r="J135" s="238"/>
      <c r="K135" s="238"/>
      <c r="L135" s="238"/>
      <c r="M135" s="238"/>
      <c r="N135" s="238"/>
      <c r="O135" s="238"/>
      <c r="P135" s="238"/>
      <c r="Q135" s="238"/>
    </row>
    <row r="136" spans="1:17" s="238" customFormat="1" ht="24.9" customHeight="1">
      <c r="A136" s="467" t="s">
        <v>235</v>
      </c>
      <c r="B136" s="210">
        <v>5573</v>
      </c>
      <c r="C136" s="1195"/>
    </row>
    <row r="137" spans="1:17" s="237" customFormat="1" ht="64.150000000000006" customHeight="1">
      <c r="A137" s="134" t="s">
        <v>1092</v>
      </c>
      <c r="B137" s="211">
        <f>SUM(B138)</f>
        <v>245640</v>
      </c>
      <c r="C137" s="1561" t="s">
        <v>1248</v>
      </c>
      <c r="D137" s="238"/>
      <c r="E137" s="238"/>
      <c r="F137" s="238"/>
      <c r="G137" s="238"/>
      <c r="H137" s="238"/>
      <c r="I137" s="238"/>
      <c r="J137" s="238"/>
      <c r="K137" s="238"/>
      <c r="L137" s="238"/>
      <c r="M137" s="238"/>
      <c r="N137" s="238"/>
      <c r="O137" s="238"/>
      <c r="P137" s="238"/>
      <c r="Q137" s="238"/>
    </row>
    <row r="138" spans="1:17" s="237" customFormat="1" ht="24.9" customHeight="1">
      <c r="A138" s="467" t="s">
        <v>235</v>
      </c>
      <c r="B138" s="210">
        <v>245640</v>
      </c>
      <c r="C138" s="1560"/>
      <c r="D138" s="238"/>
      <c r="E138" s="238"/>
      <c r="F138" s="238"/>
      <c r="G138" s="238"/>
      <c r="H138" s="238"/>
      <c r="I138" s="238"/>
      <c r="J138" s="238"/>
      <c r="K138" s="238"/>
      <c r="L138" s="238"/>
      <c r="M138" s="238"/>
      <c r="N138" s="238"/>
      <c r="O138" s="238"/>
      <c r="P138" s="238"/>
      <c r="Q138" s="238"/>
    </row>
    <row r="139" spans="1:17" s="237" customFormat="1" ht="52.2" customHeight="1">
      <c r="A139" s="1165" t="s">
        <v>255</v>
      </c>
      <c r="B139" s="207">
        <v>10625</v>
      </c>
      <c r="C139" s="707" t="s">
        <v>1249</v>
      </c>
      <c r="D139" s="238"/>
      <c r="E139" s="238"/>
      <c r="F139" s="238"/>
      <c r="G139" s="238"/>
      <c r="H139" s="238"/>
      <c r="I139" s="238"/>
      <c r="J139" s="238"/>
      <c r="K139" s="238"/>
      <c r="L139" s="238"/>
      <c r="M139" s="238"/>
      <c r="N139" s="238"/>
      <c r="O139" s="238"/>
      <c r="P139" s="238"/>
      <c r="Q139" s="238"/>
    </row>
    <row r="140" spans="1:17" s="238" customFormat="1" ht="29.95" customHeight="1">
      <c r="A140" s="467"/>
      <c r="B140" s="210"/>
      <c r="C140" s="841"/>
    </row>
    <row r="141" spans="1:17" s="238" customFormat="1" ht="50.4" customHeight="1">
      <c r="A141" s="467"/>
      <c r="B141" s="210"/>
      <c r="C141" s="841"/>
    </row>
    <row r="142" spans="1:17" s="238" customFormat="1" ht="39.6" customHeight="1">
      <c r="A142" s="467"/>
      <c r="B142" s="210"/>
      <c r="C142" s="841"/>
    </row>
    <row r="143" spans="1:17" s="238" customFormat="1" ht="72" customHeight="1">
      <c r="A143" s="467"/>
      <c r="B143" s="210"/>
      <c r="C143" s="841"/>
    </row>
    <row r="144" spans="1:17" s="237" customFormat="1" ht="58.25" customHeight="1" thickBot="1">
      <c r="A144" s="465"/>
      <c r="B144" s="212"/>
      <c r="C144" s="840"/>
      <c r="D144" s="238"/>
      <c r="E144" s="238"/>
      <c r="F144" s="238"/>
      <c r="G144" s="238"/>
      <c r="H144" s="238"/>
      <c r="I144" s="238"/>
      <c r="J144" s="238"/>
      <c r="K144" s="238"/>
      <c r="L144" s="238"/>
      <c r="M144" s="238"/>
      <c r="N144" s="238"/>
      <c r="O144" s="238"/>
      <c r="P144" s="238"/>
      <c r="Q144" s="238"/>
    </row>
    <row r="145" spans="1:2" ht="24.75" customHeight="1">
      <c r="B145" s="215"/>
    </row>
    <row r="146" spans="1:2" ht="24.75" customHeight="1"/>
    <row r="147" spans="1:2">
      <c r="A147" s="423"/>
    </row>
    <row r="171" ht="27.85" customHeight="1"/>
    <row r="172" ht="47.3" customHeight="1"/>
    <row r="173" ht="27" customHeight="1"/>
    <row r="175" ht="30.8" customHeight="1"/>
  </sheetData>
  <mergeCells count="28">
    <mergeCell ref="C65:C68"/>
    <mergeCell ref="C73:C76"/>
    <mergeCell ref="C85:C88"/>
    <mergeCell ref="C81:C84"/>
    <mergeCell ref="C89:C90"/>
    <mergeCell ref="A1:C1"/>
    <mergeCell ref="A2:C2"/>
    <mergeCell ref="A3:C3"/>
    <mergeCell ref="A4:C4"/>
    <mergeCell ref="A5:A7"/>
    <mergeCell ref="B5:B7"/>
    <mergeCell ref="C5:C7"/>
    <mergeCell ref="C125:C127"/>
    <mergeCell ref="C137:C138"/>
    <mergeCell ref="C108:C109"/>
    <mergeCell ref="C122:C124"/>
    <mergeCell ref="C12:C15"/>
    <mergeCell ref="C16:C19"/>
    <mergeCell ref="C20:C23"/>
    <mergeCell ref="C24:C27"/>
    <mergeCell ref="C39:C41"/>
    <mergeCell ref="C36:C38"/>
    <mergeCell ref="C97:C98"/>
    <mergeCell ref="C42:C45"/>
    <mergeCell ref="C46:C48"/>
    <mergeCell ref="C52:C54"/>
    <mergeCell ref="C55:C56"/>
    <mergeCell ref="C57:C59"/>
  </mergeCells>
  <phoneticPr fontId="5" type="noConversion"/>
  <printOptions horizontalCentered="1"/>
  <pageMargins left="0.59055118110236227" right="0.59055118110236227" top="0.59055118110236227" bottom="0.78740157480314965" header="0.51181102362204722" footer="0.51181102362204722"/>
  <pageSetup paperSize="9" firstPageNumber="70" orientation="portrait" useFirstPageNumber="1" r:id="rId1"/>
  <headerFooter alignWithMargins="0">
    <oddFooter>&amp;C&amp;"Times New Roman,標準"&amp;P</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AW252"/>
  <sheetViews>
    <sheetView showGridLines="0" view="pageBreakPreview" zoomScale="120" zoomScaleSheetLayoutView="120" workbookViewId="0">
      <selection activeCell="D7" sqref="D7"/>
    </sheetView>
  </sheetViews>
  <sheetFormatPr defaultColWidth="12" defaultRowHeight="20.3"/>
  <cols>
    <col min="1" max="1" width="35.25" style="429" customWidth="1"/>
    <col min="2" max="2" width="10" style="429" customWidth="1"/>
    <col min="3" max="3" width="11.375" style="429" customWidth="1"/>
    <col min="4" max="4" width="12.5" style="429" customWidth="1"/>
    <col min="5" max="5" width="2.375" style="429" customWidth="1"/>
    <col min="6" max="6" width="18.75" style="429" customWidth="1"/>
    <col min="7" max="7" width="12" style="429"/>
    <col min="8" max="8" width="12.875" style="429" bestFit="1" customWidth="1"/>
    <col min="9" max="16384" width="12" style="429"/>
  </cols>
  <sheetData>
    <row r="1" spans="1:6" s="2" customFormat="1" ht="22.25">
      <c r="A1" s="1266" t="s">
        <v>59</v>
      </c>
      <c r="B1" s="1266"/>
      <c r="C1" s="1266"/>
      <c r="D1" s="1266"/>
      <c r="E1" s="1266"/>
      <c r="F1" s="1266"/>
    </row>
    <row r="2" spans="1:6" s="2" customFormat="1" ht="22.25">
      <c r="A2" s="1266" t="s">
        <v>60</v>
      </c>
      <c r="B2" s="1266"/>
      <c r="C2" s="1266"/>
      <c r="D2" s="1266"/>
      <c r="E2" s="1266"/>
      <c r="F2" s="1266"/>
    </row>
    <row r="3" spans="1:6" s="2" customFormat="1" ht="24.75" customHeight="1">
      <c r="A3" s="1267" t="s">
        <v>1721</v>
      </c>
      <c r="B3" s="1268"/>
      <c r="C3" s="1268"/>
      <c r="D3" s="1268"/>
      <c r="E3" s="1268"/>
      <c r="F3" s="1268"/>
    </row>
    <row r="4" spans="1:6" s="2" customFormat="1" ht="24.75" customHeight="1" thickBot="1">
      <c r="A4" s="1316" t="s">
        <v>1750</v>
      </c>
      <c r="B4" s="1287"/>
      <c r="C4" s="1287"/>
      <c r="D4" s="1287"/>
      <c r="E4" s="1287"/>
      <c r="F4" s="1287"/>
    </row>
    <row r="5" spans="1:6" s="427" customFormat="1" ht="52.55" customHeight="1">
      <c r="A5" s="750" t="s">
        <v>130</v>
      </c>
      <c r="B5" s="424" t="s">
        <v>131</v>
      </c>
      <c r="C5" s="425" t="s">
        <v>132</v>
      </c>
      <c r="D5" s="426" t="s">
        <v>133</v>
      </c>
      <c r="E5" s="1575" t="s">
        <v>134</v>
      </c>
      <c r="F5" s="1576"/>
    </row>
    <row r="6" spans="1:6" s="428" customFormat="1" ht="6.55" customHeight="1">
      <c r="A6" s="751"/>
      <c r="B6" s="270"/>
      <c r="C6" s="271"/>
      <c r="D6" s="271"/>
      <c r="E6" s="271"/>
      <c r="F6" s="1074"/>
    </row>
    <row r="7" spans="1:6" s="274" customFormat="1" ht="27.65" customHeight="1">
      <c r="A7" s="752" t="s">
        <v>556</v>
      </c>
      <c r="B7" s="272"/>
      <c r="C7" s="273"/>
      <c r="D7" s="354">
        <f>D8+D86+D93+D102+D112+D161</f>
        <v>558596726</v>
      </c>
      <c r="E7" s="354"/>
      <c r="F7" s="1075"/>
    </row>
    <row r="8" spans="1:6" s="30" customFormat="1" ht="72" customHeight="1">
      <c r="A8" s="753" t="s">
        <v>1002</v>
      </c>
      <c r="B8" s="115"/>
      <c r="C8" s="213"/>
      <c r="D8" s="213">
        <f>SUM(D9:D10)</f>
        <v>520975856</v>
      </c>
      <c r="E8" s="1577" t="s">
        <v>1611</v>
      </c>
      <c r="F8" s="1578"/>
    </row>
    <row r="9" spans="1:6" s="739" customFormat="1" ht="65.95" customHeight="1">
      <c r="A9" s="754" t="s">
        <v>594</v>
      </c>
      <c r="B9" s="931"/>
      <c r="C9" s="933"/>
      <c r="D9" s="933">
        <f>D13</f>
        <v>518440489</v>
      </c>
      <c r="E9" s="1577"/>
      <c r="F9" s="1578"/>
    </row>
    <row r="10" spans="1:6" s="739" customFormat="1" ht="65.95" customHeight="1">
      <c r="A10" s="754" t="s">
        <v>595</v>
      </c>
      <c r="B10" s="931"/>
      <c r="C10" s="933"/>
      <c r="D10" s="933">
        <f>D14+D76</f>
        <v>2535367</v>
      </c>
      <c r="E10" s="1577"/>
      <c r="F10" s="1578"/>
    </row>
    <row r="11" spans="1:6" s="739" customFormat="1" ht="4.25" customHeight="1">
      <c r="A11" s="754"/>
      <c r="B11" s="931"/>
      <c r="C11" s="933"/>
      <c r="D11" s="933"/>
      <c r="E11" s="933"/>
      <c r="F11" s="1076"/>
    </row>
    <row r="12" spans="1:6" s="30" customFormat="1" ht="27.65" customHeight="1">
      <c r="A12" s="753" t="s">
        <v>644</v>
      </c>
      <c r="B12" s="115"/>
      <c r="C12" s="213"/>
      <c r="D12" s="213">
        <f>SUM(D13:D14)</f>
        <v>519739548</v>
      </c>
      <c r="E12" s="213"/>
      <c r="F12" s="1573"/>
    </row>
    <row r="13" spans="1:6" s="739" customFormat="1" ht="29" customHeight="1">
      <c r="A13" s="754" t="s">
        <v>596</v>
      </c>
      <c r="B13" s="931"/>
      <c r="C13" s="933"/>
      <c r="D13" s="933">
        <f>SUM(D17,D20,D26,D43,D49,D56)</f>
        <v>518440489</v>
      </c>
      <c r="E13" s="933"/>
      <c r="F13" s="1574"/>
    </row>
    <row r="14" spans="1:6" s="739" customFormat="1" ht="28.15" customHeight="1">
      <c r="A14" s="754" t="s">
        <v>597</v>
      </c>
      <c r="B14" s="931"/>
      <c r="C14" s="933"/>
      <c r="D14" s="933">
        <f>SUM(D21,D30,D44,D61,D72)</f>
        <v>1299059</v>
      </c>
      <c r="E14" s="933"/>
      <c r="F14" s="1574"/>
    </row>
    <row r="15" spans="1:6" s="739" customFormat="1" ht="6.05" customHeight="1">
      <c r="A15" s="754"/>
      <c r="B15" s="931"/>
      <c r="C15" s="933"/>
      <c r="D15" s="933"/>
      <c r="E15" s="933"/>
      <c r="F15" s="1574"/>
    </row>
    <row r="16" spans="1:6" s="739" customFormat="1" ht="26.2" customHeight="1">
      <c r="A16" s="754" t="s">
        <v>598</v>
      </c>
      <c r="B16" s="931"/>
      <c r="C16" s="933"/>
      <c r="D16" s="933">
        <f>SUM(D17)</f>
        <v>8167500</v>
      </c>
      <c r="E16" s="933"/>
      <c r="F16" s="1574"/>
    </row>
    <row r="17" spans="1:8" s="739" customFormat="1" ht="26.2" customHeight="1">
      <c r="A17" s="754" t="s">
        <v>599</v>
      </c>
      <c r="B17" s="931">
        <v>121000</v>
      </c>
      <c r="C17" s="933">
        <v>67500</v>
      </c>
      <c r="D17" s="933">
        <v>8167500</v>
      </c>
      <c r="E17" s="1571" t="s">
        <v>1663</v>
      </c>
      <c r="F17" s="1572"/>
      <c r="H17" s="940">
        <f>B17*C17/1000-D17</f>
        <v>0</v>
      </c>
    </row>
    <row r="18" spans="1:8" s="739" customFormat="1" ht="5.4" customHeight="1">
      <c r="A18" s="754"/>
      <c r="B18" s="931"/>
      <c r="C18" s="933"/>
      <c r="D18" s="933"/>
      <c r="E18" s="933"/>
      <c r="F18" s="1236"/>
      <c r="H18" s="939"/>
    </row>
    <row r="19" spans="1:8" s="739" customFormat="1" ht="23.1" customHeight="1">
      <c r="A19" s="754" t="s">
        <v>600</v>
      </c>
      <c r="B19" s="931"/>
      <c r="C19" s="933"/>
      <c r="D19" s="933">
        <f>SUM(D20:D21)</f>
        <v>1811015</v>
      </c>
      <c r="E19" s="933"/>
      <c r="F19" s="1236"/>
      <c r="H19" s="939"/>
    </row>
    <row r="20" spans="1:8" s="739" customFormat="1" ht="23.1" customHeight="1">
      <c r="A20" s="754" t="s">
        <v>599</v>
      </c>
      <c r="B20" s="931">
        <v>131016</v>
      </c>
      <c r="C20" s="933">
        <v>8390</v>
      </c>
      <c r="D20" s="933">
        <v>1099224</v>
      </c>
      <c r="E20" s="1571" t="s">
        <v>1664</v>
      </c>
      <c r="F20" s="1572"/>
      <c r="H20" s="940">
        <f>B20*C20/1000-D20</f>
        <v>0.23999999999068677</v>
      </c>
    </row>
    <row r="21" spans="1:8" s="739" customFormat="1" ht="23.1" customHeight="1">
      <c r="A21" s="754" t="s">
        <v>619</v>
      </c>
      <c r="B21" s="931"/>
      <c r="C21" s="933"/>
      <c r="D21" s="933">
        <f>SUM(D22:D23)</f>
        <v>711791</v>
      </c>
      <c r="E21" s="933"/>
      <c r="F21" s="1240"/>
      <c r="H21" s="663"/>
    </row>
    <row r="22" spans="1:8" s="739" customFormat="1" ht="23.1" customHeight="1">
      <c r="A22" s="754" t="s">
        <v>622</v>
      </c>
      <c r="B22" s="931">
        <f>15368</f>
        <v>15368</v>
      </c>
      <c r="C22" s="933">
        <v>42924</v>
      </c>
      <c r="D22" s="933">
        <f>659656</f>
        <v>659656</v>
      </c>
      <c r="E22" s="1581" t="s">
        <v>1620</v>
      </c>
      <c r="F22" s="1572"/>
      <c r="H22" s="940">
        <f>B22*C22/1000-D22</f>
        <v>3.2000000006519258E-2</v>
      </c>
    </row>
    <row r="23" spans="1:8" s="739" customFormat="1" ht="23.1" customHeight="1">
      <c r="A23" s="754" t="s">
        <v>623</v>
      </c>
      <c r="B23" s="931">
        <f>1129</f>
        <v>1129</v>
      </c>
      <c r="C23" s="933">
        <v>46178</v>
      </c>
      <c r="D23" s="933">
        <f>52135</f>
        <v>52135</v>
      </c>
      <c r="E23" s="1581" t="s">
        <v>1621</v>
      </c>
      <c r="F23" s="1572"/>
      <c r="H23" s="940">
        <f>B23*C23/1000-D23</f>
        <v>-3.8000000000465661E-2</v>
      </c>
    </row>
    <row r="24" spans="1:8" s="739" customFormat="1" ht="4.25" customHeight="1">
      <c r="A24" s="754"/>
      <c r="B24" s="931"/>
      <c r="C24" s="933"/>
      <c r="D24" s="933"/>
      <c r="E24" s="933"/>
      <c r="F24" s="1236"/>
      <c r="H24" s="939"/>
    </row>
    <row r="25" spans="1:8" s="739" customFormat="1" ht="23.1" customHeight="1">
      <c r="A25" s="754" t="s">
        <v>601</v>
      </c>
      <c r="B25" s="931"/>
      <c r="C25" s="933"/>
      <c r="D25" s="933">
        <f>SUM(D26,D30)</f>
        <v>5229325</v>
      </c>
      <c r="E25" s="933"/>
      <c r="F25" s="1236"/>
      <c r="H25" s="939"/>
    </row>
    <row r="26" spans="1:8" s="739" customFormat="1" ht="23.1" customHeight="1">
      <c r="A26" s="754" t="s">
        <v>602</v>
      </c>
      <c r="B26" s="931"/>
      <c r="C26" s="933"/>
      <c r="D26" s="933">
        <f>SUM(D27:D29)</f>
        <v>4915497</v>
      </c>
      <c r="E26" s="933"/>
      <c r="F26" s="1236"/>
      <c r="H26" s="939"/>
    </row>
    <row r="27" spans="1:8" s="739" customFormat="1" ht="22.95" customHeight="1">
      <c r="A27" s="754" t="s">
        <v>603</v>
      </c>
      <c r="B27" s="931">
        <v>14553</v>
      </c>
      <c r="C27" s="933">
        <v>292759</v>
      </c>
      <c r="D27" s="933">
        <v>4260522</v>
      </c>
      <c r="E27" s="1571" t="s">
        <v>1665</v>
      </c>
      <c r="F27" s="1572"/>
      <c r="H27" s="940">
        <f>B27*C27/1000-D27</f>
        <v>-0.27300000004470348</v>
      </c>
    </row>
    <row r="28" spans="1:8" s="739" customFormat="1" ht="23.4" customHeight="1">
      <c r="A28" s="754" t="s">
        <v>604</v>
      </c>
      <c r="B28" s="931">
        <v>63</v>
      </c>
      <c r="C28" s="933">
        <v>598718</v>
      </c>
      <c r="D28" s="933">
        <v>37719</v>
      </c>
      <c r="E28" s="933"/>
      <c r="F28" s="1076"/>
      <c r="H28" s="940">
        <f>B28*C28/1000-D28</f>
        <v>0.23399999999674037</v>
      </c>
    </row>
    <row r="29" spans="1:8" s="739" customFormat="1" ht="25.2" customHeight="1" thickBot="1">
      <c r="A29" s="755" t="s">
        <v>605</v>
      </c>
      <c r="B29" s="932">
        <v>5376</v>
      </c>
      <c r="C29" s="934">
        <v>114817</v>
      </c>
      <c r="D29" s="934">
        <v>617256</v>
      </c>
      <c r="E29" s="934"/>
      <c r="F29" s="1078"/>
      <c r="H29" s="940">
        <f>B29*C29/1000-D29</f>
        <v>0.19200000003911555</v>
      </c>
    </row>
    <row r="30" spans="1:8" s="739" customFormat="1" ht="26.05" customHeight="1">
      <c r="A30" s="754" t="s">
        <v>606</v>
      </c>
      <c r="B30" s="931"/>
      <c r="C30" s="933"/>
      <c r="D30" s="933">
        <f>SUM(D31,D36)</f>
        <v>313828</v>
      </c>
      <c r="E30" s="933"/>
      <c r="F30" s="1582"/>
      <c r="H30" s="939"/>
    </row>
    <row r="31" spans="1:8" s="739" customFormat="1" ht="24.55" customHeight="1">
      <c r="A31" s="754" t="s">
        <v>607</v>
      </c>
      <c r="B31" s="931"/>
      <c r="C31" s="933"/>
      <c r="D31" s="933">
        <f>SUM(D32:D35)</f>
        <v>288903</v>
      </c>
      <c r="E31" s="933"/>
      <c r="F31" s="1582"/>
      <c r="H31" s="939"/>
    </row>
    <row r="32" spans="1:8" s="739" customFormat="1" ht="24.05" customHeight="1">
      <c r="A32" s="754" t="s">
        <v>608</v>
      </c>
      <c r="B32" s="931">
        <v>697</v>
      </c>
      <c r="C32" s="933">
        <v>343575</v>
      </c>
      <c r="D32" s="933">
        <v>239472</v>
      </c>
      <c r="E32" s="1581" t="s">
        <v>1622</v>
      </c>
      <c r="F32" s="1572"/>
      <c r="H32" s="940">
        <f>B32*C32/1000-D32</f>
        <v>-0.22500000000582077</v>
      </c>
    </row>
    <row r="33" spans="1:49" s="739" customFormat="1" ht="24.55" customHeight="1">
      <c r="A33" s="754" t="s">
        <v>609</v>
      </c>
      <c r="B33" s="931">
        <v>3</v>
      </c>
      <c r="C33" s="933">
        <v>633973</v>
      </c>
      <c r="D33" s="933">
        <v>1902</v>
      </c>
      <c r="E33" s="933"/>
      <c r="F33" s="1076"/>
      <c r="H33" s="940">
        <f>B33*C33/1000-D33</f>
        <v>-8.0999999999903594E-2</v>
      </c>
    </row>
    <row r="34" spans="1:49" s="739" customFormat="1" ht="26.2" customHeight="1">
      <c r="A34" s="754" t="s">
        <v>610</v>
      </c>
      <c r="B34" s="931">
        <v>576</v>
      </c>
      <c r="C34" s="933">
        <v>50724</v>
      </c>
      <c r="D34" s="933">
        <v>29217</v>
      </c>
      <c r="E34" s="933"/>
      <c r="F34" s="1076"/>
      <c r="H34" s="940">
        <f>B34*C34/1000-D34</f>
        <v>2.4000000001251465E-2</v>
      </c>
    </row>
    <row r="35" spans="1:49" s="739" customFormat="1" ht="27.85" customHeight="1">
      <c r="A35" s="754" t="s">
        <v>611</v>
      </c>
      <c r="B35" s="931">
        <v>28</v>
      </c>
      <c r="C35" s="933">
        <v>654000</v>
      </c>
      <c r="D35" s="933">
        <v>18312</v>
      </c>
      <c r="E35" s="933"/>
      <c r="F35" s="1076"/>
      <c r="H35" s="940">
        <f>B35*C35/1000-D35</f>
        <v>0</v>
      </c>
    </row>
    <row r="36" spans="1:49" s="739" customFormat="1" ht="24.9" customHeight="1">
      <c r="A36" s="754" t="s">
        <v>612</v>
      </c>
      <c r="B36" s="931"/>
      <c r="C36" s="933"/>
      <c r="D36" s="933">
        <f>SUM(D37:D40)</f>
        <v>24925</v>
      </c>
      <c r="E36" s="933"/>
      <c r="F36" s="1076"/>
      <c r="H36" s="939"/>
    </row>
    <row r="37" spans="1:49" s="275" customFormat="1" ht="24.9" customHeight="1" thickBot="1">
      <c r="A37" s="754" t="s">
        <v>613</v>
      </c>
      <c r="B37" s="931">
        <v>45</v>
      </c>
      <c r="C37" s="933">
        <v>520764</v>
      </c>
      <c r="D37" s="933">
        <v>23434</v>
      </c>
      <c r="E37" s="1581" t="s">
        <v>1623</v>
      </c>
      <c r="F37" s="1572"/>
      <c r="G37" s="339"/>
      <c r="H37" s="940">
        <f>B37*C37/1000-D37</f>
        <v>0.38000000000101863</v>
      </c>
      <c r="I37" s="233"/>
      <c r="J37" s="233"/>
      <c r="K37" s="233"/>
      <c r="L37" s="233"/>
      <c r="M37" s="233"/>
      <c r="N37" s="233"/>
      <c r="O37" s="233"/>
      <c r="P37" s="233"/>
      <c r="Q37" s="233"/>
      <c r="R37" s="233"/>
      <c r="S37" s="233"/>
      <c r="T37" s="233"/>
      <c r="U37" s="233"/>
      <c r="V37" s="233"/>
      <c r="W37" s="233"/>
      <c r="X37" s="233"/>
      <c r="Y37" s="233"/>
      <c r="Z37" s="233"/>
      <c r="AA37" s="233"/>
      <c r="AB37" s="233"/>
      <c r="AC37" s="233"/>
      <c r="AD37" s="233"/>
      <c r="AE37" s="233"/>
      <c r="AF37" s="233"/>
      <c r="AG37" s="233"/>
      <c r="AH37" s="233"/>
      <c r="AI37" s="233"/>
      <c r="AJ37" s="233"/>
      <c r="AK37" s="233"/>
      <c r="AL37" s="233"/>
      <c r="AM37" s="233"/>
      <c r="AN37" s="233"/>
      <c r="AO37" s="233"/>
      <c r="AP37" s="233"/>
      <c r="AQ37" s="233"/>
      <c r="AR37" s="233"/>
      <c r="AS37" s="233"/>
      <c r="AT37" s="233"/>
      <c r="AU37" s="233"/>
      <c r="AV37" s="233"/>
      <c r="AW37" s="233"/>
    </row>
    <row r="38" spans="1:49" s="739" customFormat="1" ht="24.9" customHeight="1">
      <c r="A38" s="754" t="s">
        <v>614</v>
      </c>
      <c r="B38" s="931">
        <v>1</v>
      </c>
      <c r="C38" s="933">
        <v>627935</v>
      </c>
      <c r="D38" s="933">
        <v>628</v>
      </c>
      <c r="E38" s="933"/>
      <c r="F38" s="1076"/>
      <c r="H38" s="940">
        <f>B38*C38/1000-D38</f>
        <v>-6.500000000005457E-2</v>
      </c>
    </row>
    <row r="39" spans="1:49" s="739" customFormat="1" ht="24.9" customHeight="1">
      <c r="A39" s="754" t="s">
        <v>615</v>
      </c>
      <c r="B39" s="931">
        <v>16</v>
      </c>
      <c r="C39" s="933">
        <v>20150</v>
      </c>
      <c r="D39" s="933">
        <v>322</v>
      </c>
      <c r="E39" s="933"/>
      <c r="F39" s="1076"/>
      <c r="H39" s="940">
        <f>B39*C39/1000-D39</f>
        <v>0.39999999999997726</v>
      </c>
    </row>
    <row r="40" spans="1:49" s="739" customFormat="1" ht="24.9" customHeight="1">
      <c r="A40" s="754" t="s">
        <v>616</v>
      </c>
      <c r="B40" s="931">
        <v>1</v>
      </c>
      <c r="C40" s="933">
        <v>541000</v>
      </c>
      <c r="D40" s="933">
        <v>541</v>
      </c>
      <c r="E40" s="933"/>
      <c r="F40" s="1076"/>
      <c r="H40" s="940">
        <f>B40*C40/1000-D40</f>
        <v>0</v>
      </c>
    </row>
    <row r="41" spans="1:49" s="739" customFormat="1" ht="7.55" customHeight="1">
      <c r="A41" s="754"/>
      <c r="B41" s="931"/>
      <c r="C41" s="933"/>
      <c r="D41" s="933"/>
      <c r="E41" s="933"/>
      <c r="F41" s="1076"/>
      <c r="H41" s="939"/>
    </row>
    <row r="42" spans="1:49" s="739" customFormat="1" ht="24.9" customHeight="1">
      <c r="A42" s="754" t="s">
        <v>617</v>
      </c>
      <c r="B42" s="931"/>
      <c r="C42" s="933"/>
      <c r="D42" s="933">
        <f>SUM(D43:D44)</f>
        <v>677</v>
      </c>
      <c r="E42" s="933"/>
      <c r="F42" s="1076"/>
      <c r="H42" s="939"/>
    </row>
    <row r="43" spans="1:49" s="739" customFormat="1" ht="24.9" customHeight="1">
      <c r="A43" s="754" t="s">
        <v>618</v>
      </c>
      <c r="B43" s="931">
        <v>256</v>
      </c>
      <c r="C43" s="933">
        <v>2500</v>
      </c>
      <c r="D43" s="933">
        <v>640</v>
      </c>
      <c r="E43" s="1577" t="s">
        <v>1666</v>
      </c>
      <c r="F43" s="1578"/>
      <c r="H43" s="940">
        <f>B43*C43/1000-D43</f>
        <v>0</v>
      </c>
    </row>
    <row r="44" spans="1:49" s="739" customFormat="1" ht="24.9" customHeight="1">
      <c r="A44" s="754" t="s">
        <v>619</v>
      </c>
      <c r="B44" s="931"/>
      <c r="C44" s="933"/>
      <c r="D44" s="933">
        <f>SUM(D45:D46)</f>
        <v>37</v>
      </c>
      <c r="E44" s="933"/>
      <c r="F44" s="1237"/>
      <c r="H44" s="939"/>
    </row>
    <row r="45" spans="1:49" s="739" customFormat="1" ht="24.9" customHeight="1">
      <c r="A45" s="754" t="s">
        <v>620</v>
      </c>
      <c r="B45" s="931">
        <v>20</v>
      </c>
      <c r="C45" s="933">
        <v>1800</v>
      </c>
      <c r="D45" s="933">
        <v>36</v>
      </c>
      <c r="E45" s="1577" t="s">
        <v>1624</v>
      </c>
      <c r="F45" s="1578"/>
      <c r="H45" s="940">
        <f>B45*C45/1000-D45</f>
        <v>0</v>
      </c>
    </row>
    <row r="46" spans="1:49" s="739" customFormat="1" ht="24.9" customHeight="1">
      <c r="A46" s="754" t="s">
        <v>621</v>
      </c>
      <c r="B46" s="931">
        <v>1</v>
      </c>
      <c r="C46" s="933">
        <v>1000</v>
      </c>
      <c r="D46" s="933">
        <v>1</v>
      </c>
      <c r="E46" s="1577" t="s">
        <v>1625</v>
      </c>
      <c r="F46" s="1578"/>
      <c r="H46" s="940">
        <f>B46*C46/1000-D46</f>
        <v>0</v>
      </c>
    </row>
    <row r="47" spans="1:49" s="739" customFormat="1" ht="6.05" customHeight="1">
      <c r="A47" s="754"/>
      <c r="B47" s="931"/>
      <c r="C47" s="933"/>
      <c r="D47" s="933"/>
      <c r="E47" s="933"/>
      <c r="F47" s="1236"/>
      <c r="H47" s="939"/>
    </row>
    <row r="48" spans="1:49" s="739" customFormat="1" ht="24.9" customHeight="1">
      <c r="A48" s="754" t="s">
        <v>624</v>
      </c>
      <c r="B48" s="931"/>
      <c r="C48" s="933"/>
      <c r="D48" s="933">
        <f>SUM(D49)</f>
        <v>471916128</v>
      </c>
      <c r="E48" s="933"/>
      <c r="F48" s="1236"/>
      <c r="H48" s="939"/>
    </row>
    <row r="49" spans="1:8" s="739" customFormat="1" ht="24.9" customHeight="1">
      <c r="A49" s="754" t="s">
        <v>625</v>
      </c>
      <c r="B49" s="931"/>
      <c r="C49" s="933"/>
      <c r="D49" s="933">
        <f>SUM(D50:D53)</f>
        <v>471916128</v>
      </c>
      <c r="E49" s="933"/>
      <c r="F49" s="1236"/>
      <c r="H49" s="939"/>
    </row>
    <row r="50" spans="1:8" s="739" customFormat="1" ht="24.9" customHeight="1">
      <c r="A50" s="754" t="s">
        <v>626</v>
      </c>
      <c r="B50" s="931">
        <v>83500</v>
      </c>
      <c r="C50" s="933">
        <v>1432000</v>
      </c>
      <c r="D50" s="933">
        <v>119572000</v>
      </c>
      <c r="E50" s="1571" t="s">
        <v>1667</v>
      </c>
      <c r="F50" s="1572"/>
      <c r="H50" s="940">
        <f>B50*C50/1000-D50</f>
        <v>0</v>
      </c>
    </row>
    <row r="51" spans="1:8" s="739" customFormat="1" ht="24.9" customHeight="1">
      <c r="A51" s="754" t="s">
        <v>627</v>
      </c>
      <c r="B51" s="931">
        <v>19700</v>
      </c>
      <c r="C51" s="933">
        <v>102000</v>
      </c>
      <c r="D51" s="933">
        <v>2009400</v>
      </c>
      <c r="E51" s="1571" t="s">
        <v>1668</v>
      </c>
      <c r="F51" s="1572"/>
      <c r="H51" s="940">
        <f>B51*C51/1000-D51</f>
        <v>0</v>
      </c>
    </row>
    <row r="52" spans="1:8" s="739" customFormat="1" ht="24.9" customHeight="1">
      <c r="A52" s="754" t="s">
        <v>628</v>
      </c>
      <c r="B52" s="931">
        <v>5200</v>
      </c>
      <c r="C52" s="933">
        <v>740000</v>
      </c>
      <c r="D52" s="933">
        <v>3848000</v>
      </c>
      <c r="E52" s="933"/>
      <c r="F52" s="1080"/>
      <c r="H52" s="940">
        <f>B52*C52/1000-D52</f>
        <v>0</v>
      </c>
    </row>
    <row r="53" spans="1:8" s="739" customFormat="1" ht="24.9" customHeight="1">
      <c r="A53" s="754" t="s">
        <v>629</v>
      </c>
      <c r="B53" s="931">
        <v>1662200</v>
      </c>
      <c r="C53" s="933">
        <v>208451</v>
      </c>
      <c r="D53" s="933">
        <v>346486728</v>
      </c>
      <c r="E53" s="933"/>
      <c r="F53" s="1245"/>
      <c r="H53" s="941">
        <f>B53*C53/1000-D53</f>
        <v>524.19999998807907</v>
      </c>
    </row>
    <row r="54" spans="1:8" s="739" customFormat="1" ht="5.0999999999999996" customHeight="1">
      <c r="A54" s="754"/>
      <c r="B54" s="931"/>
      <c r="C54" s="933"/>
      <c r="D54" s="933"/>
      <c r="E54" s="933"/>
      <c r="F54" s="1245"/>
      <c r="H54" s="939"/>
    </row>
    <row r="55" spans="1:8" s="739" customFormat="1" ht="24.55" customHeight="1">
      <c r="A55" s="754" t="s">
        <v>630</v>
      </c>
      <c r="B55" s="931"/>
      <c r="C55" s="933"/>
      <c r="D55" s="933">
        <f>SUM(D56,D61)</f>
        <v>32613614</v>
      </c>
      <c r="E55" s="933"/>
      <c r="F55" s="1245"/>
      <c r="H55" s="939"/>
    </row>
    <row r="56" spans="1:8" s="739" customFormat="1" ht="28.8" customHeight="1" thickBot="1">
      <c r="A56" s="755" t="s">
        <v>602</v>
      </c>
      <c r="B56" s="932"/>
      <c r="C56" s="934"/>
      <c r="D56" s="934">
        <f>SUM(D57:D58)</f>
        <v>32341500</v>
      </c>
      <c r="E56" s="934"/>
      <c r="F56" s="1078"/>
      <c r="H56" s="939"/>
    </row>
    <row r="57" spans="1:8" s="739" customFormat="1" ht="20.95" customHeight="1">
      <c r="A57" s="754" t="s">
        <v>631</v>
      </c>
      <c r="B57" s="931">
        <v>128156</v>
      </c>
      <c r="C57" s="933">
        <v>114147</v>
      </c>
      <c r="D57" s="933">
        <v>14628623</v>
      </c>
      <c r="E57" s="1571" t="s">
        <v>1669</v>
      </c>
      <c r="F57" s="1572"/>
      <c r="H57" s="940">
        <f>B57*C57/1000-D57</f>
        <v>-6.7999999970197678E-2</v>
      </c>
    </row>
    <row r="58" spans="1:8" s="739" customFormat="1" ht="20.95" customHeight="1">
      <c r="A58" s="754" t="s">
        <v>632</v>
      </c>
      <c r="B58" s="931"/>
      <c r="C58" s="933"/>
      <c r="D58" s="933">
        <f>SUM(D59:D60)</f>
        <v>17712877</v>
      </c>
      <c r="E58" s="933"/>
      <c r="F58" s="1236"/>
      <c r="H58" s="939"/>
    </row>
    <row r="59" spans="1:8" s="739" customFormat="1" ht="24.05" customHeight="1">
      <c r="A59" s="754" t="s">
        <v>633</v>
      </c>
      <c r="B59" s="931">
        <v>12598</v>
      </c>
      <c r="C59" s="933">
        <v>907239</v>
      </c>
      <c r="D59" s="933">
        <v>11429397</v>
      </c>
      <c r="E59" s="1571" t="s">
        <v>1670</v>
      </c>
      <c r="F59" s="1572"/>
      <c r="H59" s="940">
        <f>B59*C59/1000-D59</f>
        <v>-7.799999974668026E-2</v>
      </c>
    </row>
    <row r="60" spans="1:8" s="739" customFormat="1" ht="24.05" customHeight="1">
      <c r="A60" s="754" t="s">
        <v>634</v>
      </c>
      <c r="B60" s="931">
        <v>43599</v>
      </c>
      <c r="C60" s="933">
        <v>144120</v>
      </c>
      <c r="D60" s="933">
        <v>6283480</v>
      </c>
      <c r="E60" s="933"/>
      <c r="F60" s="1076"/>
      <c r="H60" s="941">
        <f>B60*C60/1000-D60</f>
        <v>7.8799999998882413</v>
      </c>
    </row>
    <row r="61" spans="1:8" s="739" customFormat="1" ht="23.25" customHeight="1">
      <c r="A61" s="754" t="s">
        <v>635</v>
      </c>
      <c r="B61" s="931"/>
      <c r="C61" s="933"/>
      <c r="D61" s="933">
        <f>SUM(D62,D66)</f>
        <v>272114</v>
      </c>
      <c r="E61" s="933"/>
      <c r="F61" s="1077"/>
      <c r="H61" s="939"/>
    </row>
    <row r="62" spans="1:8" s="739" customFormat="1" ht="24.05" customHeight="1">
      <c r="A62" s="754" t="s">
        <v>636</v>
      </c>
      <c r="B62" s="931"/>
      <c r="C62" s="933"/>
      <c r="D62" s="933">
        <f>SUM(D63:D65)</f>
        <v>247069</v>
      </c>
      <c r="E62" s="933"/>
      <c r="F62" s="1077"/>
      <c r="H62" s="939"/>
    </row>
    <row r="63" spans="1:8" s="739" customFormat="1" ht="20" customHeight="1">
      <c r="A63" s="754" t="s">
        <v>637</v>
      </c>
      <c r="B63" s="931">
        <v>169</v>
      </c>
      <c r="C63" s="931">
        <v>880522</v>
      </c>
      <c r="D63" s="933">
        <v>148808</v>
      </c>
      <c r="E63" s="1581" t="s">
        <v>1626</v>
      </c>
      <c r="F63" s="1572"/>
      <c r="H63" s="940">
        <f>B63*C63/1000-D63</f>
        <v>0.21799999999348074</v>
      </c>
    </row>
    <row r="64" spans="1:8" s="739" customFormat="1" ht="22.25" customHeight="1">
      <c r="A64" s="754" t="s">
        <v>638</v>
      </c>
      <c r="B64" s="931">
        <v>1638</v>
      </c>
      <c r="C64" s="931">
        <v>47727</v>
      </c>
      <c r="D64" s="931">
        <v>78177</v>
      </c>
      <c r="E64" s="740"/>
      <c r="F64" s="1081"/>
      <c r="H64" s="941">
        <f>B64*C64/1000-D64</f>
        <v>-0.17399999999906868</v>
      </c>
    </row>
    <row r="65" spans="1:8" s="739" customFormat="1" ht="23.4" customHeight="1">
      <c r="A65" s="754" t="s">
        <v>639</v>
      </c>
      <c r="B65" s="931">
        <v>66</v>
      </c>
      <c r="C65" s="933">
        <v>304310</v>
      </c>
      <c r="D65" s="933">
        <v>20084</v>
      </c>
      <c r="E65" s="933"/>
      <c r="F65" s="1076"/>
      <c r="H65" s="940">
        <f>B65*C65/1000-D65</f>
        <v>0.45999999999912689</v>
      </c>
    </row>
    <row r="66" spans="1:8" s="739" customFormat="1" ht="25.55" customHeight="1">
      <c r="A66" s="754" t="s">
        <v>612</v>
      </c>
      <c r="B66" s="931"/>
      <c r="C66" s="933"/>
      <c r="D66" s="933">
        <f>SUM(D67:D69)</f>
        <v>25045</v>
      </c>
      <c r="E66" s="933"/>
      <c r="F66" s="1076"/>
      <c r="H66" s="939"/>
    </row>
    <row r="67" spans="1:8" s="739" customFormat="1" ht="23.4" customHeight="1">
      <c r="A67" s="754" t="s">
        <v>633</v>
      </c>
      <c r="B67" s="931">
        <v>22</v>
      </c>
      <c r="C67" s="933">
        <v>1120437</v>
      </c>
      <c r="D67" s="933">
        <v>24650</v>
      </c>
      <c r="E67" s="1581" t="s">
        <v>1627</v>
      </c>
      <c r="F67" s="1572"/>
      <c r="H67" s="940">
        <f>B67*C67/1000-D67</f>
        <v>-0.38599999999860302</v>
      </c>
    </row>
    <row r="68" spans="1:8" s="739" customFormat="1" ht="22.95" customHeight="1">
      <c r="A68" s="754" t="s">
        <v>640</v>
      </c>
      <c r="B68" s="931">
        <v>1</v>
      </c>
      <c r="C68" s="933">
        <v>83000</v>
      </c>
      <c r="D68" s="933">
        <v>83</v>
      </c>
      <c r="E68" s="933"/>
      <c r="F68" s="1081"/>
      <c r="H68" s="940">
        <f>B68*C68/1000-D68</f>
        <v>0</v>
      </c>
    </row>
    <row r="69" spans="1:8" s="739" customFormat="1" ht="22.95" customHeight="1">
      <c r="A69" s="754" t="s">
        <v>639</v>
      </c>
      <c r="B69" s="931">
        <v>1</v>
      </c>
      <c r="C69" s="933">
        <v>312000</v>
      </c>
      <c r="D69" s="933">
        <v>312</v>
      </c>
      <c r="E69" s="933"/>
      <c r="F69" s="1076"/>
      <c r="H69" s="940">
        <f>B69*C69/1000-D69</f>
        <v>0</v>
      </c>
    </row>
    <row r="70" spans="1:8" s="739" customFormat="1" ht="4.95" hidden="1" customHeight="1">
      <c r="A70" s="754"/>
      <c r="B70" s="931"/>
      <c r="C70" s="933"/>
      <c r="D70" s="933"/>
      <c r="E70" s="933"/>
      <c r="F70" s="1076"/>
      <c r="H70" s="939"/>
    </row>
    <row r="71" spans="1:8" s="739" customFormat="1" ht="24.05" customHeight="1">
      <c r="A71" s="754" t="s">
        <v>641</v>
      </c>
      <c r="B71" s="931"/>
      <c r="C71" s="933"/>
      <c r="D71" s="933">
        <f>SUM(D72)</f>
        <v>1289</v>
      </c>
      <c r="E71" s="933"/>
      <c r="F71" s="1076"/>
      <c r="H71" s="939"/>
    </row>
    <row r="72" spans="1:8" s="739" customFormat="1" ht="24.05" customHeight="1">
      <c r="A72" s="754" t="s">
        <v>642</v>
      </c>
      <c r="B72" s="931"/>
      <c r="C72" s="933"/>
      <c r="D72" s="933">
        <f>SUM(D73:D74)</f>
        <v>1289</v>
      </c>
      <c r="E72" s="933"/>
      <c r="F72" s="1076"/>
      <c r="H72" s="939"/>
    </row>
    <row r="73" spans="1:8" s="739" customFormat="1" ht="24.05" customHeight="1">
      <c r="A73" s="754" t="s">
        <v>607</v>
      </c>
      <c r="B73" s="931">
        <v>2</v>
      </c>
      <c r="C73" s="933">
        <v>592730</v>
      </c>
      <c r="D73" s="933">
        <v>1185</v>
      </c>
      <c r="E73" s="933"/>
      <c r="F73" s="1077"/>
      <c r="H73" s="940">
        <f>B73*C73/1000-D73</f>
        <v>0.46000000000003638</v>
      </c>
    </row>
    <row r="74" spans="1:8" s="739" customFormat="1" ht="24.05" customHeight="1">
      <c r="A74" s="754" t="s">
        <v>643</v>
      </c>
      <c r="B74" s="931">
        <v>1</v>
      </c>
      <c r="C74" s="933">
        <v>104260</v>
      </c>
      <c r="D74" s="933">
        <v>104</v>
      </c>
      <c r="E74" s="933"/>
      <c r="F74" s="1076"/>
      <c r="H74" s="940">
        <f>B74*C74/1000-D74</f>
        <v>0.26000000000000512</v>
      </c>
    </row>
    <row r="75" spans="1:8" s="739" customFormat="1" ht="3.6" hidden="1" customHeight="1">
      <c r="A75" s="754"/>
      <c r="B75" s="931"/>
      <c r="C75" s="933"/>
      <c r="D75" s="933"/>
      <c r="E75" s="933"/>
      <c r="F75" s="1076"/>
      <c r="H75" s="939"/>
    </row>
    <row r="76" spans="1:8" s="30" customFormat="1" ht="23.4" customHeight="1">
      <c r="A76" s="753" t="s">
        <v>1003</v>
      </c>
      <c r="B76" s="115"/>
      <c r="C76" s="213"/>
      <c r="D76" s="213">
        <f>D77</f>
        <v>1236308</v>
      </c>
      <c r="E76" s="213"/>
      <c r="F76" s="1076"/>
      <c r="H76" s="939"/>
    </row>
    <row r="77" spans="1:8" s="739" customFormat="1" ht="24.05" customHeight="1">
      <c r="A77" s="754" t="s">
        <v>645</v>
      </c>
      <c r="B77" s="931"/>
      <c r="C77" s="933"/>
      <c r="D77" s="933">
        <f>+D78+D81+D84</f>
        <v>1236308</v>
      </c>
      <c r="E77" s="933"/>
      <c r="F77" s="1077"/>
      <c r="H77" s="939"/>
    </row>
    <row r="78" spans="1:8" s="739" customFormat="1" ht="24.05" customHeight="1">
      <c r="A78" s="754" t="s">
        <v>646</v>
      </c>
      <c r="B78" s="931"/>
      <c r="C78" s="933"/>
      <c r="D78" s="933">
        <f>SUM(D79:D80)</f>
        <v>521208</v>
      </c>
      <c r="E78" s="1581" t="s">
        <v>1628</v>
      </c>
      <c r="F78" s="1572"/>
      <c r="H78" s="939"/>
    </row>
    <row r="79" spans="1:8" s="739" customFormat="1" ht="24.05" customHeight="1">
      <c r="A79" s="754" t="s">
        <v>607</v>
      </c>
      <c r="B79" s="931">
        <v>10400</v>
      </c>
      <c r="C79" s="933">
        <v>48260</v>
      </c>
      <c r="D79" s="933">
        <v>501904</v>
      </c>
      <c r="E79" s="933"/>
      <c r="F79" s="1076"/>
      <c r="H79" s="940">
        <f>B79*C79/1000-D79</f>
        <v>0</v>
      </c>
    </row>
    <row r="80" spans="1:8" s="739" customFormat="1" ht="22.95" customHeight="1">
      <c r="A80" s="754" t="s">
        <v>647</v>
      </c>
      <c r="B80" s="931">
        <v>400</v>
      </c>
      <c r="C80" s="933">
        <v>48260</v>
      </c>
      <c r="D80" s="933">
        <v>19304</v>
      </c>
      <c r="E80" s="933"/>
      <c r="F80" s="1076"/>
      <c r="H80" s="940">
        <f>B80*C80/1000-D80</f>
        <v>0</v>
      </c>
    </row>
    <row r="81" spans="1:8" s="739" customFormat="1" ht="21.6" customHeight="1">
      <c r="A81" s="754" t="s">
        <v>648</v>
      </c>
      <c r="B81" s="931"/>
      <c r="C81" s="933"/>
      <c r="D81" s="933">
        <f>+D82+D83</f>
        <v>621600</v>
      </c>
      <c r="E81" s="1581" t="s">
        <v>1629</v>
      </c>
      <c r="F81" s="1572"/>
      <c r="H81" s="939"/>
    </row>
    <row r="82" spans="1:8" s="739" customFormat="1" ht="23.4" customHeight="1">
      <c r="A82" s="754" t="s">
        <v>649</v>
      </c>
      <c r="B82" s="931">
        <v>571200</v>
      </c>
      <c r="C82" s="933">
        <v>1050</v>
      </c>
      <c r="D82" s="933">
        <v>599760</v>
      </c>
      <c r="E82" s="933"/>
      <c r="F82" s="1076"/>
      <c r="H82" s="940">
        <f>B82*C82/1000-D82</f>
        <v>0</v>
      </c>
    </row>
    <row r="83" spans="1:8" s="739" customFormat="1" ht="28.15" customHeight="1">
      <c r="A83" s="754" t="s">
        <v>650</v>
      </c>
      <c r="B83" s="931">
        <v>20800</v>
      </c>
      <c r="C83" s="933">
        <v>1050</v>
      </c>
      <c r="D83" s="933">
        <v>21840</v>
      </c>
      <c r="E83" s="933"/>
      <c r="F83" s="1076"/>
      <c r="H83" s="940">
        <f>B83*C83/1000-D83</f>
        <v>0</v>
      </c>
    </row>
    <row r="84" spans="1:8" s="739" customFormat="1" ht="36.65" customHeight="1" thickBot="1">
      <c r="A84" s="755" t="s">
        <v>651</v>
      </c>
      <c r="B84" s="932">
        <v>85000</v>
      </c>
      <c r="C84" s="934">
        <v>1100</v>
      </c>
      <c r="D84" s="934">
        <v>93500</v>
      </c>
      <c r="E84" s="1579" t="s">
        <v>1550</v>
      </c>
      <c r="F84" s="1580"/>
      <c r="H84" s="940">
        <f>B84*C84/1000-D84</f>
        <v>0</v>
      </c>
    </row>
    <row r="85" spans="1:8" s="739" customFormat="1" ht="2.95" customHeight="1">
      <c r="A85" s="754"/>
      <c r="B85" s="931"/>
      <c r="C85" s="933"/>
      <c r="D85" s="933"/>
      <c r="E85" s="933"/>
      <c r="F85" s="1076"/>
      <c r="H85" s="939"/>
    </row>
    <row r="86" spans="1:8" s="30" customFormat="1" ht="33.049999999999997" customHeight="1">
      <c r="A86" s="753" t="s">
        <v>1001</v>
      </c>
      <c r="B86" s="115"/>
      <c r="C86" s="213"/>
      <c r="D86" s="213">
        <f>SUM(D87:D91)</f>
        <v>23777464</v>
      </c>
      <c r="E86" s="1581" t="s">
        <v>1565</v>
      </c>
      <c r="F86" s="1572"/>
      <c r="H86" s="939"/>
    </row>
    <row r="87" spans="1:8" s="739" customFormat="1" ht="27.85" customHeight="1">
      <c r="A87" s="754" t="s">
        <v>567</v>
      </c>
      <c r="B87" s="931">
        <v>102000</v>
      </c>
      <c r="C87" s="933"/>
      <c r="D87" s="933">
        <v>11510398</v>
      </c>
      <c r="E87" s="1577" t="s">
        <v>1684</v>
      </c>
      <c r="F87" s="1578"/>
      <c r="H87" s="939"/>
    </row>
    <row r="88" spans="1:8" s="739" customFormat="1" ht="27" customHeight="1">
      <c r="A88" s="754" t="s">
        <v>568</v>
      </c>
      <c r="B88" s="931">
        <v>38760</v>
      </c>
      <c r="C88" s="933">
        <v>51000</v>
      </c>
      <c r="D88" s="933">
        <v>1976760</v>
      </c>
      <c r="E88" s="1577" t="s">
        <v>1683</v>
      </c>
      <c r="F88" s="1578"/>
      <c r="H88" s="940">
        <f>B88*C88/1000-D88</f>
        <v>0</v>
      </c>
    </row>
    <row r="89" spans="1:8" s="739" customFormat="1" ht="27" customHeight="1">
      <c r="A89" s="754" t="s">
        <v>569</v>
      </c>
      <c r="B89" s="931">
        <v>8000</v>
      </c>
      <c r="C89" s="933"/>
      <c r="D89" s="933">
        <v>655309</v>
      </c>
      <c r="E89" s="1571" t="s">
        <v>1671</v>
      </c>
      <c r="F89" s="1572"/>
      <c r="H89" s="939"/>
    </row>
    <row r="90" spans="1:8" s="739" customFormat="1" ht="27" customHeight="1">
      <c r="A90" s="754" t="s">
        <v>570</v>
      </c>
      <c r="B90" s="931">
        <v>79500</v>
      </c>
      <c r="C90" s="933">
        <v>113274</v>
      </c>
      <c r="D90" s="933">
        <v>9005283</v>
      </c>
      <c r="E90" s="1571" t="s">
        <v>1672</v>
      </c>
      <c r="F90" s="1572"/>
      <c r="H90" s="940">
        <f>B90*C90/1000-D90</f>
        <v>0</v>
      </c>
    </row>
    <row r="91" spans="1:8" s="739" customFormat="1" ht="212.1" customHeight="1">
      <c r="A91" s="754" t="s">
        <v>571</v>
      </c>
      <c r="B91" s="931">
        <v>817810</v>
      </c>
      <c r="C91" s="933">
        <v>770</v>
      </c>
      <c r="D91" s="933">
        <v>629714</v>
      </c>
      <c r="E91" s="1577" t="s">
        <v>1662</v>
      </c>
      <c r="F91" s="1572"/>
      <c r="H91" s="940">
        <f>B91*C91/1000-D91</f>
        <v>-0.30000000004656613</v>
      </c>
    </row>
    <row r="92" spans="1:8" s="739" customFormat="1" ht="27" customHeight="1">
      <c r="A92" s="443" t="s">
        <v>699</v>
      </c>
      <c r="B92" s="931"/>
      <c r="C92" s="933"/>
      <c r="D92" s="213">
        <f>+D93+D102</f>
        <v>6752689</v>
      </c>
      <c r="E92" s="213"/>
      <c r="F92" s="1076"/>
    </row>
    <row r="93" spans="1:8" s="30" customFormat="1" ht="28.15" customHeight="1">
      <c r="A93" s="753" t="s">
        <v>698</v>
      </c>
      <c r="B93" s="115"/>
      <c r="C93" s="213"/>
      <c r="D93" s="213">
        <f>SUM(D94)</f>
        <v>6623421</v>
      </c>
      <c r="E93" s="1581" t="s">
        <v>1566</v>
      </c>
      <c r="F93" s="1572"/>
    </row>
    <row r="94" spans="1:8" s="30" customFormat="1" ht="20.45" customHeight="1">
      <c r="A94" s="753" t="s">
        <v>702</v>
      </c>
      <c r="B94" s="115"/>
      <c r="C94" s="213"/>
      <c r="D94" s="213">
        <f>SUM(D95,D98,D100,D99)</f>
        <v>6623421</v>
      </c>
      <c r="E94" s="1581"/>
      <c r="F94" s="1572"/>
    </row>
    <row r="95" spans="1:8" s="739" customFormat="1" ht="22.75" customHeight="1">
      <c r="A95" s="754" t="s">
        <v>572</v>
      </c>
      <c r="B95" s="931"/>
      <c r="C95" s="933"/>
      <c r="D95" s="933">
        <f>SUM(D96:D97)</f>
        <v>43452</v>
      </c>
      <c r="E95" s="933"/>
      <c r="F95" s="1076"/>
    </row>
    <row r="96" spans="1:8" s="739" customFormat="1" ht="22.75" customHeight="1">
      <c r="A96" s="754" t="s">
        <v>573</v>
      </c>
      <c r="B96" s="931">
        <v>610</v>
      </c>
      <c r="C96" s="933">
        <v>20400</v>
      </c>
      <c r="D96" s="933">
        <v>12444</v>
      </c>
      <c r="E96" s="1571" t="s">
        <v>1673</v>
      </c>
      <c r="F96" s="1572"/>
      <c r="H96" s="940">
        <f>B96*C96/1000-D96</f>
        <v>0</v>
      </c>
    </row>
    <row r="97" spans="1:8" s="739" customFormat="1" ht="22.75" customHeight="1">
      <c r="A97" s="754" t="s">
        <v>574</v>
      </c>
      <c r="B97" s="931">
        <v>1520</v>
      </c>
      <c r="C97" s="933">
        <v>20400</v>
      </c>
      <c r="D97" s="933">
        <v>31008</v>
      </c>
      <c r="E97" s="1571" t="s">
        <v>1674</v>
      </c>
      <c r="F97" s="1572"/>
      <c r="H97" s="940">
        <f>B97*C97/1000-D97</f>
        <v>0</v>
      </c>
    </row>
    <row r="98" spans="1:8" s="739" customFormat="1" ht="22.75" customHeight="1">
      <c r="A98" s="754" t="s">
        <v>575</v>
      </c>
      <c r="B98" s="931">
        <v>11130</v>
      </c>
      <c r="C98" s="933">
        <v>214100</v>
      </c>
      <c r="D98" s="933">
        <v>2382933</v>
      </c>
      <c r="E98" s="1571" t="s">
        <v>1675</v>
      </c>
      <c r="F98" s="1572"/>
      <c r="H98" s="940">
        <f>B98*C98/1000-D98</f>
        <v>0</v>
      </c>
    </row>
    <row r="99" spans="1:8" s="739" customFormat="1" ht="22.75" customHeight="1">
      <c r="A99" s="754" t="s">
        <v>576</v>
      </c>
      <c r="B99" s="931">
        <v>27430</v>
      </c>
      <c r="C99" s="933">
        <v>153000</v>
      </c>
      <c r="D99" s="933">
        <v>4196790</v>
      </c>
      <c r="E99" s="1571" t="s">
        <v>1676</v>
      </c>
      <c r="F99" s="1572"/>
      <c r="H99" s="940">
        <f>B99*C99/1000-D99</f>
        <v>0</v>
      </c>
    </row>
    <row r="100" spans="1:8" s="739" customFormat="1" ht="24.55" customHeight="1">
      <c r="A100" s="754" t="s">
        <v>577</v>
      </c>
      <c r="B100" s="931">
        <v>225</v>
      </c>
      <c r="C100" s="933">
        <v>1095</v>
      </c>
      <c r="D100" s="933">
        <v>246</v>
      </c>
      <c r="E100" s="1577" t="s">
        <v>1677</v>
      </c>
      <c r="F100" s="1578"/>
      <c r="H100" s="940">
        <f>B100*C100/1000-D100</f>
        <v>0.375</v>
      </c>
    </row>
    <row r="101" spans="1:8" s="739" customFormat="1" ht="6.05" customHeight="1">
      <c r="A101" s="753"/>
      <c r="B101" s="931"/>
      <c r="C101" s="933"/>
      <c r="D101" s="933"/>
      <c r="E101" s="933"/>
      <c r="F101" s="1236"/>
    </row>
    <row r="102" spans="1:8" s="30" customFormat="1" ht="26.35" customHeight="1">
      <c r="A102" s="753" t="s">
        <v>700</v>
      </c>
      <c r="B102" s="115"/>
      <c r="C102" s="213"/>
      <c r="D102" s="213">
        <f>SUM(D103)</f>
        <v>129268</v>
      </c>
      <c r="E102" s="1581" t="s">
        <v>1567</v>
      </c>
      <c r="F102" s="1572"/>
    </row>
    <row r="103" spans="1:8" s="30" customFormat="1" ht="22.95" customHeight="1" thickBot="1">
      <c r="A103" s="1033" t="s">
        <v>701</v>
      </c>
      <c r="B103" s="126"/>
      <c r="C103" s="1034"/>
      <c r="D103" s="1034">
        <f>+D104+D105+D108+D109+D110</f>
        <v>129268</v>
      </c>
      <c r="E103" s="1583"/>
      <c r="F103" s="1580"/>
    </row>
    <row r="104" spans="1:8" s="814" customFormat="1" ht="22.95" customHeight="1">
      <c r="A104" s="754" t="s">
        <v>691</v>
      </c>
      <c r="B104" s="931">
        <v>5280</v>
      </c>
      <c r="C104" s="933">
        <v>11424</v>
      </c>
      <c r="D104" s="933">
        <v>60319</v>
      </c>
      <c r="E104" s="1571" t="s">
        <v>1678</v>
      </c>
      <c r="F104" s="1572"/>
      <c r="H104" s="940">
        <f>B104*C104/1000-D104</f>
        <v>-0.27999999999883585</v>
      </c>
    </row>
    <row r="105" spans="1:8" s="814" customFormat="1" ht="20.95" customHeight="1">
      <c r="A105" s="754" t="s">
        <v>692</v>
      </c>
      <c r="B105" s="931"/>
      <c r="C105" s="933"/>
      <c r="D105" s="933">
        <f>SUM(D106:D107)</f>
        <v>25597</v>
      </c>
      <c r="E105" s="933"/>
      <c r="F105" s="1236"/>
    </row>
    <row r="106" spans="1:8" s="814" customFormat="1" ht="25.2" customHeight="1">
      <c r="A106" s="754" t="s">
        <v>693</v>
      </c>
      <c r="B106" s="931">
        <v>238234</v>
      </c>
      <c r="C106" s="933">
        <v>50</v>
      </c>
      <c r="D106" s="933">
        <v>11912</v>
      </c>
      <c r="E106" s="933"/>
      <c r="F106" s="1236"/>
      <c r="H106" s="940">
        <f>B106*C106/1000-D106</f>
        <v>-0.2999999999992724</v>
      </c>
    </row>
    <row r="107" spans="1:8" s="814" customFormat="1" ht="25.2" customHeight="1">
      <c r="A107" s="754" t="s">
        <v>694</v>
      </c>
      <c r="B107" s="931">
        <v>15206</v>
      </c>
      <c r="C107" s="933">
        <v>900</v>
      </c>
      <c r="D107" s="933">
        <v>13685</v>
      </c>
      <c r="E107" s="933"/>
      <c r="F107" s="1236"/>
      <c r="H107" s="940">
        <f>B107*C107/1000-D107</f>
        <v>0.3999999999996362</v>
      </c>
    </row>
    <row r="108" spans="1:8" s="814" customFormat="1" ht="22.25" customHeight="1">
      <c r="A108" s="754" t="s">
        <v>575</v>
      </c>
      <c r="B108" s="931">
        <v>89</v>
      </c>
      <c r="C108" s="933">
        <v>157000</v>
      </c>
      <c r="D108" s="933">
        <v>13973</v>
      </c>
      <c r="E108" s="1577" t="s">
        <v>1679</v>
      </c>
      <c r="F108" s="1578"/>
      <c r="H108" s="940">
        <f>B108*C108/1000-D108</f>
        <v>0</v>
      </c>
    </row>
    <row r="109" spans="1:8" s="814" customFormat="1" ht="20.45" customHeight="1">
      <c r="A109" s="754" t="s">
        <v>576</v>
      </c>
      <c r="B109" s="931">
        <v>96</v>
      </c>
      <c r="C109" s="933">
        <v>306000</v>
      </c>
      <c r="D109" s="933">
        <v>29376</v>
      </c>
      <c r="E109" s="1577" t="s">
        <v>1680</v>
      </c>
      <c r="F109" s="1578"/>
      <c r="H109" s="940">
        <f>B109*C109/1000-D109</f>
        <v>0</v>
      </c>
    </row>
    <row r="110" spans="1:8" s="814" customFormat="1" ht="21.6" customHeight="1">
      <c r="A110" s="754" t="s">
        <v>577</v>
      </c>
      <c r="B110" s="931">
        <v>3</v>
      </c>
      <c r="C110" s="933">
        <v>1095</v>
      </c>
      <c r="D110" s="933">
        <v>3</v>
      </c>
      <c r="E110" s="1577" t="s">
        <v>1681</v>
      </c>
      <c r="F110" s="1578"/>
      <c r="H110" s="940">
        <f>B110*C110/1000-D110</f>
        <v>0.28500000000000014</v>
      </c>
    </row>
    <row r="111" spans="1:8" s="1036" customFormat="1" ht="7.2" customHeight="1">
      <c r="A111" s="754"/>
      <c r="B111" s="931"/>
      <c r="C111" s="933"/>
      <c r="D111" s="933"/>
      <c r="E111" s="933"/>
      <c r="F111" s="1079"/>
      <c r="H111" s="940"/>
    </row>
    <row r="112" spans="1:8" s="739" customFormat="1" ht="36" customHeight="1">
      <c r="A112" s="753" t="s">
        <v>1000</v>
      </c>
      <c r="B112" s="115"/>
      <c r="C112" s="213"/>
      <c r="D112" s="213">
        <f>D113+D251</f>
        <v>171207</v>
      </c>
      <c r="E112" s="1584"/>
      <c r="F112" s="1585"/>
    </row>
    <row r="113" spans="1:8" s="739" customFormat="1" ht="36" customHeight="1">
      <c r="A113" s="753" t="s">
        <v>578</v>
      </c>
      <c r="B113" s="931"/>
      <c r="C113" s="933"/>
      <c r="D113" s="213">
        <f>SUM(D114,D119,D122,D123,D124,D125,D126,D131,D157,D158,D159)</f>
        <v>171207</v>
      </c>
      <c r="E113" s="1584"/>
      <c r="F113" s="1585"/>
    </row>
    <row r="114" spans="1:8" s="739" customFormat="1" ht="33.549999999999997" customHeight="1">
      <c r="A114" s="754" t="s">
        <v>579</v>
      </c>
      <c r="B114" s="931"/>
      <c r="C114" s="933"/>
      <c r="D114" s="933">
        <f>SUM(D115:D118)</f>
        <v>2969</v>
      </c>
      <c r="E114" s="1584"/>
      <c r="F114" s="1585"/>
    </row>
    <row r="115" spans="1:8" s="739" customFormat="1" ht="33.049999999999997" customHeight="1">
      <c r="A115" s="756" t="s">
        <v>580</v>
      </c>
      <c r="B115" s="931">
        <v>126</v>
      </c>
      <c r="C115" s="933">
        <v>8700</v>
      </c>
      <c r="D115" s="933">
        <v>1096</v>
      </c>
      <c r="E115" s="1577" t="s">
        <v>1568</v>
      </c>
      <c r="F115" s="1578"/>
      <c r="H115" s="940">
        <f>B115*C115/1000-D115</f>
        <v>0.20000000000004547</v>
      </c>
    </row>
    <row r="116" spans="1:8" s="276" customFormat="1" ht="33.549999999999997" customHeight="1">
      <c r="A116" s="757" t="s">
        <v>581</v>
      </c>
      <c r="B116" s="931">
        <v>252</v>
      </c>
      <c r="C116" s="933">
        <v>6200</v>
      </c>
      <c r="D116" s="933">
        <v>1562</v>
      </c>
      <c r="E116" s="1577" t="s">
        <v>1569</v>
      </c>
      <c r="F116" s="1578"/>
      <c r="H116" s="940">
        <f>B116*C116/1000-D116</f>
        <v>0.40000000000009095</v>
      </c>
    </row>
    <row r="117" spans="1:8" s="276" customFormat="1" ht="33.049999999999997" customHeight="1">
      <c r="A117" s="757" t="s">
        <v>582</v>
      </c>
      <c r="B117" s="931">
        <v>8</v>
      </c>
      <c r="C117" s="933">
        <v>3200</v>
      </c>
      <c r="D117" s="933">
        <v>26</v>
      </c>
      <c r="E117" s="1577" t="s">
        <v>1570</v>
      </c>
      <c r="F117" s="1578"/>
      <c r="H117" s="940">
        <f>B117*C117/1000-D117</f>
        <v>-0.39999999999999858</v>
      </c>
    </row>
    <row r="118" spans="1:8" s="276" customFormat="1" ht="45" customHeight="1">
      <c r="A118" s="757" t="s">
        <v>583</v>
      </c>
      <c r="B118" s="931">
        <v>150</v>
      </c>
      <c r="C118" s="933">
        <v>1900</v>
      </c>
      <c r="D118" s="933">
        <v>285</v>
      </c>
      <c r="E118" s="1577" t="s">
        <v>1571</v>
      </c>
      <c r="F118" s="1578"/>
      <c r="H118" s="940">
        <f>B118*C118/1000-D118</f>
        <v>0</v>
      </c>
    </row>
    <row r="119" spans="1:8" s="276" customFormat="1" ht="21.6" customHeight="1">
      <c r="A119" s="68" t="s">
        <v>737</v>
      </c>
      <c r="B119" s="931"/>
      <c r="C119" s="933"/>
      <c r="D119" s="933">
        <f>SUM(D120:D121)</f>
        <v>32262</v>
      </c>
      <c r="E119" s="933"/>
      <c r="F119" s="1236"/>
    </row>
    <row r="120" spans="1:8" s="276" customFormat="1" ht="32.4" customHeight="1">
      <c r="A120" s="759" t="s">
        <v>592</v>
      </c>
      <c r="B120" s="931">
        <v>1333</v>
      </c>
      <c r="C120" s="933">
        <v>8700</v>
      </c>
      <c r="D120" s="933">
        <v>11597</v>
      </c>
      <c r="E120" s="1577" t="s">
        <v>1572</v>
      </c>
      <c r="F120" s="1578"/>
      <c r="H120" s="940">
        <f t="shared" ref="H120:H125" si="0">B120*C120/1000-D120</f>
        <v>0.1000000000003638</v>
      </c>
    </row>
    <row r="121" spans="1:8" s="276" customFormat="1" ht="33.049999999999997" customHeight="1">
      <c r="A121" s="757" t="s">
        <v>593</v>
      </c>
      <c r="B121" s="931">
        <v>3333</v>
      </c>
      <c r="C121" s="933">
        <v>6200</v>
      </c>
      <c r="D121" s="933">
        <v>20665</v>
      </c>
      <c r="E121" s="1577" t="s">
        <v>1573</v>
      </c>
      <c r="F121" s="1578"/>
      <c r="H121" s="940">
        <f t="shared" si="0"/>
        <v>-0.40000000000145519</v>
      </c>
    </row>
    <row r="122" spans="1:8" s="276" customFormat="1" ht="26.05" customHeight="1">
      <c r="A122" s="754" t="s">
        <v>584</v>
      </c>
      <c r="B122" s="931">
        <v>3</v>
      </c>
      <c r="C122" s="933">
        <v>14800</v>
      </c>
      <c r="D122" s="933">
        <v>44</v>
      </c>
      <c r="E122" s="1577" t="s">
        <v>1574</v>
      </c>
      <c r="F122" s="1578"/>
      <c r="H122" s="940">
        <f t="shared" si="0"/>
        <v>0.39999999999999858</v>
      </c>
    </row>
    <row r="123" spans="1:8" s="276" customFormat="1" ht="30.6" customHeight="1">
      <c r="A123" s="754" t="s">
        <v>585</v>
      </c>
      <c r="B123" s="931">
        <v>200</v>
      </c>
      <c r="C123" s="933">
        <v>13500</v>
      </c>
      <c r="D123" s="933">
        <v>2700</v>
      </c>
      <c r="E123" s="1577" t="s">
        <v>1575</v>
      </c>
      <c r="F123" s="1578"/>
      <c r="H123" s="940">
        <f t="shared" si="0"/>
        <v>0</v>
      </c>
    </row>
    <row r="124" spans="1:8" s="276" customFormat="1" ht="29.95" customHeight="1">
      <c r="A124" s="754" t="s">
        <v>586</v>
      </c>
      <c r="B124" s="931">
        <v>1200</v>
      </c>
      <c r="C124" s="933">
        <v>12400</v>
      </c>
      <c r="D124" s="933">
        <v>14880</v>
      </c>
      <c r="E124" s="1577" t="s">
        <v>1576</v>
      </c>
      <c r="F124" s="1578"/>
      <c r="H124" s="940">
        <f t="shared" si="0"/>
        <v>0</v>
      </c>
    </row>
    <row r="125" spans="1:8" ht="30.6" customHeight="1" thickBot="1">
      <c r="A125" s="755" t="s">
        <v>587</v>
      </c>
      <c r="B125" s="932">
        <v>150</v>
      </c>
      <c r="C125" s="934">
        <v>100000</v>
      </c>
      <c r="D125" s="934">
        <v>15000</v>
      </c>
      <c r="E125" s="1579" t="s">
        <v>1577</v>
      </c>
      <c r="F125" s="1594"/>
      <c r="H125" s="940">
        <f t="shared" si="0"/>
        <v>0</v>
      </c>
    </row>
    <row r="126" spans="1:8" ht="31.25" customHeight="1">
      <c r="A126" s="754" t="s">
        <v>679</v>
      </c>
      <c r="B126" s="931"/>
      <c r="C126" s="933"/>
      <c r="D126" s="933">
        <f>SUM(D127:D130)</f>
        <v>81</v>
      </c>
      <c r="E126" s="933"/>
      <c r="F126" s="1076"/>
    </row>
    <row r="127" spans="1:8" ht="29.45" customHeight="1">
      <c r="A127" s="757" t="s">
        <v>588</v>
      </c>
      <c r="B127" s="931">
        <v>4</v>
      </c>
      <c r="C127" s="933">
        <v>8700</v>
      </c>
      <c r="D127" s="933">
        <v>35</v>
      </c>
      <c r="E127" s="1577" t="s">
        <v>1578</v>
      </c>
      <c r="F127" s="1578"/>
      <c r="H127" s="940">
        <f>B127*C127/1000-D127</f>
        <v>-0.20000000000000284</v>
      </c>
    </row>
    <row r="128" spans="1:8" ht="36.65" customHeight="1">
      <c r="A128" s="757" t="s">
        <v>589</v>
      </c>
      <c r="B128" s="931">
        <v>4</v>
      </c>
      <c r="C128" s="933">
        <v>6200</v>
      </c>
      <c r="D128" s="933">
        <v>25</v>
      </c>
      <c r="E128" s="1577" t="s">
        <v>1578</v>
      </c>
      <c r="F128" s="1578"/>
      <c r="H128" s="940">
        <f>B128*C128/1000-D128</f>
        <v>-0.19999999999999929</v>
      </c>
    </row>
    <row r="129" spans="1:8" ht="35.35" customHeight="1">
      <c r="A129" s="757" t="s">
        <v>590</v>
      </c>
      <c r="B129" s="931">
        <v>4</v>
      </c>
      <c r="C129" s="933">
        <v>3200</v>
      </c>
      <c r="D129" s="933">
        <v>13</v>
      </c>
      <c r="E129" s="1577" t="s">
        <v>1578</v>
      </c>
      <c r="F129" s="1578"/>
      <c r="H129" s="940">
        <f>B129*C129/1000-D129</f>
        <v>-0.19999999999999929</v>
      </c>
    </row>
    <row r="130" spans="1:8" ht="47" customHeight="1">
      <c r="A130" s="757" t="s">
        <v>591</v>
      </c>
      <c r="B130" s="931">
        <v>4</v>
      </c>
      <c r="C130" s="933">
        <v>1900</v>
      </c>
      <c r="D130" s="933">
        <v>8</v>
      </c>
      <c r="E130" s="1577" t="s">
        <v>1578</v>
      </c>
      <c r="F130" s="1578"/>
      <c r="H130" s="940">
        <f>B130*C130/1000-D130</f>
        <v>-0.40000000000000036</v>
      </c>
    </row>
    <row r="131" spans="1:8" ht="20.95" customHeight="1">
      <c r="A131" s="754" t="s">
        <v>561</v>
      </c>
      <c r="B131" s="931"/>
      <c r="C131" s="933"/>
      <c r="D131" s="933">
        <f>+D132+D136+D142++D147+D151+D156</f>
        <v>86061</v>
      </c>
      <c r="E131" s="933"/>
      <c r="F131" s="1076"/>
    </row>
    <row r="132" spans="1:8" ht="20.95" customHeight="1">
      <c r="A132" s="754" t="s">
        <v>780</v>
      </c>
      <c r="B132" s="931"/>
      <c r="C132" s="933"/>
      <c r="D132" s="933">
        <f>+D133+D134+D135</f>
        <v>53626</v>
      </c>
      <c r="E132" s="933"/>
      <c r="F132" s="1076"/>
    </row>
    <row r="133" spans="1:8" ht="35.049999999999997" customHeight="1">
      <c r="A133" s="928" t="s">
        <v>880</v>
      </c>
      <c r="B133" s="931"/>
      <c r="C133" s="933"/>
      <c r="D133" s="933">
        <f>26366-1000</f>
        <v>25366</v>
      </c>
      <c r="E133" s="933"/>
      <c r="F133" s="1076"/>
    </row>
    <row r="134" spans="1:8" ht="35.049999999999997" customHeight="1">
      <c r="A134" s="928" t="s">
        <v>881</v>
      </c>
      <c r="B134" s="931"/>
      <c r="C134" s="933"/>
      <c r="D134" s="933">
        <v>28210</v>
      </c>
      <c r="E134" s="933"/>
      <c r="F134" s="1076"/>
    </row>
    <row r="135" spans="1:8" ht="65.45" customHeight="1">
      <c r="A135" s="928" t="s">
        <v>915</v>
      </c>
      <c r="B135" s="931"/>
      <c r="C135" s="933"/>
      <c r="D135" s="933">
        <v>50</v>
      </c>
      <c r="E135" s="933"/>
      <c r="F135" s="1076"/>
    </row>
    <row r="136" spans="1:8" ht="20.95" customHeight="1">
      <c r="A136" s="754" t="s">
        <v>779</v>
      </c>
      <c r="B136" s="931"/>
      <c r="C136" s="933"/>
      <c r="D136" s="933">
        <f>+D137+D138+D139+D140+D141</f>
        <v>16310</v>
      </c>
      <c r="E136" s="933"/>
      <c r="F136" s="1076"/>
    </row>
    <row r="137" spans="1:8" ht="33.049999999999997" hidden="1" customHeight="1">
      <c r="A137" s="929" t="s">
        <v>882</v>
      </c>
      <c r="B137" s="931"/>
      <c r="C137" s="933"/>
      <c r="D137" s="933"/>
      <c r="E137" s="933"/>
      <c r="F137" s="1076"/>
    </row>
    <row r="138" spans="1:8" ht="48.8" customHeight="1">
      <c r="A138" s="929" t="s">
        <v>883</v>
      </c>
      <c r="B138" s="931"/>
      <c r="C138" s="933"/>
      <c r="D138" s="933">
        <v>4700</v>
      </c>
      <c r="E138" s="933"/>
      <c r="F138" s="1076"/>
    </row>
    <row r="139" spans="1:8" ht="35.049999999999997" customHeight="1">
      <c r="A139" s="929" t="s">
        <v>884</v>
      </c>
      <c r="B139" s="931"/>
      <c r="C139" s="933"/>
      <c r="D139" s="933">
        <v>3270</v>
      </c>
      <c r="E139" s="933"/>
      <c r="F139" s="1076"/>
    </row>
    <row r="140" spans="1:8" ht="65" customHeight="1">
      <c r="A140" s="929" t="s">
        <v>916</v>
      </c>
      <c r="B140" s="931"/>
      <c r="C140" s="933"/>
      <c r="D140" s="933">
        <v>8300</v>
      </c>
      <c r="E140" s="933"/>
      <c r="F140" s="1076"/>
    </row>
    <row r="141" spans="1:8" ht="33.549999999999997" customHeight="1">
      <c r="A141" s="929" t="s">
        <v>1115</v>
      </c>
      <c r="B141" s="931"/>
      <c r="C141" s="933"/>
      <c r="D141" s="933">
        <v>40</v>
      </c>
      <c r="E141" s="933"/>
      <c r="F141" s="1076"/>
    </row>
    <row r="142" spans="1:8" ht="20.95" customHeight="1">
      <c r="A142" s="930" t="s">
        <v>885</v>
      </c>
      <c r="B142" s="931"/>
      <c r="C142" s="933"/>
      <c r="D142" s="933">
        <f>+D143+D144+D145+D146</f>
        <v>75</v>
      </c>
      <c r="E142" s="933"/>
      <c r="F142" s="1076"/>
    </row>
    <row r="143" spans="1:8" ht="38.950000000000003" customHeight="1" thickBot="1">
      <c r="A143" s="1071" t="s">
        <v>886</v>
      </c>
      <c r="B143" s="932"/>
      <c r="C143" s="934"/>
      <c r="D143" s="934">
        <v>15</v>
      </c>
      <c r="E143" s="934"/>
      <c r="F143" s="1078"/>
    </row>
    <row r="144" spans="1:8" ht="35.049999999999997" customHeight="1">
      <c r="A144" s="929" t="s">
        <v>887</v>
      </c>
      <c r="B144" s="931"/>
      <c r="C144" s="933"/>
      <c r="D144" s="933">
        <v>15</v>
      </c>
      <c r="E144" s="933"/>
      <c r="F144" s="1076"/>
    </row>
    <row r="145" spans="1:8" ht="32.4" customHeight="1">
      <c r="A145" s="929" t="s">
        <v>888</v>
      </c>
      <c r="B145" s="931"/>
      <c r="C145" s="933"/>
      <c r="D145" s="933">
        <v>15</v>
      </c>
      <c r="E145" s="933"/>
      <c r="F145" s="1076"/>
    </row>
    <row r="146" spans="1:8" ht="62.35" customHeight="1">
      <c r="A146" s="929" t="s">
        <v>889</v>
      </c>
      <c r="B146" s="931"/>
      <c r="C146" s="933"/>
      <c r="D146" s="933">
        <v>30</v>
      </c>
      <c r="E146" s="933"/>
      <c r="F146" s="1076"/>
    </row>
    <row r="147" spans="1:8" ht="38" customHeight="1">
      <c r="A147" s="930" t="s">
        <v>1141</v>
      </c>
      <c r="B147" s="931"/>
      <c r="C147" s="933"/>
      <c r="D147" s="933">
        <f>+D148+D149+D150</f>
        <v>7354</v>
      </c>
      <c r="E147" s="933"/>
      <c r="F147" s="1076"/>
    </row>
    <row r="148" spans="1:8" ht="35.049999999999997" customHeight="1">
      <c r="A148" s="929" t="s">
        <v>890</v>
      </c>
      <c r="B148" s="931"/>
      <c r="C148" s="933"/>
      <c r="D148" s="933">
        <v>7254</v>
      </c>
      <c r="E148" s="933"/>
      <c r="F148" s="1076"/>
    </row>
    <row r="149" spans="1:8" ht="36" customHeight="1">
      <c r="A149" s="929" t="s">
        <v>1118</v>
      </c>
      <c r="B149" s="931"/>
      <c r="C149" s="933"/>
      <c r="D149" s="933">
        <v>50</v>
      </c>
      <c r="E149" s="933"/>
      <c r="F149" s="1076"/>
    </row>
    <row r="150" spans="1:8" ht="38" customHeight="1">
      <c r="A150" s="929" t="s">
        <v>1117</v>
      </c>
      <c r="B150" s="931"/>
      <c r="C150" s="933"/>
      <c r="D150" s="933">
        <v>50</v>
      </c>
      <c r="E150" s="933"/>
      <c r="F150" s="1076"/>
    </row>
    <row r="151" spans="1:8" ht="27" customHeight="1">
      <c r="A151" s="930" t="s">
        <v>891</v>
      </c>
      <c r="B151" s="931"/>
      <c r="C151" s="933"/>
      <c r="D151" s="933">
        <f>+D152+D153+D154+D155</f>
        <v>7696</v>
      </c>
      <c r="E151" s="933"/>
      <c r="F151" s="1076"/>
    </row>
    <row r="152" spans="1:8" ht="41.4" customHeight="1">
      <c r="A152" s="929" t="s">
        <v>892</v>
      </c>
      <c r="B152" s="931"/>
      <c r="C152" s="933"/>
      <c r="D152" s="933">
        <v>30</v>
      </c>
      <c r="E152" s="933"/>
      <c r="F152" s="1076"/>
    </row>
    <row r="153" spans="1:8" ht="39.6" customHeight="1">
      <c r="A153" s="929" t="s">
        <v>918</v>
      </c>
      <c r="B153" s="931"/>
      <c r="C153" s="933"/>
      <c r="D153" s="933">
        <v>5666</v>
      </c>
      <c r="E153" s="933"/>
      <c r="F153" s="1076"/>
    </row>
    <row r="154" spans="1:8" ht="26.35" customHeight="1">
      <c r="A154" s="929" t="s">
        <v>893</v>
      </c>
      <c r="B154" s="931"/>
      <c r="C154" s="933"/>
      <c r="D154" s="933">
        <v>1950</v>
      </c>
      <c r="E154" s="933"/>
      <c r="F154" s="1076"/>
    </row>
    <row r="155" spans="1:8" ht="45" customHeight="1">
      <c r="A155" s="929" t="s">
        <v>917</v>
      </c>
      <c r="B155" s="931"/>
      <c r="C155" s="933"/>
      <c r="D155" s="933">
        <v>50</v>
      </c>
      <c r="E155" s="933"/>
      <c r="F155" s="1076"/>
    </row>
    <row r="156" spans="1:8" ht="47" customHeight="1">
      <c r="A156" s="754" t="s">
        <v>562</v>
      </c>
      <c r="B156" s="931"/>
      <c r="C156" s="933"/>
      <c r="D156" s="933">
        <v>1000</v>
      </c>
      <c r="E156" s="1581" t="s">
        <v>1579</v>
      </c>
      <c r="F156" s="1572"/>
    </row>
    <row r="157" spans="1:8" ht="46.8" customHeight="1">
      <c r="A157" s="754" t="s">
        <v>563</v>
      </c>
      <c r="B157" s="931"/>
      <c r="C157" s="933"/>
      <c r="D157" s="933">
        <v>8000</v>
      </c>
      <c r="E157" s="1581" t="s">
        <v>1580</v>
      </c>
      <c r="F157" s="1572"/>
    </row>
    <row r="158" spans="1:8" ht="20.45" customHeight="1">
      <c r="A158" s="754" t="s">
        <v>564</v>
      </c>
      <c r="B158" s="931">
        <v>1</v>
      </c>
      <c r="C158" s="933">
        <v>5000</v>
      </c>
      <c r="D158" s="933">
        <v>5</v>
      </c>
      <c r="E158" s="1577" t="s">
        <v>1582</v>
      </c>
      <c r="F158" s="1578"/>
      <c r="H158" s="940">
        <f>B158*C158/1000-D158</f>
        <v>0</v>
      </c>
    </row>
    <row r="159" spans="1:8" ht="55.65" customHeight="1" thickBot="1">
      <c r="A159" s="755" t="s">
        <v>565</v>
      </c>
      <c r="B159" s="932">
        <v>5380</v>
      </c>
      <c r="C159" s="934">
        <v>1711</v>
      </c>
      <c r="D159" s="934">
        <v>9205</v>
      </c>
      <c r="E159" s="1583" t="s">
        <v>1581</v>
      </c>
      <c r="F159" s="1580"/>
      <c r="H159" s="940">
        <f>B159*C159/1000-D159</f>
        <v>0.18000000000029104</v>
      </c>
    </row>
    <row r="160" spans="1:8" s="980" customFormat="1" ht="2.4500000000000002" customHeight="1">
      <c r="A160" s="754"/>
      <c r="B160" s="931"/>
      <c r="C160" s="933"/>
      <c r="D160" s="933"/>
      <c r="E160" s="933"/>
      <c r="F160" s="1076"/>
    </row>
    <row r="161" spans="1:49" s="30" customFormat="1" ht="31.75" customHeight="1">
      <c r="A161" s="753" t="s">
        <v>1468</v>
      </c>
      <c r="B161" s="115"/>
      <c r="C161" s="213"/>
      <c r="D161" s="213">
        <f>D163+D216+D227+D228+D229+D234+D237+D238+D239+D240+D241+D246+D247</f>
        <v>6919510</v>
      </c>
      <c r="E161" s="1592" t="s">
        <v>1610</v>
      </c>
      <c r="F161" s="1593"/>
    </row>
    <row r="162" spans="1:49" s="1163" customFormat="1" ht="50.4" customHeight="1">
      <c r="A162" s="753"/>
      <c r="B162" s="115"/>
      <c r="C162" s="213"/>
      <c r="D162" s="213"/>
      <c r="E162" s="1592"/>
      <c r="F162" s="1593"/>
    </row>
    <row r="163" spans="1:49" s="30" customFormat="1" ht="32.4" customHeight="1">
      <c r="A163" s="753" t="s">
        <v>644</v>
      </c>
      <c r="B163" s="115"/>
      <c r="C163" s="213"/>
      <c r="D163" s="213">
        <f>SUM(D165,D168,D180,D183,D186,D189,D203,D204,D205,D208,D211,D177,D192,D200,D214)</f>
        <v>3786304</v>
      </c>
      <c r="E163" s="86"/>
      <c r="F163" s="1240"/>
    </row>
    <row r="164" spans="1:49" s="1163" customFormat="1" ht="4.25" customHeight="1">
      <c r="A164" s="753"/>
      <c r="B164" s="115"/>
      <c r="C164" s="213"/>
      <c r="D164" s="213"/>
      <c r="E164" s="1239"/>
      <c r="F164" s="1232"/>
    </row>
    <row r="165" spans="1:49" s="980" customFormat="1" ht="25.85" customHeight="1">
      <c r="A165" s="754" t="s">
        <v>600</v>
      </c>
      <c r="B165" s="931"/>
      <c r="C165" s="933"/>
      <c r="D165" s="933">
        <f>SUM(D166:D167)</f>
        <v>1820743</v>
      </c>
      <c r="E165" s="86"/>
      <c r="F165" s="1240"/>
    </row>
    <row r="166" spans="1:49" s="980" customFormat="1" ht="24.55" customHeight="1">
      <c r="A166" s="754" t="s">
        <v>998</v>
      </c>
      <c r="B166" s="931">
        <v>32037</v>
      </c>
      <c r="C166" s="933">
        <v>52827</v>
      </c>
      <c r="D166" s="933">
        <v>1692419</v>
      </c>
      <c r="E166" s="1581" t="s">
        <v>1597</v>
      </c>
      <c r="F166" s="1572"/>
      <c r="H166" s="940">
        <f>B166*C166/1000-D166</f>
        <v>-0.40100000007078052</v>
      </c>
    </row>
    <row r="167" spans="1:49" s="980" customFormat="1" ht="24.55" customHeight="1">
      <c r="A167" s="754" t="s">
        <v>997</v>
      </c>
      <c r="B167" s="931">
        <v>2258</v>
      </c>
      <c r="C167" s="933">
        <v>56831</v>
      </c>
      <c r="D167" s="933">
        <v>128324</v>
      </c>
      <c r="E167" s="1581" t="s">
        <v>1598</v>
      </c>
      <c r="F167" s="1572"/>
      <c r="H167" s="940">
        <f>B167*C167/1000-D167</f>
        <v>0.39800000000104774</v>
      </c>
    </row>
    <row r="168" spans="1:49" s="980" customFormat="1" ht="25.2" customHeight="1">
      <c r="A168" s="754" t="s">
        <v>601</v>
      </c>
      <c r="B168" s="931"/>
      <c r="C168" s="933"/>
      <c r="D168" s="933">
        <f>SUM(D169,D173)</f>
        <v>805754</v>
      </c>
      <c r="E168" s="933"/>
      <c r="F168" s="1240"/>
    </row>
    <row r="169" spans="1:49" s="980" customFormat="1" ht="25.2" customHeight="1">
      <c r="A169" s="754" t="s">
        <v>980</v>
      </c>
      <c r="B169" s="931"/>
      <c r="C169" s="933"/>
      <c r="D169" s="933">
        <f>SUM(D170:D172)</f>
        <v>764603</v>
      </c>
      <c r="E169" s="933"/>
      <c r="F169" s="1076"/>
    </row>
    <row r="170" spans="1:49" s="980" customFormat="1" ht="25.2" customHeight="1">
      <c r="A170" s="754" t="s">
        <v>996</v>
      </c>
      <c r="B170" s="931">
        <v>1566</v>
      </c>
      <c r="C170" s="933">
        <v>425045</v>
      </c>
      <c r="D170" s="933">
        <v>665620</v>
      </c>
      <c r="E170" s="1581" t="s">
        <v>1600</v>
      </c>
      <c r="F170" s="1572"/>
      <c r="H170" s="940">
        <f>B170*C170/1000-D170</f>
        <v>0.46999999997206032</v>
      </c>
    </row>
    <row r="171" spans="1:49" s="980" customFormat="1" ht="25.2" customHeight="1">
      <c r="A171" s="754" t="s">
        <v>995</v>
      </c>
      <c r="B171" s="931">
        <v>7</v>
      </c>
      <c r="C171" s="933">
        <v>768014</v>
      </c>
      <c r="D171" s="933">
        <v>5376</v>
      </c>
      <c r="E171" s="933"/>
      <c r="F171" s="1076"/>
      <c r="H171" s="940">
        <f>B171*C171/1000-D171</f>
        <v>9.7999999999956344E-2</v>
      </c>
    </row>
    <row r="172" spans="1:49" s="980" customFormat="1" ht="25.2" customHeight="1">
      <c r="A172" s="754" t="s">
        <v>994</v>
      </c>
      <c r="B172" s="931">
        <v>1007</v>
      </c>
      <c r="C172" s="933">
        <v>92956</v>
      </c>
      <c r="D172" s="933">
        <v>93607</v>
      </c>
      <c r="E172" s="933"/>
      <c r="F172" s="1076"/>
      <c r="H172" s="940">
        <f>B172*C172/1000-D172</f>
        <v>-0.3080000000045402</v>
      </c>
    </row>
    <row r="173" spans="1:49" s="980" customFormat="1" ht="25.2" customHeight="1">
      <c r="A173" s="754" t="s">
        <v>985</v>
      </c>
      <c r="B173" s="931"/>
      <c r="C173" s="933"/>
      <c r="D173" s="933">
        <f>SUM(D174:D176)</f>
        <v>41151</v>
      </c>
      <c r="E173" s="933"/>
      <c r="F173" s="1076"/>
    </row>
    <row r="174" spans="1:49" s="275" customFormat="1" ht="25.2" customHeight="1" thickBot="1">
      <c r="A174" s="754" t="s">
        <v>993</v>
      </c>
      <c r="B174" s="931">
        <v>100</v>
      </c>
      <c r="C174" s="933">
        <v>389851</v>
      </c>
      <c r="D174" s="933">
        <v>38985</v>
      </c>
      <c r="E174" s="1581" t="s">
        <v>1599</v>
      </c>
      <c r="F174" s="1572"/>
      <c r="G174" s="339"/>
      <c r="H174" s="940">
        <f>B174*C174/1000-D174</f>
        <v>9.9999999998544808E-2</v>
      </c>
      <c r="I174" s="233"/>
      <c r="J174" s="233"/>
      <c r="K174" s="233"/>
      <c r="L174" s="233"/>
      <c r="M174" s="233"/>
      <c r="N174" s="233"/>
      <c r="O174" s="233"/>
      <c r="P174" s="233"/>
      <c r="Q174" s="233"/>
      <c r="R174" s="233"/>
      <c r="S174" s="233"/>
      <c r="T174" s="233"/>
      <c r="U174" s="233"/>
      <c r="V174" s="233"/>
      <c r="W174" s="233"/>
      <c r="X174" s="233"/>
      <c r="Y174" s="233"/>
      <c r="Z174" s="233"/>
      <c r="AA174" s="233"/>
      <c r="AB174" s="233"/>
      <c r="AC174" s="233"/>
      <c r="AD174" s="233"/>
      <c r="AE174" s="233"/>
      <c r="AF174" s="233"/>
      <c r="AG174" s="233"/>
      <c r="AH174" s="233"/>
      <c r="AI174" s="233"/>
      <c r="AJ174" s="233"/>
      <c r="AK174" s="233"/>
      <c r="AL174" s="233"/>
      <c r="AM174" s="233"/>
      <c r="AN174" s="233"/>
      <c r="AO174" s="233"/>
      <c r="AP174" s="233"/>
      <c r="AQ174" s="233"/>
      <c r="AR174" s="233"/>
      <c r="AS174" s="233"/>
      <c r="AT174" s="233"/>
      <c r="AU174" s="233"/>
      <c r="AV174" s="233"/>
      <c r="AW174" s="233"/>
    </row>
    <row r="175" spans="1:49" s="980" customFormat="1" ht="25.2" customHeight="1">
      <c r="A175" s="754" t="s">
        <v>992</v>
      </c>
      <c r="B175" s="931">
        <v>1</v>
      </c>
      <c r="C175" s="933">
        <v>768014</v>
      </c>
      <c r="D175" s="933">
        <v>768</v>
      </c>
      <c r="E175" s="933"/>
      <c r="F175" s="1076"/>
      <c r="H175" s="940">
        <f>B175*C175/1000-D175</f>
        <v>1.4000000000010004E-2</v>
      </c>
    </row>
    <row r="176" spans="1:49" s="980" customFormat="1" ht="25.2" customHeight="1">
      <c r="A176" s="754" t="s">
        <v>991</v>
      </c>
      <c r="B176" s="931">
        <v>20</v>
      </c>
      <c r="C176" s="933">
        <v>69914</v>
      </c>
      <c r="D176" s="933">
        <v>1398</v>
      </c>
      <c r="E176" s="933"/>
      <c r="F176" s="1076"/>
      <c r="H176" s="940">
        <f>B176*C176/1000-D176</f>
        <v>0.27999999999997272</v>
      </c>
    </row>
    <row r="177" spans="1:8" s="980" customFormat="1" ht="25.2" customHeight="1">
      <c r="A177" s="754" t="s">
        <v>566</v>
      </c>
      <c r="B177" s="931"/>
      <c r="C177" s="933"/>
      <c r="D177" s="933">
        <f>SUM(D178:D179)</f>
        <v>132</v>
      </c>
      <c r="E177" s="933"/>
      <c r="F177" s="1076"/>
    </row>
    <row r="178" spans="1:8" s="980" customFormat="1" ht="25.2" customHeight="1">
      <c r="A178" s="754" t="s">
        <v>989</v>
      </c>
      <c r="B178" s="931">
        <v>61</v>
      </c>
      <c r="C178" s="933">
        <v>2000</v>
      </c>
      <c r="D178" s="933">
        <v>122</v>
      </c>
      <c r="E178" s="933"/>
      <c r="F178" s="1079"/>
      <c r="H178" s="940">
        <f>B178*C178/1000-D178</f>
        <v>0</v>
      </c>
    </row>
    <row r="179" spans="1:8" s="980" customFormat="1" ht="25.2" customHeight="1">
      <c r="A179" s="754" t="s">
        <v>988</v>
      </c>
      <c r="B179" s="931">
        <v>5</v>
      </c>
      <c r="C179" s="933">
        <v>2000</v>
      </c>
      <c r="D179" s="933">
        <v>10</v>
      </c>
      <c r="E179" s="933"/>
      <c r="F179" s="1079"/>
      <c r="H179" s="940">
        <f>B179*C179/1000-D179</f>
        <v>0</v>
      </c>
    </row>
    <row r="180" spans="1:8" s="982" customFormat="1" ht="25.2" customHeight="1">
      <c r="A180" s="754" t="s">
        <v>990</v>
      </c>
      <c r="B180" s="931"/>
      <c r="C180" s="933"/>
      <c r="D180" s="933">
        <f>SUM(D181:D182)</f>
        <v>24875</v>
      </c>
      <c r="E180" s="933"/>
      <c r="F180" s="1076"/>
    </row>
    <row r="181" spans="1:8" s="982" customFormat="1" ht="25.2" customHeight="1">
      <c r="A181" s="754" t="s">
        <v>989</v>
      </c>
      <c r="B181" s="931">
        <v>63</v>
      </c>
      <c r="C181" s="933">
        <v>371262</v>
      </c>
      <c r="D181" s="933">
        <v>23390</v>
      </c>
      <c r="E181" s="933"/>
      <c r="F181" s="1079"/>
      <c r="H181" s="940">
        <f>B181*C181/1000-D181</f>
        <v>-0.49399999999877764</v>
      </c>
    </row>
    <row r="182" spans="1:8" s="982" customFormat="1" ht="25.2" customHeight="1">
      <c r="A182" s="754" t="s">
        <v>988</v>
      </c>
      <c r="B182" s="931">
        <v>4</v>
      </c>
      <c r="C182" s="933">
        <v>371262</v>
      </c>
      <c r="D182" s="933">
        <v>1485</v>
      </c>
      <c r="E182" s="933"/>
      <c r="F182" s="1230"/>
      <c r="H182" s="940">
        <f>B182*C182/1000-D182</f>
        <v>4.8000000000001819E-2</v>
      </c>
    </row>
    <row r="183" spans="1:8" s="982" customFormat="1" ht="25.2" customHeight="1">
      <c r="A183" s="754" t="s">
        <v>1110</v>
      </c>
      <c r="B183" s="931"/>
      <c r="C183" s="933"/>
      <c r="D183" s="933">
        <f>SUM(D184:D185)</f>
        <v>262754</v>
      </c>
      <c r="E183" s="933"/>
      <c r="F183" s="1231"/>
    </row>
    <row r="184" spans="1:8" s="982" customFormat="1" ht="23.6" customHeight="1" thickBot="1">
      <c r="A184" s="755" t="s">
        <v>989</v>
      </c>
      <c r="B184" s="932">
        <v>25508</v>
      </c>
      <c r="C184" s="934">
        <v>9612</v>
      </c>
      <c r="D184" s="934">
        <v>245183</v>
      </c>
      <c r="E184" s="934"/>
      <c r="F184" s="1082"/>
      <c r="H184" s="940">
        <f>B184*C184/1000-D184</f>
        <v>-0.10399999999208376</v>
      </c>
    </row>
    <row r="185" spans="1:8" s="982" customFormat="1" ht="25.2" customHeight="1">
      <c r="A185" s="754" t="s">
        <v>988</v>
      </c>
      <c r="B185" s="931">
        <v>1842</v>
      </c>
      <c r="C185" s="933">
        <v>9539</v>
      </c>
      <c r="D185" s="933">
        <v>17571</v>
      </c>
      <c r="E185" s="933"/>
      <c r="F185" s="1230"/>
      <c r="H185" s="940">
        <f>B185*C185/1000-D185</f>
        <v>-0.16200000000026193</v>
      </c>
    </row>
    <row r="186" spans="1:8" s="1023" customFormat="1" ht="27.65" customHeight="1">
      <c r="A186" s="754" t="s">
        <v>1111</v>
      </c>
      <c r="B186" s="931"/>
      <c r="C186" s="933"/>
      <c r="D186" s="933">
        <f>SUM(D187:D188)</f>
        <v>694</v>
      </c>
      <c r="E186" s="933"/>
      <c r="F186" s="1231"/>
    </row>
    <row r="187" spans="1:8" s="1023" customFormat="1" ht="24.9" customHeight="1">
      <c r="A187" s="754" t="s">
        <v>989</v>
      </c>
      <c r="B187" s="931">
        <v>6</v>
      </c>
      <c r="C187" s="933">
        <v>99200</v>
      </c>
      <c r="D187" s="933">
        <v>595</v>
      </c>
      <c r="E187" s="933"/>
      <c r="F187" s="1079"/>
      <c r="H187" s="940">
        <f>B187*C187/1000-D187</f>
        <v>0.20000000000004547</v>
      </c>
    </row>
    <row r="188" spans="1:8" s="1023" customFormat="1" ht="24.9" customHeight="1">
      <c r="A188" s="754" t="s">
        <v>988</v>
      </c>
      <c r="B188" s="931">
        <v>1</v>
      </c>
      <c r="C188" s="933">
        <v>99200</v>
      </c>
      <c r="D188" s="933">
        <v>99</v>
      </c>
      <c r="E188" s="933"/>
      <c r="F188" s="1079"/>
      <c r="H188" s="940">
        <f>B188*C188/1000-D188</f>
        <v>0.20000000000000284</v>
      </c>
    </row>
    <row r="189" spans="1:8" s="982" customFormat="1" ht="24.9" customHeight="1">
      <c r="A189" s="754" t="s">
        <v>1004</v>
      </c>
      <c r="B189" s="931"/>
      <c r="C189" s="933"/>
      <c r="D189" s="933">
        <f>SUM(D190:D191)</f>
        <v>11018</v>
      </c>
      <c r="E189" s="933"/>
      <c r="F189" s="1076"/>
    </row>
    <row r="190" spans="1:8" s="982" customFormat="1" ht="24.9" customHeight="1">
      <c r="A190" s="754" t="s">
        <v>989</v>
      </c>
      <c r="B190" s="931">
        <v>17</v>
      </c>
      <c r="C190" s="933">
        <v>609208</v>
      </c>
      <c r="D190" s="933">
        <v>10357</v>
      </c>
      <c r="E190" s="933"/>
      <c r="F190" s="1079"/>
      <c r="H190" s="940">
        <f>B190*C190/1000-D190</f>
        <v>-0.46399999999994179</v>
      </c>
    </row>
    <row r="191" spans="1:8" s="982" customFormat="1" ht="24.9" customHeight="1">
      <c r="A191" s="754" t="s">
        <v>988</v>
      </c>
      <c r="B191" s="931">
        <v>1</v>
      </c>
      <c r="C191" s="933">
        <v>661056</v>
      </c>
      <c r="D191" s="933">
        <v>661</v>
      </c>
      <c r="E191" s="933"/>
      <c r="F191" s="1079"/>
      <c r="H191" s="940">
        <f>B191*C191/1000-D191</f>
        <v>5.6000000000040018E-2</v>
      </c>
    </row>
    <row r="192" spans="1:8" s="980" customFormat="1" ht="29" customHeight="1">
      <c r="A192" s="754" t="s">
        <v>630</v>
      </c>
      <c r="B192" s="931"/>
      <c r="C192" s="933"/>
      <c r="D192" s="933">
        <f>SUM(D193,D197)</f>
        <v>553267</v>
      </c>
      <c r="E192" s="933"/>
      <c r="F192" s="1076"/>
    </row>
    <row r="193" spans="1:8" s="980" customFormat="1" ht="24.05" customHeight="1">
      <c r="A193" s="754" t="s">
        <v>987</v>
      </c>
      <c r="B193" s="931"/>
      <c r="C193" s="933"/>
      <c r="D193" s="933">
        <f>SUM(D194:D196)</f>
        <v>503513</v>
      </c>
      <c r="E193" s="933"/>
      <c r="F193" s="1076"/>
    </row>
    <row r="194" spans="1:8" s="980" customFormat="1" ht="27.65" customHeight="1">
      <c r="A194" s="754" t="s">
        <v>986</v>
      </c>
      <c r="B194" s="931">
        <v>130</v>
      </c>
      <c r="C194" s="931">
        <v>2103200</v>
      </c>
      <c r="D194" s="933">
        <v>273416</v>
      </c>
      <c r="E194" s="1581" t="s">
        <v>1602</v>
      </c>
      <c r="F194" s="1572"/>
      <c r="H194" s="940">
        <f>B194*C194/1000-D194</f>
        <v>0</v>
      </c>
    </row>
    <row r="195" spans="1:8" s="980" customFormat="1" ht="27.65" customHeight="1">
      <c r="A195" s="754" t="s">
        <v>1113</v>
      </c>
      <c r="B195" s="931">
        <v>1881</v>
      </c>
      <c r="C195" s="931">
        <v>100972</v>
      </c>
      <c r="D195" s="931">
        <v>189928</v>
      </c>
      <c r="E195" s="740"/>
      <c r="F195" s="1081"/>
      <c r="H195" s="941">
        <f>B195*C195/1000-D195</f>
        <v>0.33199999999487773</v>
      </c>
    </row>
    <row r="196" spans="1:8" s="1024" customFormat="1" ht="23.4" customHeight="1">
      <c r="A196" s="754" t="s">
        <v>1114</v>
      </c>
      <c r="B196" s="931">
        <v>132</v>
      </c>
      <c r="C196" s="933">
        <v>304310</v>
      </c>
      <c r="D196" s="933">
        <v>40169</v>
      </c>
      <c r="E196" s="933"/>
      <c r="F196" s="1076"/>
      <c r="H196" s="940">
        <f>B196*C196/1000-D196</f>
        <v>-8.000000000174623E-2</v>
      </c>
    </row>
    <row r="197" spans="1:8" s="980" customFormat="1" ht="25.55" customHeight="1">
      <c r="A197" s="754" t="s">
        <v>985</v>
      </c>
      <c r="B197" s="931"/>
      <c r="C197" s="933"/>
      <c r="D197" s="933">
        <f>SUM(D198:D199)</f>
        <v>49754</v>
      </c>
      <c r="E197" s="933"/>
      <c r="F197" s="1076"/>
    </row>
    <row r="198" spans="1:8" s="980" customFormat="1" ht="27" customHeight="1">
      <c r="A198" s="754" t="s">
        <v>603</v>
      </c>
      <c r="B198" s="931">
        <v>29</v>
      </c>
      <c r="C198" s="933">
        <v>1647690</v>
      </c>
      <c r="D198" s="933">
        <v>47783</v>
      </c>
      <c r="E198" s="1581" t="s">
        <v>1603</v>
      </c>
      <c r="F198" s="1572"/>
      <c r="H198" s="940">
        <f>B198*C198/1000-D198</f>
        <v>1.0000000002037268E-2</v>
      </c>
    </row>
    <row r="199" spans="1:8" s="980" customFormat="1" ht="24.55" customHeight="1">
      <c r="A199" s="754" t="s">
        <v>984</v>
      </c>
      <c r="B199" s="931">
        <v>16</v>
      </c>
      <c r="C199" s="933">
        <v>123168</v>
      </c>
      <c r="D199" s="933">
        <v>1971</v>
      </c>
      <c r="E199" s="933"/>
      <c r="F199" s="1081"/>
      <c r="H199" s="940">
        <f>B199*C199/1000-D199</f>
        <v>-0.31199999999989814</v>
      </c>
    </row>
    <row r="200" spans="1:8" s="980" customFormat="1" ht="24.05" customHeight="1">
      <c r="A200" s="754" t="s">
        <v>1123</v>
      </c>
      <c r="B200" s="931"/>
      <c r="C200" s="933"/>
      <c r="D200" s="933">
        <f>SUM(D201:D202)</f>
        <v>5648</v>
      </c>
      <c r="E200" s="933"/>
      <c r="F200" s="1076"/>
    </row>
    <row r="201" spans="1:8" s="980" customFormat="1" ht="26.35" customHeight="1">
      <c r="A201" s="754" t="s">
        <v>980</v>
      </c>
      <c r="B201" s="931">
        <v>9</v>
      </c>
      <c r="C201" s="933">
        <v>592730</v>
      </c>
      <c r="D201" s="933">
        <v>5335</v>
      </c>
      <c r="E201" s="933"/>
      <c r="F201" s="1077"/>
      <c r="H201" s="940">
        <f>B201*C201/1000-D201</f>
        <v>-0.43000000000029104</v>
      </c>
    </row>
    <row r="202" spans="1:8" s="980" customFormat="1" ht="26.05" customHeight="1">
      <c r="A202" s="754" t="s">
        <v>983</v>
      </c>
      <c r="B202" s="931">
        <v>3</v>
      </c>
      <c r="C202" s="933">
        <v>104260</v>
      </c>
      <c r="D202" s="933">
        <v>313</v>
      </c>
      <c r="E202" s="933"/>
      <c r="F202" s="1076"/>
      <c r="H202" s="940">
        <f>B202*C202/1000-D202</f>
        <v>-0.22000000000002728</v>
      </c>
    </row>
    <row r="203" spans="1:8" s="982" customFormat="1" ht="29.45" customHeight="1">
      <c r="A203" s="754" t="s">
        <v>1006</v>
      </c>
      <c r="B203" s="931">
        <v>80</v>
      </c>
      <c r="C203" s="933">
        <v>526163</v>
      </c>
      <c r="D203" s="933">
        <v>42093</v>
      </c>
      <c r="E203" s="933"/>
      <c r="F203" s="1076"/>
      <c r="H203" s="940">
        <f>B203*C203/1000-D203</f>
        <v>4.0000000000873115E-2</v>
      </c>
    </row>
    <row r="204" spans="1:8" s="982" customFormat="1" ht="29" customHeight="1">
      <c r="A204" s="754" t="s">
        <v>1007</v>
      </c>
      <c r="B204" s="931">
        <v>216</v>
      </c>
      <c r="C204" s="933">
        <v>1080000</v>
      </c>
      <c r="D204" s="933">
        <v>233280</v>
      </c>
      <c r="E204" s="933"/>
      <c r="F204" s="1076"/>
      <c r="H204" s="940">
        <f>B204*C204/1000-D204</f>
        <v>0</v>
      </c>
    </row>
    <row r="205" spans="1:8" s="980" customFormat="1" ht="29" customHeight="1">
      <c r="A205" s="754" t="s">
        <v>1005</v>
      </c>
      <c r="B205" s="931"/>
      <c r="C205" s="933"/>
      <c r="D205" s="933">
        <f>SUM(D206:D207)</f>
        <v>5467</v>
      </c>
      <c r="E205" s="933"/>
      <c r="F205" s="1076"/>
    </row>
    <row r="206" spans="1:8" s="980" customFormat="1" ht="23.4" customHeight="1">
      <c r="A206" s="754" t="s">
        <v>989</v>
      </c>
      <c r="B206" s="931">
        <v>749</v>
      </c>
      <c r="C206" s="933">
        <v>7000</v>
      </c>
      <c r="D206" s="933">
        <v>5243</v>
      </c>
      <c r="E206" s="933"/>
      <c r="F206" s="1230"/>
      <c r="H206" s="940">
        <f>B206*C206/1000-D206</f>
        <v>0</v>
      </c>
    </row>
    <row r="207" spans="1:8" s="980" customFormat="1" ht="23.4" customHeight="1">
      <c r="A207" s="754" t="s">
        <v>988</v>
      </c>
      <c r="B207" s="931">
        <v>32</v>
      </c>
      <c r="C207" s="933">
        <v>7000</v>
      </c>
      <c r="D207" s="933">
        <v>224</v>
      </c>
      <c r="E207" s="933"/>
      <c r="F207" s="1230"/>
      <c r="H207" s="940">
        <f>B207*C207/1000-D207</f>
        <v>0</v>
      </c>
    </row>
    <row r="208" spans="1:8" s="982" customFormat="1" ht="24.25" customHeight="1" thickBot="1">
      <c r="A208" s="755" t="s">
        <v>1008</v>
      </c>
      <c r="B208" s="932"/>
      <c r="C208" s="934"/>
      <c r="D208" s="934">
        <f>SUM(D209:D210)</f>
        <v>4039</v>
      </c>
      <c r="E208" s="934"/>
      <c r="F208" s="1078"/>
    </row>
    <row r="209" spans="1:8" s="982" customFormat="1" ht="22.95" customHeight="1">
      <c r="A209" s="754" t="s">
        <v>989</v>
      </c>
      <c r="B209" s="931">
        <v>3802</v>
      </c>
      <c r="C209" s="933">
        <v>1000</v>
      </c>
      <c r="D209" s="933">
        <v>3802</v>
      </c>
      <c r="E209" s="933"/>
      <c r="F209" s="1230"/>
      <c r="H209" s="940">
        <f>B209*C209/1000-D209</f>
        <v>0</v>
      </c>
    </row>
    <row r="210" spans="1:8" s="982" customFormat="1" ht="22.95" customHeight="1">
      <c r="A210" s="754" t="s">
        <v>988</v>
      </c>
      <c r="B210" s="931">
        <v>237</v>
      </c>
      <c r="C210" s="933">
        <v>1000</v>
      </c>
      <c r="D210" s="933">
        <v>237</v>
      </c>
      <c r="E210" s="933"/>
      <c r="F210" s="1230"/>
      <c r="H210" s="940">
        <f>B210*C210/1000-D210</f>
        <v>0</v>
      </c>
    </row>
    <row r="211" spans="1:8" s="982" customFormat="1" ht="26.35" customHeight="1">
      <c r="A211" s="754" t="s">
        <v>1009</v>
      </c>
      <c r="B211" s="931"/>
      <c r="C211" s="933"/>
      <c r="D211" s="933">
        <f>SUM(D212:D213)</f>
        <v>1372</v>
      </c>
      <c r="E211" s="933"/>
      <c r="F211" s="1076"/>
    </row>
    <row r="212" spans="1:8" s="982" customFormat="1" ht="22.95" customHeight="1">
      <c r="A212" s="754" t="s">
        <v>989</v>
      </c>
      <c r="B212" s="931">
        <v>1859</v>
      </c>
      <c r="C212" s="933">
        <v>700</v>
      </c>
      <c r="D212" s="933">
        <v>1301</v>
      </c>
      <c r="E212" s="933"/>
      <c r="F212" s="1079"/>
      <c r="H212" s="940">
        <f>B212*C212/1000-D212</f>
        <v>0.29999999999995453</v>
      </c>
    </row>
    <row r="213" spans="1:8" s="982" customFormat="1" ht="22.25" customHeight="1">
      <c r="A213" s="754" t="s">
        <v>988</v>
      </c>
      <c r="B213" s="931">
        <v>102</v>
      </c>
      <c r="C213" s="933">
        <v>700</v>
      </c>
      <c r="D213" s="933">
        <v>71</v>
      </c>
      <c r="E213" s="933"/>
      <c r="F213" s="1079"/>
      <c r="H213" s="940">
        <f>B213*C213/1000-D213</f>
        <v>0.40000000000000568</v>
      </c>
    </row>
    <row r="214" spans="1:8" ht="56.95" customHeight="1">
      <c r="A214" s="754" t="s">
        <v>1028</v>
      </c>
      <c r="B214" s="931">
        <v>8000</v>
      </c>
      <c r="C214" s="933">
        <v>1896</v>
      </c>
      <c r="D214" s="933">
        <v>15168</v>
      </c>
      <c r="E214" s="933"/>
      <c r="F214" s="1076"/>
      <c r="H214" s="940">
        <f>B214*C214/1000-D214</f>
        <v>0</v>
      </c>
    </row>
    <row r="215" spans="1:8" s="980" customFormat="1" ht="5.4" customHeight="1">
      <c r="A215" s="754"/>
      <c r="B215" s="931"/>
      <c r="C215" s="933"/>
      <c r="D215" s="933"/>
      <c r="E215" s="933"/>
      <c r="F215" s="1076"/>
    </row>
    <row r="216" spans="1:8" s="30" customFormat="1" ht="29" customHeight="1">
      <c r="A216" s="753" t="s">
        <v>1445</v>
      </c>
      <c r="B216" s="115"/>
      <c r="C216" s="213"/>
      <c r="D216" s="213">
        <f>+D217+D220+D223</f>
        <v>2965871</v>
      </c>
      <c r="E216" s="213"/>
      <c r="F216" s="1076"/>
      <c r="H216" s="980"/>
    </row>
    <row r="217" spans="1:8" s="980" customFormat="1" ht="24.05" customHeight="1">
      <c r="A217" s="754" t="s">
        <v>1449</v>
      </c>
      <c r="B217" s="931"/>
      <c r="C217" s="933"/>
      <c r="D217" s="933">
        <f>SUM(D218:D219)</f>
        <v>1126871</v>
      </c>
      <c r="E217" s="1581" t="s">
        <v>1630</v>
      </c>
      <c r="F217" s="1572"/>
    </row>
    <row r="218" spans="1:8" s="980" customFormat="1" ht="24.05" customHeight="1">
      <c r="A218" s="754" t="s">
        <v>980</v>
      </c>
      <c r="B218" s="931">
        <v>22400</v>
      </c>
      <c r="C218" s="933">
        <v>48260</v>
      </c>
      <c r="D218" s="933">
        <v>1081024</v>
      </c>
      <c r="E218" s="933"/>
      <c r="F218" s="1076"/>
      <c r="H218" s="940">
        <f>B218*C218/1000-D218</f>
        <v>0</v>
      </c>
    </row>
    <row r="219" spans="1:8" s="980" customFormat="1" ht="22.95" customHeight="1">
      <c r="A219" s="754" t="s">
        <v>982</v>
      </c>
      <c r="B219" s="931">
        <v>950</v>
      </c>
      <c r="C219" s="933">
        <v>48260</v>
      </c>
      <c r="D219" s="933">
        <v>45847</v>
      </c>
      <c r="E219" s="933"/>
      <c r="F219" s="1076"/>
      <c r="H219" s="940">
        <f>B219*C219/1000-D219</f>
        <v>0</v>
      </c>
    </row>
    <row r="220" spans="1:8" s="980" customFormat="1" ht="21.6" customHeight="1">
      <c r="A220" s="754" t="s">
        <v>981</v>
      </c>
      <c r="B220" s="931"/>
      <c r="C220" s="933"/>
      <c r="D220" s="933">
        <f>+D221+D222</f>
        <v>1239000</v>
      </c>
      <c r="E220" s="1581" t="s">
        <v>1604</v>
      </c>
      <c r="F220" s="1572"/>
    </row>
    <row r="221" spans="1:8" s="980" customFormat="1" ht="23.4" customHeight="1">
      <c r="A221" s="754" t="s">
        <v>980</v>
      </c>
      <c r="B221" s="931">
        <v>1132540</v>
      </c>
      <c r="C221" s="933">
        <v>1050</v>
      </c>
      <c r="D221" s="933">
        <v>1189167</v>
      </c>
      <c r="E221" s="933"/>
      <c r="F221" s="1076"/>
      <c r="H221" s="940">
        <f>B221*C221/1000-D221</f>
        <v>0</v>
      </c>
    </row>
    <row r="222" spans="1:8" s="980" customFormat="1" ht="29.3" customHeight="1">
      <c r="A222" s="754" t="s">
        <v>979</v>
      </c>
      <c r="B222" s="931">
        <v>47460</v>
      </c>
      <c r="C222" s="933">
        <v>1050</v>
      </c>
      <c r="D222" s="933">
        <v>49833</v>
      </c>
      <c r="E222" s="933"/>
      <c r="F222" s="1076"/>
      <c r="H222" s="940">
        <f>B222*C222/1000-D222</f>
        <v>0</v>
      </c>
    </row>
    <row r="223" spans="1:8" s="1023" customFormat="1" ht="28.15" customHeight="1">
      <c r="A223" s="754" t="s">
        <v>1112</v>
      </c>
      <c r="B223" s="931"/>
      <c r="C223" s="933"/>
      <c r="D223" s="933">
        <f>SUM(D224:D225)</f>
        <v>600000</v>
      </c>
      <c r="E223" s="933"/>
      <c r="F223" s="1076"/>
    </row>
    <row r="224" spans="1:8" s="1023" customFormat="1" ht="22.95" customHeight="1">
      <c r="A224" s="754" t="s">
        <v>989</v>
      </c>
      <c r="B224" s="931">
        <v>23960</v>
      </c>
      <c r="C224" s="933">
        <v>24000</v>
      </c>
      <c r="D224" s="933">
        <v>575040</v>
      </c>
      <c r="E224" s="933"/>
      <c r="F224" s="1079"/>
      <c r="H224" s="940">
        <f>B224*C224/1000-D224</f>
        <v>0</v>
      </c>
    </row>
    <row r="225" spans="1:8" s="1023" customFormat="1" ht="22.95" customHeight="1">
      <c r="A225" s="754" t="s">
        <v>988</v>
      </c>
      <c r="B225" s="931">
        <v>1040</v>
      </c>
      <c r="C225" s="933">
        <v>24000</v>
      </c>
      <c r="D225" s="933">
        <v>24960</v>
      </c>
      <c r="E225" s="933"/>
      <c r="F225" s="1079"/>
      <c r="H225" s="940">
        <f>B225*C225/1000-D225</f>
        <v>0</v>
      </c>
    </row>
    <row r="226" spans="1:8" ht="8.35" customHeight="1">
      <c r="A226" s="754"/>
      <c r="B226" s="931"/>
      <c r="C226" s="931"/>
      <c r="D226" s="931"/>
      <c r="E226" s="933"/>
      <c r="F226" s="1076"/>
      <c r="H226" s="940"/>
    </row>
    <row r="227" spans="1:8" s="215" customFormat="1" ht="29.95" customHeight="1">
      <c r="A227" s="835" t="s">
        <v>1446</v>
      </c>
      <c r="B227" s="206">
        <v>17</v>
      </c>
      <c r="C227" s="206">
        <v>520000</v>
      </c>
      <c r="D227" s="206">
        <v>8840</v>
      </c>
      <c r="E227" s="1586" t="s">
        <v>1583</v>
      </c>
      <c r="F227" s="1587"/>
      <c r="H227" s="940">
        <f t="shared" ref="H227:H228" si="1">B227*C227/1000-D227</f>
        <v>0</v>
      </c>
    </row>
    <row r="228" spans="1:8" s="215" customFormat="1" ht="29.95" customHeight="1">
      <c r="A228" s="835" t="s">
        <v>1447</v>
      </c>
      <c r="B228" s="206">
        <v>8</v>
      </c>
      <c r="C228" s="206">
        <v>720000</v>
      </c>
      <c r="D228" s="206">
        <v>5760</v>
      </c>
      <c r="E228" s="1586" t="s">
        <v>1584</v>
      </c>
      <c r="F228" s="1587"/>
      <c r="H228" s="940">
        <f t="shared" si="1"/>
        <v>0</v>
      </c>
    </row>
    <row r="229" spans="1:8" s="1025" customFormat="1" ht="20.95" customHeight="1">
      <c r="A229" s="443" t="s">
        <v>1448</v>
      </c>
      <c r="B229" s="931"/>
      <c r="C229" s="933"/>
      <c r="D229" s="933">
        <f>SUM(D230:D233)</f>
        <v>6277</v>
      </c>
      <c r="E229" s="933"/>
      <c r="F229" s="1236"/>
    </row>
    <row r="230" spans="1:8" s="1025" customFormat="1" ht="36.65" customHeight="1">
      <c r="A230" s="756" t="s">
        <v>1450</v>
      </c>
      <c r="B230" s="931">
        <v>268</v>
      </c>
      <c r="C230" s="933">
        <v>8700</v>
      </c>
      <c r="D230" s="933">
        <v>2332</v>
      </c>
      <c r="E230" s="1586" t="s">
        <v>1585</v>
      </c>
      <c r="F230" s="1587"/>
      <c r="H230" s="940">
        <f>B230*C230/1000-D230</f>
        <v>-0.40000000000009095</v>
      </c>
    </row>
    <row r="231" spans="1:8" s="276" customFormat="1" ht="32.4" customHeight="1">
      <c r="A231" s="757" t="s">
        <v>1451</v>
      </c>
      <c r="B231" s="931">
        <v>520</v>
      </c>
      <c r="C231" s="933">
        <v>6200</v>
      </c>
      <c r="D231" s="933">
        <v>3224</v>
      </c>
      <c r="E231" s="1586" t="s">
        <v>1586</v>
      </c>
      <c r="F231" s="1587"/>
      <c r="H231" s="940">
        <f>B231*C231/1000-D231</f>
        <v>0</v>
      </c>
    </row>
    <row r="232" spans="1:8" s="276" customFormat="1" ht="34.85" customHeight="1" thickBot="1">
      <c r="A232" s="758" t="s">
        <v>1452</v>
      </c>
      <c r="B232" s="932">
        <v>32</v>
      </c>
      <c r="C232" s="934">
        <v>3200</v>
      </c>
      <c r="D232" s="934">
        <v>102</v>
      </c>
      <c r="E232" s="1590" t="s">
        <v>1587</v>
      </c>
      <c r="F232" s="1591"/>
      <c r="H232" s="940">
        <f>B232*C232/1000-D232</f>
        <v>0.40000000000000568</v>
      </c>
    </row>
    <row r="233" spans="1:8" s="276" customFormat="1" ht="45" customHeight="1">
      <c r="A233" s="757" t="s">
        <v>1467</v>
      </c>
      <c r="B233" s="931">
        <v>326</v>
      </c>
      <c r="C233" s="933">
        <v>1900</v>
      </c>
      <c r="D233" s="933">
        <v>619</v>
      </c>
      <c r="E233" s="1586" t="s">
        <v>1588</v>
      </c>
      <c r="F233" s="1587"/>
      <c r="H233" s="940">
        <f>B233*C233/1000-D233</f>
        <v>0.39999999999997726</v>
      </c>
    </row>
    <row r="234" spans="1:8" s="276" customFormat="1" ht="21.8" customHeight="1">
      <c r="A234" s="134" t="s">
        <v>1453</v>
      </c>
      <c r="B234" s="931"/>
      <c r="C234" s="933"/>
      <c r="D234" s="933">
        <f>SUM(D235:D236)</f>
        <v>70050</v>
      </c>
      <c r="E234" s="933"/>
      <c r="F234" s="1076"/>
    </row>
    <row r="235" spans="1:8" s="276" customFormat="1" ht="37.15" customHeight="1">
      <c r="A235" s="759" t="s">
        <v>1454</v>
      </c>
      <c r="B235" s="931">
        <v>2987</v>
      </c>
      <c r="C235" s="933">
        <v>8700</v>
      </c>
      <c r="D235" s="933">
        <v>25987</v>
      </c>
      <c r="E235" s="1586" t="s">
        <v>1589</v>
      </c>
      <c r="F235" s="1587"/>
      <c r="H235" s="940">
        <f t="shared" ref="H235:H240" si="2">B235*C235/1000-D235</f>
        <v>-9.9999999998544808E-2</v>
      </c>
    </row>
    <row r="236" spans="1:8" s="276" customFormat="1" ht="38.950000000000003" customHeight="1">
      <c r="A236" s="757" t="s">
        <v>1455</v>
      </c>
      <c r="B236" s="931">
        <v>7107</v>
      </c>
      <c r="C236" s="933">
        <v>6200</v>
      </c>
      <c r="D236" s="933">
        <v>44063</v>
      </c>
      <c r="E236" s="1586" t="s">
        <v>1590</v>
      </c>
      <c r="F236" s="1587"/>
      <c r="H236" s="940">
        <f t="shared" si="2"/>
        <v>0.40000000000145519</v>
      </c>
    </row>
    <row r="237" spans="1:8" s="276" customFormat="1" ht="27" customHeight="1">
      <c r="A237" s="443" t="s">
        <v>1456</v>
      </c>
      <c r="B237" s="931">
        <v>8</v>
      </c>
      <c r="C237" s="933">
        <v>14800</v>
      </c>
      <c r="D237" s="933">
        <v>118</v>
      </c>
      <c r="E237" s="1586" t="s">
        <v>1570</v>
      </c>
      <c r="F237" s="1587"/>
      <c r="H237" s="940">
        <f t="shared" si="2"/>
        <v>0.40000000000000568</v>
      </c>
    </row>
    <row r="238" spans="1:8" s="276" customFormat="1" ht="29.45" customHeight="1">
      <c r="A238" s="443" t="s">
        <v>1457</v>
      </c>
      <c r="B238" s="931">
        <v>407</v>
      </c>
      <c r="C238" s="933">
        <v>13500</v>
      </c>
      <c r="D238" s="933">
        <v>5495</v>
      </c>
      <c r="E238" s="1586" t="s">
        <v>1591</v>
      </c>
      <c r="F238" s="1587"/>
      <c r="H238" s="940">
        <f t="shared" si="2"/>
        <v>-0.5</v>
      </c>
    </row>
    <row r="239" spans="1:8" s="276" customFormat="1" ht="29.45" customHeight="1">
      <c r="A239" s="443" t="s">
        <v>1458</v>
      </c>
      <c r="B239" s="931">
        <v>2710</v>
      </c>
      <c r="C239" s="933">
        <v>12400</v>
      </c>
      <c r="D239" s="933">
        <v>33604</v>
      </c>
      <c r="E239" s="1586" t="s">
        <v>1592</v>
      </c>
      <c r="F239" s="1587"/>
      <c r="H239" s="940">
        <f t="shared" si="2"/>
        <v>0</v>
      </c>
    </row>
    <row r="240" spans="1:8" ht="27" customHeight="1">
      <c r="A240" s="443" t="s">
        <v>1459</v>
      </c>
      <c r="B240" s="931">
        <v>370</v>
      </c>
      <c r="C240" s="933">
        <v>100000</v>
      </c>
      <c r="D240" s="933">
        <v>37000</v>
      </c>
      <c r="E240" s="1586" t="s">
        <v>1790</v>
      </c>
      <c r="F240" s="1587"/>
      <c r="H240" s="940">
        <f t="shared" si="2"/>
        <v>0</v>
      </c>
    </row>
    <row r="241" spans="1:8" ht="31.25" customHeight="1">
      <c r="A241" s="753" t="s">
        <v>1463</v>
      </c>
      <c r="B241" s="931"/>
      <c r="C241" s="933"/>
      <c r="D241" s="933">
        <f>SUM(D242:D245)</f>
        <v>161</v>
      </c>
      <c r="E241" s="933"/>
      <c r="F241" s="1076"/>
    </row>
    <row r="242" spans="1:8" ht="29.45" customHeight="1">
      <c r="A242" s="757" t="s">
        <v>1460</v>
      </c>
      <c r="B242" s="931">
        <v>8</v>
      </c>
      <c r="C242" s="933">
        <v>8700</v>
      </c>
      <c r="D242" s="933">
        <v>70</v>
      </c>
      <c r="E242" s="1586" t="s">
        <v>1570</v>
      </c>
      <c r="F242" s="1587"/>
      <c r="H242" s="940">
        <f t="shared" ref="H242:H247" si="3">B242*C242/1000-D242</f>
        <v>-0.40000000000000568</v>
      </c>
    </row>
    <row r="243" spans="1:8" ht="36.65" customHeight="1">
      <c r="A243" s="757" t="s">
        <v>1461</v>
      </c>
      <c r="B243" s="931">
        <v>8</v>
      </c>
      <c r="C243" s="933">
        <v>6200</v>
      </c>
      <c r="D243" s="933">
        <v>50</v>
      </c>
      <c r="E243" s="1586" t="s">
        <v>1570</v>
      </c>
      <c r="F243" s="1587"/>
      <c r="H243" s="940">
        <f t="shared" si="3"/>
        <v>-0.39999999999999858</v>
      </c>
    </row>
    <row r="244" spans="1:8" ht="35.35" customHeight="1">
      <c r="A244" s="757" t="s">
        <v>1462</v>
      </c>
      <c r="B244" s="931">
        <v>8</v>
      </c>
      <c r="C244" s="933">
        <v>3200</v>
      </c>
      <c r="D244" s="933">
        <v>26</v>
      </c>
      <c r="E244" s="1586" t="s">
        <v>1570</v>
      </c>
      <c r="F244" s="1587"/>
      <c r="H244" s="940">
        <f t="shared" si="3"/>
        <v>-0.39999999999999858</v>
      </c>
    </row>
    <row r="245" spans="1:8" ht="47" customHeight="1">
      <c r="A245" s="757" t="s">
        <v>1466</v>
      </c>
      <c r="B245" s="931">
        <v>8</v>
      </c>
      <c r="C245" s="933">
        <v>1900</v>
      </c>
      <c r="D245" s="933">
        <v>15</v>
      </c>
      <c r="E245" s="1586" t="s">
        <v>1570</v>
      </c>
      <c r="F245" s="1587"/>
      <c r="H245" s="940">
        <f t="shared" si="3"/>
        <v>0.19999999999999929</v>
      </c>
    </row>
    <row r="246" spans="1:8" ht="27" customHeight="1">
      <c r="A246" s="443" t="s">
        <v>1464</v>
      </c>
      <c r="B246" s="931">
        <v>4</v>
      </c>
      <c r="C246" s="933">
        <v>2500</v>
      </c>
      <c r="D246" s="933">
        <v>10</v>
      </c>
      <c r="E246" s="1586" t="s">
        <v>1593</v>
      </c>
      <c r="F246" s="1587"/>
      <c r="H246" s="940">
        <f t="shared" si="3"/>
        <v>0</v>
      </c>
    </row>
    <row r="247" spans="1:8" ht="27.65" customHeight="1">
      <c r="A247" s="443" t="s">
        <v>1465</v>
      </c>
      <c r="B247" s="931">
        <v>2</v>
      </c>
      <c r="C247" s="931">
        <v>10000</v>
      </c>
      <c r="D247" s="931">
        <v>20</v>
      </c>
      <c r="E247" s="1588" t="s">
        <v>1594</v>
      </c>
      <c r="F247" s="1589"/>
      <c r="H247" s="940">
        <f t="shared" si="3"/>
        <v>0</v>
      </c>
    </row>
    <row r="248" spans="1:8" ht="51.55" customHeight="1">
      <c r="A248" s="950"/>
      <c r="B248" s="951"/>
      <c r="C248" s="951"/>
      <c r="D248" s="951"/>
      <c r="E248" s="1072"/>
      <c r="F248" s="1083"/>
    </row>
    <row r="249" spans="1:8" ht="42.55" customHeight="1">
      <c r="A249" s="950"/>
      <c r="B249" s="951"/>
      <c r="C249" s="951"/>
      <c r="D249" s="951"/>
      <c r="E249" s="1072"/>
      <c r="F249" s="1083"/>
    </row>
    <row r="250" spans="1:8" ht="37.15" customHeight="1" thickBot="1">
      <c r="A250" s="755"/>
      <c r="B250" s="932"/>
      <c r="C250" s="932"/>
      <c r="D250" s="932"/>
      <c r="E250" s="934"/>
      <c r="F250" s="1078"/>
      <c r="H250" s="940"/>
    </row>
    <row r="251" spans="1:8" ht="15.55" customHeight="1">
      <c r="A251" s="950"/>
      <c r="B251" s="951"/>
      <c r="C251" s="951"/>
      <c r="D251" s="951"/>
      <c r="E251" s="1072"/>
      <c r="F251" s="1083"/>
    </row>
    <row r="252" spans="1:8" ht="10.8" customHeight="1" thickBot="1">
      <c r="A252" s="952"/>
      <c r="B252" s="953"/>
      <c r="C252" s="953"/>
      <c r="D252" s="953"/>
      <c r="E252" s="1073"/>
      <c r="F252" s="1084"/>
    </row>
  </sheetData>
  <mergeCells count="90">
    <mergeCell ref="E63:F63"/>
    <mergeCell ref="E67:F67"/>
    <mergeCell ref="E78:F78"/>
    <mergeCell ref="E81:F81"/>
    <mergeCell ref="E161:F162"/>
    <mergeCell ref="E158:F158"/>
    <mergeCell ref="E159:F159"/>
    <mergeCell ref="E123:F123"/>
    <mergeCell ref="E124:F124"/>
    <mergeCell ref="E125:F125"/>
    <mergeCell ref="E156:F156"/>
    <mergeCell ref="E157:F157"/>
    <mergeCell ref="E127:F127"/>
    <mergeCell ref="E128:F128"/>
    <mergeCell ref="E129:F129"/>
    <mergeCell ref="E130:F130"/>
    <mergeCell ref="E166:F166"/>
    <mergeCell ref="E167:F167"/>
    <mergeCell ref="E170:F170"/>
    <mergeCell ref="E236:F236"/>
    <mergeCell ref="E237:F237"/>
    <mergeCell ref="E238:F238"/>
    <mergeCell ref="E174:F174"/>
    <mergeCell ref="E194:F194"/>
    <mergeCell ref="E198:F198"/>
    <mergeCell ref="E217:F217"/>
    <mergeCell ref="E220:F220"/>
    <mergeCell ref="E227:F227"/>
    <mergeCell ref="E228:F228"/>
    <mergeCell ref="E230:F230"/>
    <mergeCell ref="E231:F231"/>
    <mergeCell ref="E232:F232"/>
    <mergeCell ref="E233:F233"/>
    <mergeCell ref="E235:F235"/>
    <mergeCell ref="E246:F246"/>
    <mergeCell ref="E247:F247"/>
    <mergeCell ref="E239:F239"/>
    <mergeCell ref="E240:F240"/>
    <mergeCell ref="E242:F242"/>
    <mergeCell ref="E243:F243"/>
    <mergeCell ref="E244:F244"/>
    <mergeCell ref="E245:F245"/>
    <mergeCell ref="E117:F117"/>
    <mergeCell ref="E118:F118"/>
    <mergeCell ref="E120:F120"/>
    <mergeCell ref="E121:F121"/>
    <mergeCell ref="E122:F122"/>
    <mergeCell ref="E109:F109"/>
    <mergeCell ref="E110:F110"/>
    <mergeCell ref="E112:F114"/>
    <mergeCell ref="E115:F115"/>
    <mergeCell ref="E116:F116"/>
    <mergeCell ref="E99:F99"/>
    <mergeCell ref="E100:F100"/>
    <mergeCell ref="E104:F104"/>
    <mergeCell ref="E108:F108"/>
    <mergeCell ref="E102:F103"/>
    <mergeCell ref="E91:F91"/>
    <mergeCell ref="E96:F96"/>
    <mergeCell ref="E97:F97"/>
    <mergeCell ref="E98:F98"/>
    <mergeCell ref="E93:F94"/>
    <mergeCell ref="E17:F17"/>
    <mergeCell ref="E20:F20"/>
    <mergeCell ref="E27:F27"/>
    <mergeCell ref="E43:F43"/>
    <mergeCell ref="E50:F50"/>
    <mergeCell ref="F30:F31"/>
    <mergeCell ref="E22:F22"/>
    <mergeCell ref="E23:F23"/>
    <mergeCell ref="E32:F32"/>
    <mergeCell ref="E37:F37"/>
    <mergeCell ref="E45:F45"/>
    <mergeCell ref="E46:F46"/>
    <mergeCell ref="E90:F90"/>
    <mergeCell ref="A1:F1"/>
    <mergeCell ref="A2:F2"/>
    <mergeCell ref="A3:F3"/>
    <mergeCell ref="A4:F4"/>
    <mergeCell ref="F12:F16"/>
    <mergeCell ref="E5:F5"/>
    <mergeCell ref="E8:F10"/>
    <mergeCell ref="E84:F84"/>
    <mergeCell ref="E86:F86"/>
    <mergeCell ref="E87:F87"/>
    <mergeCell ref="E88:F88"/>
    <mergeCell ref="E89:F89"/>
    <mergeCell ref="E51:F51"/>
    <mergeCell ref="E57:F57"/>
    <mergeCell ref="E59:F59"/>
  </mergeCells>
  <phoneticPr fontId="5" type="noConversion"/>
  <printOptions horizontalCentered="1"/>
  <pageMargins left="0.59055118110236227" right="0.59055118110236227" top="0.59055118110236227" bottom="0.78740157480314965" header="0.51181102362204722" footer="0.51181102362204722"/>
  <pageSetup paperSize="9" firstPageNumber="77" fitToHeight="0" orientation="portrait" useFirstPageNumber="1" r:id="rId1"/>
  <headerFooter alignWithMargins="0">
    <oddFooter>&amp;C&amp;"Times New Roman,標準"&amp;P</oddFooter>
  </headerFooter>
  <rowBreaks count="11" manualBreakCount="11">
    <brk id="29" max="16383" man="1"/>
    <brk id="56" max="16383" man="1"/>
    <brk id="84" max="16383" man="1"/>
    <brk id="103" max="5" man="1"/>
    <brk id="125" max="5" man="1"/>
    <brk id="143" max="5" man="1"/>
    <brk id="159" max="16383" man="1"/>
    <brk id="184" max="5" man="1"/>
    <brk id="208" max="5" man="1"/>
    <brk id="232" max="5" man="1"/>
    <brk id="250" max="5" man="1"/>
  </row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21"/>
  <dimension ref="A1:G30"/>
  <sheetViews>
    <sheetView showGridLines="0" view="pageBreakPreview" zoomScaleNormal="100" zoomScaleSheetLayoutView="100" workbookViewId="0">
      <selection activeCell="D7" sqref="D7"/>
    </sheetView>
  </sheetViews>
  <sheetFormatPr defaultColWidth="12" defaultRowHeight="20.3"/>
  <cols>
    <col min="1" max="1" width="36.375" style="158" customWidth="1"/>
    <col min="2" max="2" width="10.75" style="158" customWidth="1"/>
    <col min="3" max="4" width="11.5" style="158" customWidth="1"/>
    <col min="5" max="5" width="20" style="158" customWidth="1"/>
    <col min="6" max="10" width="12" style="158" customWidth="1"/>
    <col min="11" max="11" width="11.5" style="158" customWidth="1"/>
    <col min="12" max="16384" width="12" style="158"/>
  </cols>
  <sheetData>
    <row r="1" spans="1:7" s="2" customFormat="1" ht="22.25">
      <c r="A1" s="1266" t="s">
        <v>59</v>
      </c>
      <c r="B1" s="1266"/>
      <c r="C1" s="1266"/>
      <c r="D1" s="1266"/>
      <c r="E1" s="1266"/>
    </row>
    <row r="2" spans="1:7" s="2" customFormat="1" ht="22.25">
      <c r="A2" s="1266" t="s">
        <v>60</v>
      </c>
      <c r="B2" s="1266"/>
      <c r="C2" s="1266"/>
      <c r="D2" s="1266"/>
      <c r="E2" s="1266"/>
    </row>
    <row r="3" spans="1:7" s="2" customFormat="1" ht="24.75" customHeight="1">
      <c r="A3" s="1267" t="s">
        <v>1722</v>
      </c>
      <c r="B3" s="1268"/>
      <c r="C3" s="1268"/>
      <c r="D3" s="1268"/>
      <c r="E3" s="1268"/>
    </row>
    <row r="4" spans="1:7" s="2" customFormat="1" ht="24.75" customHeight="1" thickBot="1">
      <c r="A4" s="1316" t="s">
        <v>1741</v>
      </c>
      <c r="B4" s="1287"/>
      <c r="C4" s="1287"/>
      <c r="D4" s="1287"/>
      <c r="E4" s="1287"/>
    </row>
    <row r="5" spans="1:7" s="435" customFormat="1" ht="52.55" customHeight="1">
      <c r="A5" s="430" t="s">
        <v>130</v>
      </c>
      <c r="B5" s="431" t="s">
        <v>131</v>
      </c>
      <c r="C5" s="432" t="s">
        <v>132</v>
      </c>
      <c r="D5" s="433" t="s">
        <v>133</v>
      </c>
      <c r="E5" s="434" t="s">
        <v>134</v>
      </c>
    </row>
    <row r="6" spans="1:7" s="422" customFormat="1" ht="7.2" customHeight="1">
      <c r="A6" s="421"/>
      <c r="B6" s="159"/>
      <c r="C6" s="160"/>
      <c r="D6" s="160"/>
      <c r="E6" s="161"/>
    </row>
    <row r="7" spans="1:7" s="242" customFormat="1" ht="28.15" customHeight="1">
      <c r="A7" s="983" t="s">
        <v>1010</v>
      </c>
      <c r="B7" s="115"/>
      <c r="C7" s="213"/>
      <c r="D7" s="213">
        <f>D8</f>
        <v>15886</v>
      </c>
      <c r="E7" s="1595"/>
    </row>
    <row r="8" spans="1:7" s="235" customFormat="1" ht="24.05" customHeight="1">
      <c r="A8" s="236" t="s">
        <v>41</v>
      </c>
      <c r="B8" s="62"/>
      <c r="C8" s="203"/>
      <c r="D8" s="204">
        <f>SUM(D9,D10,D11,D16,D19,D20,D21,D22,D23,D24)</f>
        <v>15886</v>
      </c>
      <c r="E8" s="1596"/>
    </row>
    <row r="9" spans="1:7" s="215" customFormat="1" ht="29.95" customHeight="1">
      <c r="A9" s="461" t="s">
        <v>735</v>
      </c>
      <c r="B9" s="206">
        <v>8</v>
      </c>
      <c r="C9" s="206">
        <v>520000</v>
      </c>
      <c r="D9" s="206">
        <v>4160</v>
      </c>
      <c r="E9" s="986" t="s">
        <v>1132</v>
      </c>
      <c r="G9" s="940">
        <f t="shared" ref="G9:G24" si="0">B9*C9/1000-D9</f>
        <v>0</v>
      </c>
    </row>
    <row r="10" spans="1:7" s="215" customFormat="1" ht="29.95" customHeight="1">
      <c r="A10" s="240" t="s">
        <v>42</v>
      </c>
      <c r="B10" s="206">
        <v>4</v>
      </c>
      <c r="C10" s="206">
        <v>720000</v>
      </c>
      <c r="D10" s="206">
        <v>2880</v>
      </c>
      <c r="E10" s="986" t="s">
        <v>1133</v>
      </c>
      <c r="G10" s="940">
        <f t="shared" si="0"/>
        <v>0</v>
      </c>
    </row>
    <row r="11" spans="1:7" s="215" customFormat="1" ht="29.95" customHeight="1">
      <c r="A11" s="46" t="s">
        <v>43</v>
      </c>
      <c r="B11" s="206"/>
      <c r="C11" s="206"/>
      <c r="D11" s="206">
        <f>SUM(D12:D15)</f>
        <v>161</v>
      </c>
      <c r="E11" s="239"/>
      <c r="G11" s="940"/>
    </row>
    <row r="12" spans="1:7" s="215" customFormat="1" ht="46.15" customHeight="1">
      <c r="A12" s="292" t="s">
        <v>50</v>
      </c>
      <c r="B12" s="206">
        <v>8</v>
      </c>
      <c r="C12" s="206">
        <v>8700</v>
      </c>
      <c r="D12" s="206">
        <v>70</v>
      </c>
      <c r="E12" s="986" t="s">
        <v>1134</v>
      </c>
      <c r="G12" s="940">
        <f t="shared" si="0"/>
        <v>-0.40000000000000568</v>
      </c>
    </row>
    <row r="13" spans="1:7" s="215" customFormat="1" ht="42.05" customHeight="1">
      <c r="A13" s="46" t="s">
        <v>51</v>
      </c>
      <c r="B13" s="206">
        <v>8</v>
      </c>
      <c r="C13" s="206">
        <v>6200</v>
      </c>
      <c r="D13" s="206">
        <v>50</v>
      </c>
      <c r="E13" s="986" t="s">
        <v>1134</v>
      </c>
      <c r="G13" s="940">
        <f t="shared" si="0"/>
        <v>-0.39999999999999858</v>
      </c>
    </row>
    <row r="14" spans="1:7" s="215" customFormat="1" ht="42.05" customHeight="1">
      <c r="A14" s="46" t="s">
        <v>52</v>
      </c>
      <c r="B14" s="206">
        <v>8</v>
      </c>
      <c r="C14" s="206">
        <v>3200</v>
      </c>
      <c r="D14" s="206">
        <v>26</v>
      </c>
      <c r="E14" s="986" t="s">
        <v>1134</v>
      </c>
      <c r="G14" s="940">
        <f t="shared" si="0"/>
        <v>-0.39999999999999858</v>
      </c>
    </row>
    <row r="15" spans="1:7" s="215" customFormat="1" ht="47.95" customHeight="1">
      <c r="A15" s="46" t="s">
        <v>53</v>
      </c>
      <c r="B15" s="206">
        <v>8</v>
      </c>
      <c r="C15" s="206">
        <v>1900</v>
      </c>
      <c r="D15" s="206">
        <v>15</v>
      </c>
      <c r="E15" s="986" t="s">
        <v>1134</v>
      </c>
      <c r="G15" s="940">
        <f t="shared" si="0"/>
        <v>0.19999999999999929</v>
      </c>
    </row>
    <row r="16" spans="1:7" s="215" customFormat="1" ht="29.95" customHeight="1">
      <c r="A16" s="46" t="s">
        <v>736</v>
      </c>
      <c r="B16" s="60"/>
      <c r="C16" s="205"/>
      <c r="D16" s="206">
        <f>SUM(D17:D18)</f>
        <v>2756</v>
      </c>
      <c r="E16" s="239"/>
      <c r="G16" s="940"/>
    </row>
    <row r="17" spans="1:7" s="215" customFormat="1" ht="43.2" customHeight="1">
      <c r="A17" s="46" t="s">
        <v>54</v>
      </c>
      <c r="B17" s="206">
        <v>160</v>
      </c>
      <c r="C17" s="206">
        <v>8700</v>
      </c>
      <c r="D17" s="206">
        <v>1392</v>
      </c>
      <c r="E17" s="986" t="s">
        <v>1135</v>
      </c>
      <c r="G17" s="940">
        <f t="shared" si="0"/>
        <v>0</v>
      </c>
    </row>
    <row r="18" spans="1:7" s="215" customFormat="1" ht="43.2" customHeight="1">
      <c r="A18" s="46" t="s">
        <v>55</v>
      </c>
      <c r="B18" s="206">
        <v>220</v>
      </c>
      <c r="C18" s="206">
        <v>6200</v>
      </c>
      <c r="D18" s="206">
        <v>1364</v>
      </c>
      <c r="E18" s="986" t="s">
        <v>1136</v>
      </c>
      <c r="G18" s="940">
        <f t="shared" si="0"/>
        <v>0</v>
      </c>
    </row>
    <row r="19" spans="1:7" s="215" customFormat="1" ht="32.4" customHeight="1">
      <c r="A19" s="46" t="s">
        <v>44</v>
      </c>
      <c r="B19" s="206">
        <v>1</v>
      </c>
      <c r="C19" s="206">
        <v>14800</v>
      </c>
      <c r="D19" s="206">
        <v>15</v>
      </c>
      <c r="E19" s="986" t="s">
        <v>1137</v>
      </c>
      <c r="G19" s="940">
        <f t="shared" si="0"/>
        <v>-0.19999999999999929</v>
      </c>
    </row>
    <row r="20" spans="1:7" s="215" customFormat="1" ht="31.95" customHeight="1">
      <c r="A20" s="46" t="s">
        <v>45</v>
      </c>
      <c r="B20" s="206">
        <v>3</v>
      </c>
      <c r="C20" s="206">
        <v>18000</v>
      </c>
      <c r="D20" s="206">
        <v>54</v>
      </c>
      <c r="E20" s="986" t="s">
        <v>1138</v>
      </c>
      <c r="G20" s="940">
        <f t="shared" si="0"/>
        <v>0</v>
      </c>
    </row>
    <row r="21" spans="1:7" s="215" customFormat="1" ht="31.95" customHeight="1">
      <c r="A21" s="46" t="s">
        <v>46</v>
      </c>
      <c r="B21" s="206">
        <v>150</v>
      </c>
      <c r="C21" s="206">
        <v>12400</v>
      </c>
      <c r="D21" s="206">
        <v>1860</v>
      </c>
      <c r="E21" s="986" t="s">
        <v>1139</v>
      </c>
      <c r="G21" s="940">
        <f t="shared" si="0"/>
        <v>0</v>
      </c>
    </row>
    <row r="22" spans="1:7" s="215" customFormat="1" ht="27.65" customHeight="1">
      <c r="A22" s="46" t="s">
        <v>47</v>
      </c>
      <c r="B22" s="206">
        <v>40</v>
      </c>
      <c r="C22" s="206">
        <v>100000</v>
      </c>
      <c r="D22" s="206">
        <v>4000</v>
      </c>
      <c r="E22" s="986" t="s">
        <v>1140</v>
      </c>
      <c r="G22" s="940">
        <f t="shared" si="0"/>
        <v>0</v>
      </c>
    </row>
    <row r="23" spans="1:7" s="215" customFormat="1" ht="29.95" hidden="1" customHeight="1">
      <c r="A23" s="46" t="s">
        <v>48</v>
      </c>
      <c r="B23" s="206">
        <v>0</v>
      </c>
      <c r="C23" s="206">
        <v>2500</v>
      </c>
      <c r="D23" s="206">
        <v>0</v>
      </c>
      <c r="E23" s="986" t="s">
        <v>1131</v>
      </c>
      <c r="G23" s="940">
        <f t="shared" si="0"/>
        <v>0</v>
      </c>
    </row>
    <row r="24" spans="1:7" s="215" customFormat="1" ht="24.05" hidden="1" customHeight="1" thickBot="1">
      <c r="A24" s="223" t="s">
        <v>49</v>
      </c>
      <c r="B24" s="229">
        <v>0</v>
      </c>
      <c r="C24" s="229">
        <v>10000</v>
      </c>
      <c r="D24" s="229">
        <v>0</v>
      </c>
      <c r="E24" s="986" t="s">
        <v>1131</v>
      </c>
      <c r="G24" s="940">
        <f t="shared" si="0"/>
        <v>0</v>
      </c>
    </row>
    <row r="25" spans="1:7" s="235" customFormat="1" ht="18" customHeight="1">
      <c r="A25" s="984"/>
      <c r="B25" s="62"/>
      <c r="C25" s="203"/>
      <c r="D25" s="206"/>
      <c r="E25" s="241"/>
    </row>
    <row r="26" spans="1:7" s="235" customFormat="1" ht="18" customHeight="1">
      <c r="A26" s="984"/>
      <c r="B26" s="62"/>
      <c r="C26" s="203"/>
      <c r="D26" s="206"/>
      <c r="E26" s="241"/>
    </row>
    <row r="27" spans="1:7" s="215" customFormat="1" ht="20.95" customHeight="1" thickBot="1">
      <c r="A27" s="223"/>
      <c r="B27" s="229"/>
      <c r="C27" s="229"/>
      <c r="D27" s="229"/>
      <c r="E27" s="325"/>
      <c r="G27" s="940"/>
    </row>
    <row r="30" spans="1:7">
      <c r="A30" s="423"/>
    </row>
  </sheetData>
  <mergeCells count="5">
    <mergeCell ref="A1:E1"/>
    <mergeCell ref="A2:E2"/>
    <mergeCell ref="A3:E3"/>
    <mergeCell ref="A4:E4"/>
    <mergeCell ref="E7:E8"/>
  </mergeCells>
  <phoneticPr fontId="22" type="noConversion"/>
  <printOptions horizontalCentered="1"/>
  <pageMargins left="0.59055118110236227" right="0.59055118110236227" top="0.59055118110236227" bottom="0.78740157480314965" header="0.51181102362204722" footer="0.51181102362204722"/>
  <pageSetup paperSize="9" firstPageNumber="88" orientation="portrait" useFirstPageNumber="1" r:id="rId1"/>
  <headerFooter alignWithMargins="0">
    <oddFooter>&amp;C&amp;"Times New Roman,標準"&amp;P</oddFooter>
  </headerFooter>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G55"/>
  <sheetViews>
    <sheetView showGridLines="0" view="pageBreakPreview" zoomScaleNormal="100" zoomScaleSheetLayoutView="100" workbookViewId="0">
      <selection activeCell="L13" sqref="L13"/>
    </sheetView>
  </sheetViews>
  <sheetFormatPr defaultColWidth="12" defaultRowHeight="20.3"/>
  <cols>
    <col min="1" max="1" width="36.375" style="158" customWidth="1"/>
    <col min="2" max="2" width="10.75" style="158" customWidth="1"/>
    <col min="3" max="4" width="11.5" style="158" customWidth="1"/>
    <col min="5" max="5" width="20" style="158" customWidth="1"/>
    <col min="6" max="10" width="12" style="158" customWidth="1"/>
    <col min="11" max="11" width="11.5" style="158" customWidth="1"/>
    <col min="12" max="16384" width="12" style="158"/>
  </cols>
  <sheetData>
    <row r="1" spans="1:7" s="2" customFormat="1" ht="22.25">
      <c r="A1" s="1266" t="s">
        <v>59</v>
      </c>
      <c r="B1" s="1266"/>
      <c r="C1" s="1266"/>
      <c r="D1" s="1266"/>
      <c r="E1" s="1266"/>
    </row>
    <row r="2" spans="1:7" s="2" customFormat="1" ht="22.25">
      <c r="A2" s="1266" t="s">
        <v>60</v>
      </c>
      <c r="B2" s="1266"/>
      <c r="C2" s="1266"/>
      <c r="D2" s="1266"/>
      <c r="E2" s="1266"/>
    </row>
    <row r="3" spans="1:7" s="2" customFormat="1" ht="24.75" customHeight="1">
      <c r="A3" s="1267" t="s">
        <v>1723</v>
      </c>
      <c r="B3" s="1268"/>
      <c r="C3" s="1268"/>
      <c r="D3" s="1268"/>
      <c r="E3" s="1268"/>
    </row>
    <row r="4" spans="1:7" s="2" customFormat="1" ht="24.75" customHeight="1" thickBot="1">
      <c r="A4" s="1316" t="s">
        <v>1766</v>
      </c>
      <c r="B4" s="1287"/>
      <c r="C4" s="1287"/>
      <c r="D4" s="1287"/>
      <c r="E4" s="1287"/>
    </row>
    <row r="5" spans="1:7" s="435" customFormat="1" ht="52.55" customHeight="1">
      <c r="A5" s="430" t="s">
        <v>130</v>
      </c>
      <c r="B5" s="431" t="s">
        <v>131</v>
      </c>
      <c r="C5" s="432" t="s">
        <v>132</v>
      </c>
      <c r="D5" s="433" t="s">
        <v>133</v>
      </c>
      <c r="E5" s="434" t="s">
        <v>134</v>
      </c>
    </row>
    <row r="6" spans="1:7" s="422" customFormat="1" ht="7.2" customHeight="1">
      <c r="A6" s="421"/>
      <c r="B6" s="159"/>
      <c r="C6" s="160"/>
      <c r="D6" s="160"/>
      <c r="E6" s="161"/>
    </row>
    <row r="7" spans="1:7" s="242" customFormat="1" ht="27.65" customHeight="1">
      <c r="A7" s="1026" t="s">
        <v>1027</v>
      </c>
      <c r="B7" s="115"/>
      <c r="C7" s="213"/>
      <c r="D7" s="213">
        <f>D8+D32+D35+D30+D31</f>
        <v>983796</v>
      </c>
      <c r="E7" s="1595"/>
    </row>
    <row r="8" spans="1:7" s="242" customFormat="1" ht="22.25" customHeight="1">
      <c r="A8" s="984" t="s">
        <v>1011</v>
      </c>
      <c r="B8" s="115"/>
      <c r="C8" s="213"/>
      <c r="D8" s="206">
        <f>SUM(D9,D11,D16,D21,D25)</f>
        <v>172765</v>
      </c>
      <c r="E8" s="1596"/>
    </row>
    <row r="9" spans="1:7" s="215" customFormat="1" ht="25.2" customHeight="1">
      <c r="A9" s="990" t="s">
        <v>1142</v>
      </c>
      <c r="B9" s="206"/>
      <c r="C9" s="206"/>
      <c r="D9" s="206">
        <f>SUM(D10:D10)</f>
        <v>5450</v>
      </c>
      <c r="E9" s="986"/>
      <c r="G9" s="987">
        <f>B9*C9/1000</f>
        <v>0</v>
      </c>
    </row>
    <row r="10" spans="1:7" s="215" customFormat="1" ht="56" customHeight="1">
      <c r="A10" s="985" t="s">
        <v>1200</v>
      </c>
      <c r="B10" s="206"/>
      <c r="C10" s="206"/>
      <c r="D10" s="206">
        <v>5450</v>
      </c>
      <c r="E10" s="986"/>
      <c r="G10" s="987">
        <f t="shared" ref="G10:G20" si="0">B10*C10/1000</f>
        <v>0</v>
      </c>
    </row>
    <row r="11" spans="1:7" s="215" customFormat="1" ht="23.4" customHeight="1">
      <c r="A11" s="990" t="s">
        <v>1125</v>
      </c>
      <c r="B11" s="206"/>
      <c r="C11" s="206"/>
      <c r="D11" s="206">
        <f>SUM(D12:D15)</f>
        <v>59740</v>
      </c>
      <c r="E11" s="986"/>
      <c r="G11" s="987">
        <f t="shared" si="0"/>
        <v>0</v>
      </c>
    </row>
    <row r="12" spans="1:7" s="215" customFormat="1" ht="49.1">
      <c r="A12" s="985" t="s">
        <v>1012</v>
      </c>
      <c r="B12" s="206"/>
      <c r="C12" s="206"/>
      <c r="D12" s="206">
        <v>11050</v>
      </c>
      <c r="E12" s="986"/>
      <c r="G12" s="987">
        <f t="shared" si="0"/>
        <v>0</v>
      </c>
    </row>
    <row r="13" spans="1:7" s="215" customFormat="1" ht="33.049999999999997" customHeight="1">
      <c r="A13" s="985" t="s">
        <v>1013</v>
      </c>
      <c r="B13" s="60"/>
      <c r="C13" s="205"/>
      <c r="D13" s="206">
        <v>5030</v>
      </c>
      <c r="E13" s="239"/>
      <c r="G13" s="987">
        <f t="shared" si="0"/>
        <v>0</v>
      </c>
    </row>
    <row r="14" spans="1:7" s="215" customFormat="1" ht="51.55" customHeight="1">
      <c r="A14" s="985" t="s">
        <v>1122</v>
      </c>
      <c r="B14" s="206"/>
      <c r="C14" s="206"/>
      <c r="D14" s="1027">
        <v>36700</v>
      </c>
      <c r="E14" s="986"/>
      <c r="G14" s="987">
        <f t="shared" si="0"/>
        <v>0</v>
      </c>
    </row>
    <row r="15" spans="1:7" s="215" customFormat="1" ht="22.25" customHeight="1">
      <c r="A15" s="985" t="s">
        <v>1014</v>
      </c>
      <c r="B15" s="206"/>
      <c r="C15" s="206"/>
      <c r="D15" s="206">
        <v>6960</v>
      </c>
      <c r="E15" s="986"/>
      <c r="G15" s="987">
        <f t="shared" si="0"/>
        <v>0</v>
      </c>
    </row>
    <row r="16" spans="1:7" s="215" customFormat="1" ht="25.2" customHeight="1">
      <c r="A16" s="990" t="s">
        <v>1126</v>
      </c>
      <c r="B16" s="206"/>
      <c r="C16" s="206"/>
      <c r="D16" s="206">
        <f>SUM(D17:D20)</f>
        <v>43425</v>
      </c>
      <c r="E16" s="986"/>
      <c r="G16" s="987">
        <f t="shared" si="0"/>
        <v>0</v>
      </c>
    </row>
    <row r="17" spans="1:7" s="215" customFormat="1" ht="32.75">
      <c r="A17" s="985" t="s">
        <v>1015</v>
      </c>
      <c r="B17" s="206"/>
      <c r="C17" s="206"/>
      <c r="D17" s="206">
        <v>2985</v>
      </c>
      <c r="E17" s="986"/>
      <c r="G17" s="987">
        <f t="shared" si="0"/>
        <v>0</v>
      </c>
    </row>
    <row r="18" spans="1:7" s="215" customFormat="1" ht="32.75">
      <c r="A18" s="985" t="s">
        <v>1016</v>
      </c>
      <c r="B18" s="206"/>
      <c r="C18" s="206"/>
      <c r="D18" s="206">
        <v>8985</v>
      </c>
      <c r="E18" s="986"/>
      <c r="G18" s="987">
        <f t="shared" si="0"/>
        <v>0</v>
      </c>
    </row>
    <row r="19" spans="1:7" s="215" customFormat="1" ht="22.95" customHeight="1">
      <c r="A19" s="985" t="s">
        <v>1017</v>
      </c>
      <c r="B19" s="206"/>
      <c r="C19" s="206"/>
      <c r="D19" s="206">
        <v>1985</v>
      </c>
      <c r="E19" s="986"/>
      <c r="G19" s="987">
        <f t="shared" si="0"/>
        <v>0</v>
      </c>
    </row>
    <row r="20" spans="1:7" s="215" customFormat="1" ht="49.1">
      <c r="A20" s="985" t="s">
        <v>1018</v>
      </c>
      <c r="B20" s="206"/>
      <c r="C20" s="206"/>
      <c r="D20" s="206">
        <v>29470</v>
      </c>
      <c r="E20" s="986"/>
      <c r="G20" s="987">
        <f t="shared" si="0"/>
        <v>0</v>
      </c>
    </row>
    <row r="21" spans="1:7" s="215" customFormat="1" ht="24.55" customHeight="1">
      <c r="A21" s="990" t="s">
        <v>1019</v>
      </c>
      <c r="B21" s="206"/>
      <c r="C21" s="206"/>
      <c r="D21" s="206">
        <f>SUM(D22:D24)</f>
        <v>30796</v>
      </c>
      <c r="E21" s="986"/>
    </row>
    <row r="22" spans="1:7" s="988" customFormat="1" ht="32.75">
      <c r="A22" s="985" t="s">
        <v>1020</v>
      </c>
      <c r="B22" s="206"/>
      <c r="C22" s="206"/>
      <c r="D22" s="206">
        <v>20296</v>
      </c>
      <c r="E22" s="986"/>
    </row>
    <row r="23" spans="1:7" s="988" customFormat="1" ht="32.75">
      <c r="A23" s="985" t="s">
        <v>1119</v>
      </c>
      <c r="B23" s="206"/>
      <c r="C23" s="206"/>
      <c r="D23" s="206">
        <f>5250-1000</f>
        <v>4250</v>
      </c>
      <c r="E23" s="986"/>
    </row>
    <row r="24" spans="1:7" s="988" customFormat="1" ht="32.75">
      <c r="A24" s="1028" t="s">
        <v>1116</v>
      </c>
      <c r="B24" s="206"/>
      <c r="C24" s="206"/>
      <c r="D24" s="206">
        <v>6250</v>
      </c>
      <c r="E24" s="986"/>
    </row>
    <row r="25" spans="1:7" s="988" customFormat="1" ht="22.25" customHeight="1" thickBot="1">
      <c r="A25" s="1035" t="s">
        <v>1127</v>
      </c>
      <c r="B25" s="229"/>
      <c r="C25" s="229"/>
      <c r="D25" s="229">
        <f>SUM(D26:D29)</f>
        <v>33354</v>
      </c>
      <c r="E25" s="989"/>
    </row>
    <row r="26" spans="1:7" s="988" customFormat="1" ht="38" customHeight="1">
      <c r="A26" s="985" t="s">
        <v>1021</v>
      </c>
      <c r="B26" s="206"/>
      <c r="C26" s="206"/>
      <c r="D26" s="206">
        <v>11720</v>
      </c>
      <c r="E26" s="986"/>
    </row>
    <row r="27" spans="1:7" s="988" customFormat="1" ht="32.75">
      <c r="A27" s="985" t="s">
        <v>1022</v>
      </c>
      <c r="B27" s="206"/>
      <c r="C27" s="206"/>
      <c r="D27" s="206">
        <v>11334</v>
      </c>
      <c r="E27" s="986"/>
    </row>
    <row r="28" spans="1:7" s="988" customFormat="1" ht="22.25">
      <c r="A28" s="985" t="s">
        <v>1023</v>
      </c>
      <c r="B28" s="206"/>
      <c r="C28" s="206"/>
      <c r="D28" s="206">
        <v>3900</v>
      </c>
      <c r="E28" s="986"/>
    </row>
    <row r="29" spans="1:7" s="988" customFormat="1" ht="32.75">
      <c r="A29" s="1028" t="s">
        <v>1120</v>
      </c>
      <c r="B29" s="206"/>
      <c r="C29" s="206"/>
      <c r="D29" s="206">
        <v>6400</v>
      </c>
      <c r="E29" s="986"/>
    </row>
    <row r="30" spans="1:7" s="988" customFormat="1" ht="25.2" customHeight="1">
      <c r="A30" s="984" t="s">
        <v>1029</v>
      </c>
      <c r="B30" s="206">
        <v>248000</v>
      </c>
      <c r="C30" s="991">
        <v>1052</v>
      </c>
      <c r="D30" s="206">
        <v>260896</v>
      </c>
      <c r="E30" s="986"/>
      <c r="G30" s="940">
        <f>B30*C30/1000-D30</f>
        <v>0</v>
      </c>
    </row>
    <row r="31" spans="1:7" s="988" customFormat="1" ht="40.950000000000003" customHeight="1">
      <c r="A31" s="984" t="s">
        <v>1143</v>
      </c>
      <c r="B31" s="206"/>
      <c r="C31" s="991"/>
      <c r="D31" s="206">
        <v>39231</v>
      </c>
      <c r="E31" s="986"/>
    </row>
    <row r="32" spans="1:7" s="988" customFormat="1" ht="25.2" customHeight="1">
      <c r="A32" s="984" t="s">
        <v>1024</v>
      </c>
      <c r="B32" s="206"/>
      <c r="C32" s="206"/>
      <c r="D32" s="206">
        <f>SUM(D33:D34)</f>
        <v>360904</v>
      </c>
      <c r="E32" s="986"/>
    </row>
    <row r="33" spans="1:7" s="988" customFormat="1" ht="22.25">
      <c r="A33" s="990" t="s">
        <v>1025</v>
      </c>
      <c r="B33" s="206"/>
      <c r="C33" s="206"/>
      <c r="D33" s="206">
        <v>97429</v>
      </c>
      <c r="E33" s="986"/>
    </row>
    <row r="34" spans="1:7" s="988" customFormat="1" ht="22.25">
      <c r="A34" s="990" t="s">
        <v>1026</v>
      </c>
      <c r="B34" s="206"/>
      <c r="C34" s="206"/>
      <c r="D34" s="206">
        <v>263475</v>
      </c>
      <c r="E34" s="986"/>
    </row>
    <row r="35" spans="1:7" s="235" customFormat="1" ht="22.25" customHeight="1">
      <c r="A35" s="984" t="s">
        <v>1124</v>
      </c>
      <c r="B35" s="62"/>
      <c r="C35" s="203"/>
      <c r="D35" s="206">
        <v>150000</v>
      </c>
      <c r="E35" s="241"/>
      <c r="G35" s="940"/>
    </row>
    <row r="36" spans="1:7" s="235" customFormat="1" ht="19.5" customHeight="1">
      <c r="A36" s="984"/>
      <c r="B36" s="62"/>
      <c r="C36" s="203"/>
      <c r="D36" s="206"/>
      <c r="E36" s="241"/>
    </row>
    <row r="37" spans="1:7" s="235" customFormat="1" ht="19.5" customHeight="1">
      <c r="A37" s="984"/>
      <c r="B37" s="62"/>
      <c r="C37" s="203"/>
      <c r="D37" s="206"/>
      <c r="E37" s="241"/>
    </row>
    <row r="38" spans="1:7" s="235" customFormat="1" ht="19.5" customHeight="1">
      <c r="A38" s="984"/>
      <c r="B38" s="62"/>
      <c r="C38" s="203"/>
      <c r="D38" s="206"/>
      <c r="E38" s="241"/>
    </row>
    <row r="39" spans="1:7" s="235" customFormat="1" ht="19.5" customHeight="1">
      <c r="A39" s="984"/>
      <c r="B39" s="62"/>
      <c r="C39" s="203"/>
      <c r="D39" s="206"/>
      <c r="E39" s="241"/>
    </row>
    <row r="40" spans="1:7" s="235" customFormat="1" ht="19.5" customHeight="1">
      <c r="A40" s="984"/>
      <c r="B40" s="62"/>
      <c r="C40" s="203"/>
      <c r="D40" s="206"/>
      <c r="E40" s="241"/>
    </row>
    <row r="41" spans="1:7" s="235" customFormat="1" ht="19.5" customHeight="1">
      <c r="A41" s="984"/>
      <c r="B41" s="62"/>
      <c r="C41" s="203"/>
      <c r="D41" s="206"/>
      <c r="E41" s="241"/>
    </row>
    <row r="42" spans="1:7" s="235" customFormat="1" ht="19.5" customHeight="1">
      <c r="A42" s="984"/>
      <c r="B42" s="62"/>
      <c r="C42" s="203"/>
      <c r="D42" s="206"/>
      <c r="E42" s="241"/>
    </row>
    <row r="43" spans="1:7" s="235" customFormat="1" ht="19.5" customHeight="1">
      <c r="A43" s="984"/>
      <c r="B43" s="62"/>
      <c r="C43" s="203"/>
      <c r="D43" s="206"/>
      <c r="E43" s="241"/>
    </row>
    <row r="44" spans="1:7" s="235" customFormat="1" ht="19.5" customHeight="1">
      <c r="A44" s="984"/>
      <c r="B44" s="62"/>
      <c r="C44" s="203"/>
      <c r="D44" s="206"/>
      <c r="E44" s="241"/>
    </row>
    <row r="45" spans="1:7" s="235" customFormat="1" ht="19.5" customHeight="1">
      <c r="A45" s="984"/>
      <c r="B45" s="62"/>
      <c r="C45" s="203"/>
      <c r="D45" s="206"/>
      <c r="E45" s="241"/>
    </row>
    <row r="46" spans="1:7" s="235" customFormat="1" ht="19.5" customHeight="1">
      <c r="A46" s="984"/>
      <c r="B46" s="62"/>
      <c r="C46" s="203"/>
      <c r="D46" s="206"/>
      <c r="E46" s="241"/>
    </row>
    <row r="47" spans="1:7" s="235" customFormat="1" ht="20.95" customHeight="1">
      <c r="A47" s="984"/>
      <c r="B47" s="62"/>
      <c r="C47" s="203"/>
      <c r="D47" s="206"/>
      <c r="E47" s="241"/>
    </row>
    <row r="48" spans="1:7" s="235" customFormat="1" ht="18" customHeight="1">
      <c r="A48" s="984"/>
      <c r="B48" s="62"/>
      <c r="C48" s="203"/>
      <c r="D48" s="206"/>
      <c r="E48" s="241"/>
    </row>
    <row r="49" spans="1:7" s="235" customFormat="1" ht="20.95" customHeight="1">
      <c r="A49" s="984"/>
      <c r="B49" s="62"/>
      <c r="C49" s="203"/>
      <c r="D49" s="206"/>
      <c r="E49" s="241"/>
    </row>
    <row r="50" spans="1:7" s="235" customFormat="1" ht="20.45" customHeight="1">
      <c r="A50" s="984"/>
      <c r="B50" s="62"/>
      <c r="C50" s="203"/>
      <c r="D50" s="206"/>
      <c r="E50" s="241"/>
    </row>
    <row r="51" spans="1:7" s="235" customFormat="1" ht="21.6" customHeight="1">
      <c r="A51" s="984"/>
      <c r="B51" s="62"/>
      <c r="C51" s="203"/>
      <c r="D51" s="206"/>
      <c r="E51" s="241"/>
    </row>
    <row r="52" spans="1:7" s="215" customFormat="1" ht="18.649999999999999" customHeight="1" thickBot="1">
      <c r="A52" s="223"/>
      <c r="B52" s="229"/>
      <c r="C52" s="229"/>
      <c r="D52" s="229"/>
      <c r="E52" s="325"/>
      <c r="G52" s="940"/>
    </row>
    <row r="55" spans="1:7">
      <c r="A55" s="423"/>
    </row>
  </sheetData>
  <mergeCells count="5">
    <mergeCell ref="A1:E1"/>
    <mergeCell ref="A2:E2"/>
    <mergeCell ref="A3:E3"/>
    <mergeCell ref="A4:E4"/>
    <mergeCell ref="E7:E8"/>
  </mergeCells>
  <phoneticPr fontId="5" type="noConversion"/>
  <printOptions horizontalCentered="1"/>
  <pageMargins left="0.59055118110236227" right="0.59055118110236227" top="0.59055118110236227" bottom="0.78740157480314965" header="0.51181102362204722" footer="0.51181102362204722"/>
  <pageSetup paperSize="9" firstPageNumber="89" orientation="portrait" useFirstPageNumber="1" r:id="rId1"/>
  <headerFooter alignWithMargins="0">
    <oddFooter>&amp;C&amp;"Times New Roman,標準"&amp;P</oddFooter>
  </headerFooter>
  <rowBreaks count="1" manualBreakCount="1">
    <brk id="25" max="4" man="1"/>
  </rowBreaks>
  <legacyDrawing r:id="rId2"/>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N99"/>
  <sheetViews>
    <sheetView view="pageBreakPreview" zoomScaleNormal="100" zoomScaleSheetLayoutView="100" workbookViewId="0">
      <selection activeCell="D25" sqref="D25"/>
    </sheetView>
  </sheetViews>
  <sheetFormatPr defaultColWidth="9" defaultRowHeight="16.399999999999999"/>
  <cols>
    <col min="1" max="1" width="11.25" style="2" customWidth="1"/>
    <col min="2" max="2" width="6.5" style="157" customWidth="1"/>
    <col min="3" max="3" width="17.875" style="594" customWidth="1"/>
    <col min="4" max="4" width="10.875" style="156" customWidth="1"/>
    <col min="5" max="5" width="7.625" style="719" customWidth="1"/>
    <col min="6" max="6" width="10.75" style="2" customWidth="1"/>
    <col min="7" max="7" width="7.125" style="157" customWidth="1"/>
    <col min="8" max="8" width="10.5" style="2" customWidth="1"/>
    <col min="9" max="9" width="7.625" style="157" customWidth="1"/>
    <col min="10" max="10" width="9" style="2" customWidth="1"/>
    <col min="11" max="13" width="10.375" style="2" hidden="1" customWidth="1"/>
    <col min="14" max="16384" width="9" style="2"/>
  </cols>
  <sheetData>
    <row r="1" spans="1:13" ht="24.05" customHeight="1">
      <c r="A1" s="1266" t="s">
        <v>1295</v>
      </c>
      <c r="B1" s="1266"/>
      <c r="C1" s="1266"/>
      <c r="D1" s="1266"/>
      <c r="E1" s="1266"/>
      <c r="F1" s="1266"/>
      <c r="G1" s="1266"/>
      <c r="H1" s="1266"/>
      <c r="I1" s="1266"/>
    </row>
    <row r="2" spans="1:13" ht="20.95" customHeight="1">
      <c r="A2" s="1421" t="s">
        <v>60</v>
      </c>
      <c r="B2" s="1266"/>
      <c r="C2" s="1266"/>
      <c r="D2" s="1266"/>
      <c r="E2" s="1266"/>
      <c r="F2" s="1266"/>
      <c r="G2" s="1266"/>
      <c r="H2" s="1266"/>
      <c r="I2" s="1266"/>
    </row>
    <row r="3" spans="1:13" ht="24.9" customHeight="1">
      <c r="A3" s="1267" t="s">
        <v>1724</v>
      </c>
      <c r="B3" s="1268"/>
      <c r="C3" s="1268"/>
      <c r="D3" s="1268"/>
      <c r="E3" s="1268"/>
      <c r="F3" s="1268"/>
      <c r="G3" s="1268"/>
      <c r="H3" s="1268"/>
      <c r="I3" s="1268"/>
    </row>
    <row r="4" spans="1:13" ht="24.9" customHeight="1" thickBot="1">
      <c r="A4" s="1336" t="s">
        <v>1751</v>
      </c>
      <c r="B4" s="1270"/>
      <c r="C4" s="1270"/>
      <c r="D4" s="1270"/>
      <c r="E4" s="1270"/>
      <c r="F4" s="1270"/>
      <c r="G4" s="1270"/>
      <c r="H4" s="1270"/>
      <c r="I4" s="1270"/>
    </row>
    <row r="5" spans="1:13" ht="20.95" customHeight="1">
      <c r="A5" s="1597" t="s">
        <v>292</v>
      </c>
      <c r="B5" s="1272"/>
      <c r="C5" s="1273" t="s">
        <v>15</v>
      </c>
      <c r="D5" s="1272" t="s">
        <v>293</v>
      </c>
      <c r="E5" s="1272"/>
      <c r="F5" s="1272" t="s">
        <v>294</v>
      </c>
      <c r="G5" s="1272"/>
      <c r="H5" s="1273" t="s">
        <v>1601</v>
      </c>
      <c r="I5" s="1599"/>
    </row>
    <row r="6" spans="1:13" ht="19.5" customHeight="1">
      <c r="A6" s="537" t="s">
        <v>1293</v>
      </c>
      <c r="B6" s="713" t="s">
        <v>539</v>
      </c>
      <c r="C6" s="1598"/>
      <c r="D6" s="538" t="s">
        <v>1293</v>
      </c>
      <c r="E6" s="716" t="s">
        <v>539</v>
      </c>
      <c r="F6" s="1177" t="s">
        <v>1293</v>
      </c>
      <c r="G6" s="713" t="s">
        <v>539</v>
      </c>
      <c r="H6" s="1177" t="s">
        <v>1293</v>
      </c>
      <c r="I6" s="720" t="s">
        <v>539</v>
      </c>
    </row>
    <row r="7" spans="1:13" ht="10.15" customHeight="1">
      <c r="A7" s="541"/>
      <c r="B7" s="714"/>
      <c r="C7" s="165"/>
      <c r="D7" s="542"/>
      <c r="E7" s="717"/>
      <c r="F7" s="166"/>
      <c r="G7" s="714"/>
      <c r="H7" s="166"/>
      <c r="I7" s="721"/>
    </row>
    <row r="8" spans="1:13" s="32" customFormat="1" ht="29.8" customHeight="1">
      <c r="A8" s="305">
        <v>654887893</v>
      </c>
      <c r="B8" s="545">
        <v>100</v>
      </c>
      <c r="C8" s="546" t="s">
        <v>16</v>
      </c>
      <c r="D8" s="547">
        <f>+D9+D12+D25+D32</f>
        <v>523017788</v>
      </c>
      <c r="E8" s="545">
        <v>100</v>
      </c>
      <c r="F8" s="547">
        <f>+F9+F12+F25+F32</f>
        <v>494290788</v>
      </c>
      <c r="G8" s="545">
        <v>100</v>
      </c>
      <c r="H8" s="548">
        <f t="shared" ref="H8:H39" si="0">D8-F8</f>
        <v>28727000</v>
      </c>
      <c r="I8" s="320">
        <f t="shared" ref="I8:I17" si="1">ROUND(H8/F8*100,2)</f>
        <v>5.81</v>
      </c>
      <c r="K8" s="549">
        <f t="shared" ref="K8:K39" si="2">ROUND(A8/$A$8*100,4)</f>
        <v>100</v>
      </c>
      <c r="L8" s="549">
        <f t="shared" ref="L8:L39" si="3">ROUND(D8/$D$8*100,4)</f>
        <v>100</v>
      </c>
      <c r="M8" s="549">
        <f t="shared" ref="M8:M39" si="4">ROUND(F8/$F$8*100,4)</f>
        <v>100</v>
      </c>
    </row>
    <row r="9" spans="1:13" s="32" customFormat="1" ht="29.8" customHeight="1">
      <c r="A9" s="305">
        <v>275588</v>
      </c>
      <c r="B9" s="545">
        <f t="shared" ref="B9:B40" si="5">ROUND(A9/$A$8*100,2)</f>
        <v>0.04</v>
      </c>
      <c r="C9" s="546" t="s">
        <v>1292</v>
      </c>
      <c r="D9" s="547">
        <f>+D10</f>
        <v>280944</v>
      </c>
      <c r="E9" s="550">
        <f t="shared" ref="E9:E40" si="6">ROUND(D9/$D$8*100,2)</f>
        <v>0.05</v>
      </c>
      <c r="F9" s="547">
        <f>+F10</f>
        <v>281663</v>
      </c>
      <c r="G9" s="550">
        <f t="shared" ref="G9:G40" si="7">ROUND(F9/$F$8*100,2)</f>
        <v>0.06</v>
      </c>
      <c r="H9" s="548">
        <f t="shared" si="0"/>
        <v>-719</v>
      </c>
      <c r="I9" s="320">
        <f t="shared" si="1"/>
        <v>-0.26</v>
      </c>
      <c r="K9" s="549">
        <f t="shared" si="2"/>
        <v>4.2099999999999999E-2</v>
      </c>
      <c r="L9" s="549">
        <f t="shared" si="3"/>
        <v>5.3699999999999998E-2</v>
      </c>
      <c r="M9" s="549">
        <f t="shared" si="4"/>
        <v>5.7000000000000002E-2</v>
      </c>
    </row>
    <row r="10" spans="1:13" s="233" customFormat="1" ht="29.8" customHeight="1">
      <c r="A10" s="551">
        <v>275588</v>
      </c>
      <c r="B10" s="552">
        <f t="shared" si="5"/>
        <v>0.04</v>
      </c>
      <c r="C10" s="553" t="s">
        <v>1291</v>
      </c>
      <c r="D10" s="557">
        <f>D11</f>
        <v>280944</v>
      </c>
      <c r="E10" s="355">
        <f t="shared" si="6"/>
        <v>0.05</v>
      </c>
      <c r="F10" s="557">
        <f>F11</f>
        <v>281663</v>
      </c>
      <c r="G10" s="355">
        <f t="shared" si="7"/>
        <v>0.06</v>
      </c>
      <c r="H10" s="558">
        <f t="shared" si="0"/>
        <v>-719</v>
      </c>
      <c r="I10" s="316">
        <f t="shared" si="1"/>
        <v>-0.26</v>
      </c>
      <c r="K10" s="556">
        <f t="shared" si="2"/>
        <v>4.2099999999999999E-2</v>
      </c>
      <c r="L10" s="556">
        <f t="shared" si="3"/>
        <v>5.3699999999999998E-2</v>
      </c>
      <c r="M10" s="556">
        <f t="shared" si="4"/>
        <v>5.7000000000000002E-2</v>
      </c>
    </row>
    <row r="11" spans="1:13" s="233" customFormat="1" ht="29.8" customHeight="1">
      <c r="A11" s="551">
        <v>275588</v>
      </c>
      <c r="B11" s="552">
        <f t="shared" si="5"/>
        <v>0.04</v>
      </c>
      <c r="C11" s="553" t="s">
        <v>1253</v>
      </c>
      <c r="D11" s="557">
        <v>280944</v>
      </c>
      <c r="E11" s="355">
        <f t="shared" si="6"/>
        <v>0.05</v>
      </c>
      <c r="F11" s="557">
        <v>281663</v>
      </c>
      <c r="G11" s="355">
        <f t="shared" si="7"/>
        <v>0.06</v>
      </c>
      <c r="H11" s="558">
        <f t="shared" si="0"/>
        <v>-719</v>
      </c>
      <c r="I11" s="316">
        <f t="shared" si="1"/>
        <v>-0.26</v>
      </c>
      <c r="K11" s="556">
        <f t="shared" si="2"/>
        <v>4.2099999999999999E-2</v>
      </c>
      <c r="L11" s="556">
        <f t="shared" si="3"/>
        <v>5.3699999999999998E-2</v>
      </c>
      <c r="M11" s="556">
        <f t="shared" si="4"/>
        <v>5.7000000000000002E-2</v>
      </c>
    </row>
    <row r="12" spans="1:13" s="32" customFormat="1" ht="29.8" customHeight="1">
      <c r="A12" s="305">
        <v>225922242</v>
      </c>
      <c r="B12" s="545">
        <f t="shared" si="5"/>
        <v>34.5</v>
      </c>
      <c r="C12" s="546" t="s">
        <v>1290</v>
      </c>
      <c r="D12" s="547">
        <f>+D13+D16+D20+D18+D22</f>
        <v>34702140</v>
      </c>
      <c r="E12" s="550">
        <f t="shared" si="6"/>
        <v>6.63</v>
      </c>
      <c r="F12" s="547">
        <f>+F13+F16+F20+F18+F22</f>
        <v>28126938</v>
      </c>
      <c r="G12" s="550">
        <f t="shared" si="7"/>
        <v>5.69</v>
      </c>
      <c r="H12" s="548">
        <f t="shared" si="0"/>
        <v>6575202</v>
      </c>
      <c r="I12" s="320">
        <f t="shared" si="1"/>
        <v>23.38</v>
      </c>
      <c r="K12" s="549">
        <f t="shared" si="2"/>
        <v>34.497799999999998</v>
      </c>
      <c r="L12" s="549">
        <f t="shared" si="3"/>
        <v>6.6349999999999998</v>
      </c>
      <c r="M12" s="549">
        <f t="shared" si="4"/>
        <v>5.6904000000000003</v>
      </c>
    </row>
    <row r="13" spans="1:13" s="233" customFormat="1" ht="29.8" customHeight="1">
      <c r="A13" s="551">
        <v>209685862</v>
      </c>
      <c r="B13" s="552">
        <f t="shared" si="5"/>
        <v>32.020000000000003</v>
      </c>
      <c r="C13" s="553" t="s">
        <v>1289</v>
      </c>
      <c r="D13" s="557">
        <f>SUM(D14:D15)</f>
        <v>33470074</v>
      </c>
      <c r="E13" s="355">
        <f t="shared" si="6"/>
        <v>6.4</v>
      </c>
      <c r="F13" s="557">
        <f>SUM(F14:F15)</f>
        <v>26619874</v>
      </c>
      <c r="G13" s="355">
        <f t="shared" si="7"/>
        <v>5.39</v>
      </c>
      <c r="H13" s="558">
        <f t="shared" si="0"/>
        <v>6850200</v>
      </c>
      <c r="I13" s="316">
        <f t="shared" si="1"/>
        <v>25.73</v>
      </c>
      <c r="K13" s="556">
        <f t="shared" si="2"/>
        <v>32.018599999999999</v>
      </c>
      <c r="L13" s="556">
        <f t="shared" si="3"/>
        <v>6.3994</v>
      </c>
      <c r="M13" s="556">
        <f t="shared" si="4"/>
        <v>5.3855000000000004</v>
      </c>
    </row>
    <row r="14" spans="1:13" s="233" customFormat="1" ht="29.8" customHeight="1">
      <c r="A14" s="551">
        <v>209646164</v>
      </c>
      <c r="B14" s="552">
        <f t="shared" si="5"/>
        <v>32.01</v>
      </c>
      <c r="C14" s="553" t="s">
        <v>1253</v>
      </c>
      <c r="D14" s="557">
        <v>33454534</v>
      </c>
      <c r="E14" s="355">
        <f t="shared" si="6"/>
        <v>6.4</v>
      </c>
      <c r="F14" s="557">
        <v>26579869</v>
      </c>
      <c r="G14" s="355">
        <f t="shared" si="7"/>
        <v>5.38</v>
      </c>
      <c r="H14" s="558">
        <f t="shared" si="0"/>
        <v>6874665</v>
      </c>
      <c r="I14" s="316">
        <f t="shared" si="1"/>
        <v>25.86</v>
      </c>
      <c r="K14" s="556">
        <f t="shared" si="2"/>
        <v>32.012500000000003</v>
      </c>
      <c r="L14" s="556">
        <f t="shared" si="3"/>
        <v>6.3963999999999999</v>
      </c>
      <c r="M14" s="556">
        <f t="shared" si="4"/>
        <v>5.3773999999999997</v>
      </c>
    </row>
    <row r="15" spans="1:13" s="233" customFormat="1" ht="29.8" customHeight="1">
      <c r="A15" s="551">
        <v>39698</v>
      </c>
      <c r="B15" s="552">
        <f t="shared" si="5"/>
        <v>0.01</v>
      </c>
      <c r="C15" s="553" t="s">
        <v>1250</v>
      </c>
      <c r="D15" s="557">
        <v>15540</v>
      </c>
      <c r="E15" s="355">
        <f t="shared" si="6"/>
        <v>0</v>
      </c>
      <c r="F15" s="557">
        <v>40005</v>
      </c>
      <c r="G15" s="355">
        <f t="shared" si="7"/>
        <v>0.01</v>
      </c>
      <c r="H15" s="558">
        <f t="shared" si="0"/>
        <v>-24465</v>
      </c>
      <c r="I15" s="316">
        <f t="shared" si="1"/>
        <v>-61.15</v>
      </c>
      <c r="K15" s="556">
        <f t="shared" si="2"/>
        <v>6.1000000000000004E-3</v>
      </c>
      <c r="L15" s="556">
        <f t="shared" si="3"/>
        <v>3.0000000000000001E-3</v>
      </c>
      <c r="M15" s="556">
        <f t="shared" si="4"/>
        <v>8.0999999999999996E-3</v>
      </c>
    </row>
    <row r="16" spans="1:13" s="233" customFormat="1" ht="29.8" customHeight="1">
      <c r="A16" s="551">
        <v>608541</v>
      </c>
      <c r="B16" s="552">
        <f t="shared" si="5"/>
        <v>0.09</v>
      </c>
      <c r="C16" s="553" t="s">
        <v>1288</v>
      </c>
      <c r="D16" s="557">
        <f>D17</f>
        <v>534618</v>
      </c>
      <c r="E16" s="355">
        <f t="shared" si="6"/>
        <v>0.1</v>
      </c>
      <c r="F16" s="557">
        <f>F17</f>
        <v>550450</v>
      </c>
      <c r="G16" s="355">
        <f t="shared" si="7"/>
        <v>0.11</v>
      </c>
      <c r="H16" s="558">
        <f t="shared" si="0"/>
        <v>-15832</v>
      </c>
      <c r="I16" s="316">
        <f t="shared" si="1"/>
        <v>-2.88</v>
      </c>
      <c r="K16" s="556">
        <f t="shared" si="2"/>
        <v>9.2899999999999996E-2</v>
      </c>
      <c r="L16" s="556">
        <f t="shared" si="3"/>
        <v>0.1022</v>
      </c>
      <c r="M16" s="556">
        <f t="shared" si="4"/>
        <v>0.1114</v>
      </c>
    </row>
    <row r="17" spans="1:13" s="233" customFormat="1" ht="29.8" customHeight="1">
      <c r="A17" s="551">
        <v>608541</v>
      </c>
      <c r="B17" s="552">
        <f t="shared" si="5"/>
        <v>0.09</v>
      </c>
      <c r="C17" s="553" t="s">
        <v>1253</v>
      </c>
      <c r="D17" s="557">
        <v>534618</v>
      </c>
      <c r="E17" s="355">
        <f t="shared" si="6"/>
        <v>0.1</v>
      </c>
      <c r="F17" s="557">
        <v>550450</v>
      </c>
      <c r="G17" s="355">
        <f t="shared" si="7"/>
        <v>0.11</v>
      </c>
      <c r="H17" s="558">
        <f t="shared" si="0"/>
        <v>-15832</v>
      </c>
      <c r="I17" s="316">
        <f t="shared" si="1"/>
        <v>-2.88</v>
      </c>
      <c r="K17" s="556">
        <f t="shared" si="2"/>
        <v>9.2899999999999996E-2</v>
      </c>
      <c r="L17" s="556">
        <f t="shared" si="3"/>
        <v>0.1022</v>
      </c>
      <c r="M17" s="556">
        <f t="shared" si="4"/>
        <v>0.1114</v>
      </c>
    </row>
    <row r="18" spans="1:13" s="233" customFormat="1" ht="29.8" customHeight="1">
      <c r="A18" s="551">
        <v>14628318</v>
      </c>
      <c r="B18" s="552">
        <f t="shared" si="5"/>
        <v>2.23</v>
      </c>
      <c r="C18" s="553" t="s">
        <v>1287</v>
      </c>
      <c r="D18" s="554">
        <f>D19</f>
        <v>0</v>
      </c>
      <c r="E18" s="355">
        <f t="shared" si="6"/>
        <v>0</v>
      </c>
      <c r="F18" s="554">
        <f>F19</f>
        <v>0</v>
      </c>
      <c r="G18" s="355">
        <f t="shared" si="7"/>
        <v>0</v>
      </c>
      <c r="H18" s="554">
        <f t="shared" si="0"/>
        <v>0</v>
      </c>
      <c r="I18" s="555">
        <v>0</v>
      </c>
      <c r="K18" s="556">
        <f t="shared" si="2"/>
        <v>2.2336999999999998</v>
      </c>
      <c r="L18" s="556">
        <f t="shared" si="3"/>
        <v>0</v>
      </c>
      <c r="M18" s="556">
        <f t="shared" si="4"/>
        <v>0</v>
      </c>
    </row>
    <row r="19" spans="1:13" s="233" customFormat="1" ht="27" customHeight="1">
      <c r="A19" s="551">
        <v>14628318</v>
      </c>
      <c r="B19" s="552">
        <f t="shared" si="5"/>
        <v>2.23</v>
      </c>
      <c r="C19" s="553" t="s">
        <v>1251</v>
      </c>
      <c r="D19" s="554">
        <v>0</v>
      </c>
      <c r="E19" s="355">
        <f t="shared" si="6"/>
        <v>0</v>
      </c>
      <c r="F19" s="554">
        <v>0</v>
      </c>
      <c r="G19" s="355">
        <f t="shared" si="7"/>
        <v>0</v>
      </c>
      <c r="H19" s="554">
        <f t="shared" si="0"/>
        <v>0</v>
      </c>
      <c r="I19" s="555">
        <v>0</v>
      </c>
      <c r="K19" s="556">
        <f t="shared" si="2"/>
        <v>2.2336999999999998</v>
      </c>
      <c r="L19" s="556">
        <f t="shared" si="3"/>
        <v>0</v>
      </c>
      <c r="M19" s="556">
        <f t="shared" si="4"/>
        <v>0</v>
      </c>
    </row>
    <row r="20" spans="1:13" s="233" customFormat="1" ht="32.25" customHeight="1">
      <c r="A20" s="551">
        <v>175326</v>
      </c>
      <c r="B20" s="619">
        <f t="shared" si="5"/>
        <v>0.03</v>
      </c>
      <c r="C20" s="553" t="s">
        <v>1286</v>
      </c>
      <c r="D20" s="559">
        <f>+D21</f>
        <v>0</v>
      </c>
      <c r="E20" s="355">
        <f t="shared" si="6"/>
        <v>0</v>
      </c>
      <c r="F20" s="560">
        <f>+F21</f>
        <v>0</v>
      </c>
      <c r="G20" s="355">
        <f t="shared" si="7"/>
        <v>0</v>
      </c>
      <c r="H20" s="559">
        <f t="shared" si="0"/>
        <v>0</v>
      </c>
      <c r="I20" s="561">
        <v>0</v>
      </c>
      <c r="K20" s="556">
        <f t="shared" si="2"/>
        <v>2.6800000000000001E-2</v>
      </c>
      <c r="L20" s="556">
        <f t="shared" si="3"/>
        <v>0</v>
      </c>
      <c r="M20" s="556">
        <f t="shared" si="4"/>
        <v>0</v>
      </c>
    </row>
    <row r="21" spans="1:13" s="233" customFormat="1" ht="27.85" customHeight="1">
      <c r="A21" s="551">
        <v>175326</v>
      </c>
      <c r="B21" s="619">
        <f t="shared" si="5"/>
        <v>0.03</v>
      </c>
      <c r="C21" s="553" t="s">
        <v>1251</v>
      </c>
      <c r="D21" s="559">
        <v>0</v>
      </c>
      <c r="E21" s="355">
        <f t="shared" si="6"/>
        <v>0</v>
      </c>
      <c r="F21" s="560">
        <v>0</v>
      </c>
      <c r="G21" s="355">
        <f t="shared" si="7"/>
        <v>0</v>
      </c>
      <c r="H21" s="559">
        <f t="shared" si="0"/>
        <v>0</v>
      </c>
      <c r="I21" s="561">
        <v>0</v>
      </c>
      <c r="K21" s="556">
        <f t="shared" si="2"/>
        <v>2.6800000000000001E-2</v>
      </c>
      <c r="L21" s="556">
        <f t="shared" si="3"/>
        <v>0</v>
      </c>
      <c r="M21" s="556">
        <f t="shared" si="4"/>
        <v>0</v>
      </c>
    </row>
    <row r="22" spans="1:13" s="233" customFormat="1" ht="29.8" customHeight="1">
      <c r="A22" s="551">
        <v>824196</v>
      </c>
      <c r="B22" s="552">
        <f t="shared" si="5"/>
        <v>0.13</v>
      </c>
      <c r="C22" s="553" t="s">
        <v>1285</v>
      </c>
      <c r="D22" s="557">
        <f>SUM(D23:D24)</f>
        <v>697448</v>
      </c>
      <c r="E22" s="355">
        <f t="shared" si="6"/>
        <v>0.13</v>
      </c>
      <c r="F22" s="557">
        <f>SUM(F23:F24)</f>
        <v>956614</v>
      </c>
      <c r="G22" s="355">
        <f t="shared" si="7"/>
        <v>0.19</v>
      </c>
      <c r="H22" s="558">
        <f t="shared" si="0"/>
        <v>-259166</v>
      </c>
      <c r="I22" s="316">
        <f t="shared" ref="I22:I34" si="8">ROUND(H22/F22*100,2)</f>
        <v>-27.09</v>
      </c>
      <c r="K22" s="556">
        <f t="shared" si="2"/>
        <v>0.12590000000000001</v>
      </c>
      <c r="L22" s="556">
        <f t="shared" si="3"/>
        <v>0.13339999999999999</v>
      </c>
      <c r="M22" s="556">
        <f t="shared" si="4"/>
        <v>0.19350000000000001</v>
      </c>
    </row>
    <row r="23" spans="1:13" s="233" customFormat="1" ht="31.25" customHeight="1">
      <c r="A23" s="551">
        <v>687895</v>
      </c>
      <c r="B23" s="552">
        <f t="shared" si="5"/>
        <v>0.11</v>
      </c>
      <c r="C23" s="553" t="s">
        <v>1251</v>
      </c>
      <c r="D23" s="557">
        <v>665941</v>
      </c>
      <c r="E23" s="355">
        <f t="shared" si="6"/>
        <v>0.13</v>
      </c>
      <c r="F23" s="557">
        <v>821264</v>
      </c>
      <c r="G23" s="355">
        <f t="shared" si="7"/>
        <v>0.17</v>
      </c>
      <c r="H23" s="558">
        <f t="shared" si="0"/>
        <v>-155323</v>
      </c>
      <c r="I23" s="316">
        <f t="shared" si="8"/>
        <v>-18.91</v>
      </c>
      <c r="K23" s="556">
        <f t="shared" si="2"/>
        <v>0.105</v>
      </c>
      <c r="L23" s="556">
        <f t="shared" si="3"/>
        <v>0.1273</v>
      </c>
      <c r="M23" s="556">
        <f t="shared" si="4"/>
        <v>0.1661</v>
      </c>
    </row>
    <row r="24" spans="1:13" s="233" customFormat="1" ht="31.25" customHeight="1">
      <c r="A24" s="551">
        <v>136301</v>
      </c>
      <c r="B24" s="552">
        <f t="shared" si="5"/>
        <v>0.02</v>
      </c>
      <c r="C24" s="553" t="s">
        <v>1258</v>
      </c>
      <c r="D24" s="557">
        <v>31507</v>
      </c>
      <c r="E24" s="355">
        <f t="shared" si="6"/>
        <v>0.01</v>
      </c>
      <c r="F24" s="557">
        <v>135350</v>
      </c>
      <c r="G24" s="355">
        <f t="shared" si="7"/>
        <v>0.03</v>
      </c>
      <c r="H24" s="558">
        <f t="shared" si="0"/>
        <v>-103843</v>
      </c>
      <c r="I24" s="316">
        <f t="shared" si="8"/>
        <v>-76.72</v>
      </c>
      <c r="K24" s="556">
        <f t="shared" si="2"/>
        <v>2.0799999999999999E-2</v>
      </c>
      <c r="L24" s="556">
        <f t="shared" si="3"/>
        <v>6.0000000000000001E-3</v>
      </c>
      <c r="M24" s="556">
        <f t="shared" si="4"/>
        <v>2.7400000000000001E-2</v>
      </c>
    </row>
    <row r="25" spans="1:13" s="32" customFormat="1" ht="31.25" customHeight="1">
      <c r="A25" s="305">
        <v>408627181</v>
      </c>
      <c r="B25" s="545">
        <f t="shared" si="5"/>
        <v>62.4</v>
      </c>
      <c r="C25" s="546" t="s">
        <v>1284</v>
      </c>
      <c r="D25" s="547">
        <f>D26+D29</f>
        <v>458034704</v>
      </c>
      <c r="E25" s="550">
        <f t="shared" si="6"/>
        <v>87.58</v>
      </c>
      <c r="F25" s="547">
        <f>F26+F29</f>
        <v>443882187</v>
      </c>
      <c r="G25" s="550">
        <f t="shared" si="7"/>
        <v>89.8</v>
      </c>
      <c r="H25" s="548">
        <f t="shared" si="0"/>
        <v>14152517</v>
      </c>
      <c r="I25" s="320">
        <f t="shared" si="8"/>
        <v>3.19</v>
      </c>
      <c r="K25" s="549">
        <f t="shared" si="2"/>
        <v>62.396500000000003</v>
      </c>
      <c r="L25" s="549">
        <f t="shared" si="3"/>
        <v>87.575400000000002</v>
      </c>
      <c r="M25" s="549">
        <f t="shared" si="4"/>
        <v>89.8018</v>
      </c>
    </row>
    <row r="26" spans="1:13" s="233" customFormat="1" ht="29.45" customHeight="1">
      <c r="A26" s="551">
        <v>408627181</v>
      </c>
      <c r="B26" s="552">
        <f t="shared" si="5"/>
        <v>62.4</v>
      </c>
      <c r="C26" s="553" t="s">
        <v>1283</v>
      </c>
      <c r="D26" s="557">
        <f>SUM(D27:D28)</f>
        <v>439465515</v>
      </c>
      <c r="E26" s="355">
        <f t="shared" si="6"/>
        <v>84.02</v>
      </c>
      <c r="F26" s="557">
        <f>SUM(F27:F28)</f>
        <v>433065251</v>
      </c>
      <c r="G26" s="355">
        <f t="shared" si="7"/>
        <v>87.61</v>
      </c>
      <c r="H26" s="558">
        <f t="shared" si="0"/>
        <v>6400264</v>
      </c>
      <c r="I26" s="316">
        <f t="shared" si="8"/>
        <v>1.48</v>
      </c>
      <c r="K26" s="556">
        <f t="shared" si="2"/>
        <v>62.396500000000003</v>
      </c>
      <c r="L26" s="556">
        <f t="shared" si="3"/>
        <v>84.025000000000006</v>
      </c>
      <c r="M26" s="556">
        <f t="shared" si="4"/>
        <v>87.613500000000002</v>
      </c>
    </row>
    <row r="27" spans="1:13" s="233" customFormat="1" ht="29.45" customHeight="1">
      <c r="A27" s="551">
        <v>400600454</v>
      </c>
      <c r="B27" s="552">
        <f t="shared" si="5"/>
        <v>61.17</v>
      </c>
      <c r="C27" s="553" t="s">
        <v>1253</v>
      </c>
      <c r="D27" s="557">
        <v>436584448</v>
      </c>
      <c r="E27" s="355">
        <f t="shared" si="6"/>
        <v>83.47</v>
      </c>
      <c r="F27" s="557">
        <v>424680213</v>
      </c>
      <c r="G27" s="355">
        <f t="shared" si="7"/>
        <v>85.92</v>
      </c>
      <c r="H27" s="558">
        <f t="shared" si="0"/>
        <v>11904235</v>
      </c>
      <c r="I27" s="316">
        <f t="shared" si="8"/>
        <v>2.8</v>
      </c>
      <c r="K27" s="556">
        <f t="shared" si="2"/>
        <v>61.1708</v>
      </c>
      <c r="L27" s="556">
        <f t="shared" si="3"/>
        <v>83.474100000000007</v>
      </c>
      <c r="M27" s="556">
        <f t="shared" si="4"/>
        <v>85.917100000000005</v>
      </c>
    </row>
    <row r="28" spans="1:13" s="233" customFormat="1" ht="32.1" customHeight="1" thickBot="1">
      <c r="A28" s="562">
        <v>8026727</v>
      </c>
      <c r="B28" s="563">
        <f t="shared" si="5"/>
        <v>1.23</v>
      </c>
      <c r="C28" s="564" t="s">
        <v>1250</v>
      </c>
      <c r="D28" s="565">
        <v>2881067</v>
      </c>
      <c r="E28" s="377">
        <f t="shared" si="6"/>
        <v>0.55000000000000004</v>
      </c>
      <c r="F28" s="565">
        <v>8385038</v>
      </c>
      <c r="G28" s="377">
        <f t="shared" si="7"/>
        <v>1.7</v>
      </c>
      <c r="H28" s="566">
        <f t="shared" si="0"/>
        <v>-5503971</v>
      </c>
      <c r="I28" s="332">
        <f t="shared" si="8"/>
        <v>-65.64</v>
      </c>
      <c r="K28" s="556">
        <f t="shared" si="2"/>
        <v>1.2257</v>
      </c>
      <c r="L28" s="556">
        <f t="shared" si="3"/>
        <v>0.55089999999999995</v>
      </c>
      <c r="M28" s="556">
        <f t="shared" si="4"/>
        <v>1.6963999999999999</v>
      </c>
    </row>
    <row r="29" spans="1:13" s="233" customFormat="1" ht="29" customHeight="1">
      <c r="A29" s="567">
        <v>0</v>
      </c>
      <c r="B29" s="559">
        <f t="shared" si="5"/>
        <v>0</v>
      </c>
      <c r="C29" s="568" t="s">
        <v>1282</v>
      </c>
      <c r="D29" s="554">
        <f>SUM(D30:D31)</f>
        <v>18569189</v>
      </c>
      <c r="E29" s="355">
        <f t="shared" si="6"/>
        <v>3.55</v>
      </c>
      <c r="F29" s="554">
        <f>SUM(F30:F31)</f>
        <v>10816936</v>
      </c>
      <c r="G29" s="355">
        <f t="shared" si="7"/>
        <v>2.19</v>
      </c>
      <c r="H29" s="558">
        <f t="shared" si="0"/>
        <v>7752253</v>
      </c>
      <c r="I29" s="902">
        <f>ROUND(H29/F29*100,2)</f>
        <v>71.67</v>
      </c>
      <c r="K29" s="556">
        <f t="shared" si="2"/>
        <v>0</v>
      </c>
      <c r="L29" s="556">
        <f t="shared" si="3"/>
        <v>3.5503999999999998</v>
      </c>
      <c r="M29" s="556">
        <f t="shared" si="4"/>
        <v>2.1884000000000001</v>
      </c>
    </row>
    <row r="30" spans="1:13" s="233" customFormat="1" ht="26.05" customHeight="1">
      <c r="A30" s="569">
        <v>0</v>
      </c>
      <c r="B30" s="554">
        <f t="shared" si="5"/>
        <v>0</v>
      </c>
      <c r="C30" s="553" t="s">
        <v>1253</v>
      </c>
      <c r="D30" s="554">
        <v>18569189</v>
      </c>
      <c r="E30" s="355">
        <f t="shared" si="6"/>
        <v>3.55</v>
      </c>
      <c r="F30" s="554">
        <v>10816936</v>
      </c>
      <c r="G30" s="355">
        <f t="shared" si="7"/>
        <v>2.19</v>
      </c>
      <c r="H30" s="558">
        <f>D30-F30</f>
        <v>7752253</v>
      </c>
      <c r="I30" s="902">
        <f t="shared" si="8"/>
        <v>71.67</v>
      </c>
      <c r="K30" s="556">
        <f t="shared" si="2"/>
        <v>0</v>
      </c>
      <c r="L30" s="556">
        <f t="shared" si="3"/>
        <v>3.5503999999999998</v>
      </c>
      <c r="M30" s="556">
        <f t="shared" si="4"/>
        <v>2.1884000000000001</v>
      </c>
    </row>
    <row r="31" spans="1:13" s="233" customFormat="1" ht="24.05" hidden="1" customHeight="1" thickBot="1">
      <c r="A31" s="622">
        <v>0</v>
      </c>
      <c r="B31" s="578">
        <f t="shared" si="5"/>
        <v>0</v>
      </c>
      <c r="C31" s="564" t="s">
        <v>1250</v>
      </c>
      <c r="D31" s="606">
        <v>0</v>
      </c>
      <c r="E31" s="377">
        <f t="shared" si="6"/>
        <v>0</v>
      </c>
      <c r="F31" s="565">
        <v>0</v>
      </c>
      <c r="G31" s="377">
        <f t="shared" si="7"/>
        <v>0</v>
      </c>
      <c r="H31" s="566">
        <f t="shared" si="0"/>
        <v>0</v>
      </c>
      <c r="I31" s="902" t="e">
        <f t="shared" si="8"/>
        <v>#DIV/0!</v>
      </c>
      <c r="K31" s="556">
        <f t="shared" si="2"/>
        <v>0</v>
      </c>
      <c r="L31" s="556">
        <f t="shared" si="3"/>
        <v>0</v>
      </c>
      <c r="M31" s="556">
        <f t="shared" si="4"/>
        <v>0</v>
      </c>
    </row>
    <row r="32" spans="1:13" s="32" customFormat="1" ht="27" customHeight="1">
      <c r="A32" s="305">
        <v>20062881</v>
      </c>
      <c r="B32" s="545">
        <f t="shared" si="5"/>
        <v>3.06</v>
      </c>
      <c r="C32" s="546" t="s">
        <v>1281</v>
      </c>
      <c r="D32" s="559">
        <f>+D33+D35</f>
        <v>30000000</v>
      </c>
      <c r="E32" s="550">
        <f t="shared" si="6"/>
        <v>5.74</v>
      </c>
      <c r="F32" s="559">
        <f>+F33+F35</f>
        <v>22000000</v>
      </c>
      <c r="G32" s="550">
        <f t="shared" si="7"/>
        <v>4.45</v>
      </c>
      <c r="H32" s="559">
        <f t="shared" si="0"/>
        <v>8000000</v>
      </c>
      <c r="I32" s="320">
        <f>ROUND(H32/F32*100,2)</f>
        <v>36.36</v>
      </c>
      <c r="K32" s="549">
        <f t="shared" si="2"/>
        <v>3.0636000000000001</v>
      </c>
      <c r="L32" s="549">
        <f t="shared" si="3"/>
        <v>5.7359</v>
      </c>
      <c r="M32" s="549">
        <f t="shared" si="4"/>
        <v>4.4508000000000001</v>
      </c>
    </row>
    <row r="33" spans="1:13" s="233" customFormat="1" ht="29.8" customHeight="1">
      <c r="A33" s="569">
        <v>20000000</v>
      </c>
      <c r="B33" s="355">
        <f t="shared" si="5"/>
        <v>3.05</v>
      </c>
      <c r="C33" s="571" t="s">
        <v>1280</v>
      </c>
      <c r="D33" s="554">
        <f>D34</f>
        <v>30000000</v>
      </c>
      <c r="E33" s="355">
        <f t="shared" si="6"/>
        <v>5.74</v>
      </c>
      <c r="F33" s="554">
        <f>F34</f>
        <v>22000000</v>
      </c>
      <c r="G33" s="355">
        <f t="shared" si="7"/>
        <v>4.45</v>
      </c>
      <c r="H33" s="554">
        <f t="shared" si="0"/>
        <v>8000000</v>
      </c>
      <c r="I33" s="316">
        <f t="shared" si="8"/>
        <v>36.36</v>
      </c>
      <c r="K33" s="556">
        <f t="shared" si="2"/>
        <v>3.0539999999999998</v>
      </c>
      <c r="L33" s="556">
        <f t="shared" si="3"/>
        <v>5.7359</v>
      </c>
      <c r="M33" s="556">
        <f t="shared" si="4"/>
        <v>4.4508000000000001</v>
      </c>
    </row>
    <row r="34" spans="1:13" s="233" customFormat="1" ht="29.8" customHeight="1">
      <c r="A34" s="569">
        <v>20000000</v>
      </c>
      <c r="B34" s="355">
        <f t="shared" si="5"/>
        <v>3.05</v>
      </c>
      <c r="C34" s="553" t="s">
        <v>1253</v>
      </c>
      <c r="D34" s="554">
        <v>30000000</v>
      </c>
      <c r="E34" s="355">
        <f t="shared" si="6"/>
        <v>5.74</v>
      </c>
      <c r="F34" s="554">
        <v>22000000</v>
      </c>
      <c r="G34" s="355">
        <f t="shared" si="7"/>
        <v>4.45</v>
      </c>
      <c r="H34" s="554">
        <f t="shared" si="0"/>
        <v>8000000</v>
      </c>
      <c r="I34" s="316">
        <f t="shared" si="8"/>
        <v>36.36</v>
      </c>
      <c r="K34" s="556">
        <f t="shared" si="2"/>
        <v>3.0539999999999998</v>
      </c>
      <c r="L34" s="556">
        <f t="shared" si="3"/>
        <v>5.7359</v>
      </c>
      <c r="M34" s="556">
        <f t="shared" si="4"/>
        <v>4.4508000000000001</v>
      </c>
    </row>
    <row r="35" spans="1:13" s="233" customFormat="1" ht="29.8" customHeight="1">
      <c r="A35" s="569">
        <v>62881</v>
      </c>
      <c r="B35" s="552">
        <f t="shared" si="5"/>
        <v>0.01</v>
      </c>
      <c r="C35" s="571" t="s">
        <v>1279</v>
      </c>
      <c r="D35" s="554">
        <f>D36</f>
        <v>0</v>
      </c>
      <c r="E35" s="355">
        <f t="shared" si="6"/>
        <v>0</v>
      </c>
      <c r="F35" s="554">
        <f>F36</f>
        <v>0</v>
      </c>
      <c r="G35" s="355">
        <f t="shared" si="7"/>
        <v>0</v>
      </c>
      <c r="H35" s="554">
        <f t="shared" si="0"/>
        <v>0</v>
      </c>
      <c r="I35" s="555">
        <v>0</v>
      </c>
      <c r="K35" s="556">
        <f t="shared" si="2"/>
        <v>9.5999999999999992E-3</v>
      </c>
      <c r="L35" s="556">
        <f t="shared" si="3"/>
        <v>0</v>
      </c>
      <c r="M35" s="556">
        <f t="shared" si="4"/>
        <v>0</v>
      </c>
    </row>
    <row r="36" spans="1:13" s="233" customFormat="1" ht="29.8" customHeight="1">
      <c r="A36" s="551">
        <v>62881</v>
      </c>
      <c r="B36" s="552">
        <f t="shared" si="5"/>
        <v>0.01</v>
      </c>
      <c r="C36" s="553" t="s">
        <v>1253</v>
      </c>
      <c r="D36" s="554">
        <v>0</v>
      </c>
      <c r="E36" s="355">
        <f t="shared" si="6"/>
        <v>0</v>
      </c>
      <c r="F36" s="554">
        <v>0</v>
      </c>
      <c r="G36" s="355">
        <f t="shared" si="7"/>
        <v>0</v>
      </c>
      <c r="H36" s="554">
        <f t="shared" si="0"/>
        <v>0</v>
      </c>
      <c r="I36" s="555">
        <v>0</v>
      </c>
      <c r="K36" s="556">
        <f t="shared" si="2"/>
        <v>9.5999999999999992E-3</v>
      </c>
      <c r="L36" s="556">
        <f t="shared" si="3"/>
        <v>0</v>
      </c>
      <c r="M36" s="556">
        <f t="shared" si="4"/>
        <v>0</v>
      </c>
    </row>
    <row r="37" spans="1:13" s="32" customFormat="1" ht="29.8" customHeight="1">
      <c r="A37" s="305">
        <v>655199124</v>
      </c>
      <c r="B37" s="545">
        <f t="shared" si="5"/>
        <v>100.05</v>
      </c>
      <c r="C37" s="546" t="s">
        <v>1278</v>
      </c>
      <c r="D37" s="547">
        <f>D38+D41+D49+D59</f>
        <v>523250581</v>
      </c>
      <c r="E37" s="550">
        <f t="shared" si="6"/>
        <v>100.04</v>
      </c>
      <c r="F37" s="547">
        <f>F38+F41+F49+F59</f>
        <v>494507257</v>
      </c>
      <c r="G37" s="550">
        <f t="shared" si="7"/>
        <v>100.04</v>
      </c>
      <c r="H37" s="548">
        <f t="shared" si="0"/>
        <v>28743324</v>
      </c>
      <c r="I37" s="320">
        <f t="shared" ref="I37:I43" si="9">ROUND(H37/F37*100,2)</f>
        <v>5.81</v>
      </c>
      <c r="K37" s="549">
        <f t="shared" si="2"/>
        <v>100.0475</v>
      </c>
      <c r="L37" s="549">
        <f t="shared" si="3"/>
        <v>100.0445</v>
      </c>
      <c r="M37" s="549">
        <f t="shared" si="4"/>
        <v>100.0438</v>
      </c>
    </row>
    <row r="38" spans="1:13" s="32" customFormat="1" ht="29.8" customHeight="1">
      <c r="A38" s="305">
        <v>37228</v>
      </c>
      <c r="B38" s="550">
        <f t="shared" si="5"/>
        <v>0.01</v>
      </c>
      <c r="C38" s="546" t="s">
        <v>1277</v>
      </c>
      <c r="D38" s="547">
        <f>+D39</f>
        <v>39738</v>
      </c>
      <c r="E38" s="550">
        <f t="shared" si="6"/>
        <v>0.01</v>
      </c>
      <c r="F38" s="547">
        <f>+F39</f>
        <v>21280</v>
      </c>
      <c r="G38" s="550">
        <f t="shared" si="7"/>
        <v>0</v>
      </c>
      <c r="H38" s="548">
        <f t="shared" si="0"/>
        <v>18458</v>
      </c>
      <c r="I38" s="320">
        <f t="shared" si="9"/>
        <v>86.74</v>
      </c>
      <c r="K38" s="549">
        <f t="shared" si="2"/>
        <v>5.7000000000000002E-3</v>
      </c>
      <c r="L38" s="549">
        <f t="shared" si="3"/>
        <v>7.6E-3</v>
      </c>
      <c r="M38" s="549">
        <f t="shared" si="4"/>
        <v>4.3E-3</v>
      </c>
    </row>
    <row r="39" spans="1:13" s="233" customFormat="1" ht="29.8" customHeight="1">
      <c r="A39" s="551">
        <v>37228</v>
      </c>
      <c r="B39" s="1154">
        <f t="shared" si="5"/>
        <v>0.01</v>
      </c>
      <c r="C39" s="553" t="s">
        <v>1276</v>
      </c>
      <c r="D39" s="557">
        <f>D40</f>
        <v>39738</v>
      </c>
      <c r="E39" s="355">
        <f t="shared" si="6"/>
        <v>0.01</v>
      </c>
      <c r="F39" s="557">
        <f>F40</f>
        <v>21280</v>
      </c>
      <c r="G39" s="355">
        <f t="shared" si="7"/>
        <v>0</v>
      </c>
      <c r="H39" s="558">
        <f t="shared" si="0"/>
        <v>18458</v>
      </c>
      <c r="I39" s="316">
        <f t="shared" si="9"/>
        <v>86.74</v>
      </c>
      <c r="K39" s="556">
        <f t="shared" si="2"/>
        <v>5.7000000000000002E-3</v>
      </c>
      <c r="L39" s="556">
        <f t="shared" si="3"/>
        <v>7.6E-3</v>
      </c>
      <c r="M39" s="556">
        <f t="shared" si="4"/>
        <v>4.3E-3</v>
      </c>
    </row>
    <row r="40" spans="1:13" s="233" customFormat="1" ht="29.8" customHeight="1">
      <c r="A40" s="551">
        <v>37228</v>
      </c>
      <c r="B40" s="1154">
        <f t="shared" si="5"/>
        <v>0.01</v>
      </c>
      <c r="C40" s="553" t="s">
        <v>1253</v>
      </c>
      <c r="D40" s="557">
        <v>39738</v>
      </c>
      <c r="E40" s="355">
        <f t="shared" si="6"/>
        <v>0.01</v>
      </c>
      <c r="F40" s="557">
        <v>21280</v>
      </c>
      <c r="G40" s="355">
        <f t="shared" si="7"/>
        <v>0</v>
      </c>
      <c r="H40" s="558">
        <f t="shared" ref="H40:H71" si="10">D40-F40</f>
        <v>18458</v>
      </c>
      <c r="I40" s="316">
        <f t="shared" si="9"/>
        <v>86.74</v>
      </c>
      <c r="K40" s="556">
        <f t="shared" ref="K40:K71" si="11">ROUND(A40/$A$8*100,4)</f>
        <v>5.7000000000000002E-3</v>
      </c>
      <c r="L40" s="556">
        <f t="shared" ref="L40:L71" si="12">ROUND(D40/$D$8*100,4)</f>
        <v>7.6E-3</v>
      </c>
      <c r="M40" s="556">
        <f t="shared" ref="M40:M71" si="13">ROUND(F40/$F$8*100,4)</f>
        <v>4.3E-3</v>
      </c>
    </row>
    <row r="41" spans="1:13" s="32" customFormat="1" ht="29.8" customHeight="1">
      <c r="A41" s="305">
        <v>161837678</v>
      </c>
      <c r="B41" s="545">
        <f t="shared" ref="B41:B72" si="14">ROUND(A41/$A$8*100,2)</f>
        <v>24.71</v>
      </c>
      <c r="C41" s="546" t="s">
        <v>1275</v>
      </c>
      <c r="D41" s="547">
        <f>+D42+D45+D47</f>
        <v>1003459</v>
      </c>
      <c r="E41" s="550">
        <f t="shared" ref="E41:E72" si="15">ROUND(D41/$D$8*100,2)</f>
        <v>0.19</v>
      </c>
      <c r="F41" s="547">
        <f>+F42+F45+F47</f>
        <v>972909</v>
      </c>
      <c r="G41" s="550">
        <f t="shared" ref="G41:G72" si="16">ROUND(F41/$F$8*100,2)</f>
        <v>0.2</v>
      </c>
      <c r="H41" s="548">
        <f t="shared" si="10"/>
        <v>30550</v>
      </c>
      <c r="I41" s="320">
        <f t="shared" si="9"/>
        <v>3.14</v>
      </c>
      <c r="K41" s="549">
        <f t="shared" si="11"/>
        <v>24.712299999999999</v>
      </c>
      <c r="L41" s="549">
        <f t="shared" si="12"/>
        <v>0.19189999999999999</v>
      </c>
      <c r="M41" s="549">
        <f t="shared" si="13"/>
        <v>0.1968</v>
      </c>
    </row>
    <row r="42" spans="1:13" s="233" customFormat="1" ht="29.8" customHeight="1">
      <c r="A42" s="551">
        <v>131380419</v>
      </c>
      <c r="B42" s="552">
        <f t="shared" si="14"/>
        <v>20.059999999999999</v>
      </c>
      <c r="C42" s="553" t="s">
        <v>1274</v>
      </c>
      <c r="D42" s="557">
        <f>D43+D44</f>
        <v>935459</v>
      </c>
      <c r="E42" s="355">
        <f t="shared" si="15"/>
        <v>0.18</v>
      </c>
      <c r="F42" s="557">
        <f>F43+F44</f>
        <v>904909</v>
      </c>
      <c r="G42" s="355">
        <f t="shared" si="16"/>
        <v>0.18</v>
      </c>
      <c r="H42" s="558">
        <f t="shared" si="10"/>
        <v>30550</v>
      </c>
      <c r="I42" s="316">
        <f t="shared" si="9"/>
        <v>3.38</v>
      </c>
      <c r="K42" s="556">
        <f t="shared" si="11"/>
        <v>20.061499999999999</v>
      </c>
      <c r="L42" s="556">
        <f t="shared" si="12"/>
        <v>0.1789</v>
      </c>
      <c r="M42" s="556">
        <f t="shared" si="13"/>
        <v>0.18310000000000001</v>
      </c>
    </row>
    <row r="43" spans="1:13" s="233" customFormat="1" ht="26.2" customHeight="1">
      <c r="A43" s="551">
        <v>131380419</v>
      </c>
      <c r="B43" s="552">
        <f t="shared" si="14"/>
        <v>20.059999999999999</v>
      </c>
      <c r="C43" s="553" t="s">
        <v>1253</v>
      </c>
      <c r="D43" s="557">
        <v>935459</v>
      </c>
      <c r="E43" s="355">
        <f t="shared" si="15"/>
        <v>0.18</v>
      </c>
      <c r="F43" s="557">
        <v>904909</v>
      </c>
      <c r="G43" s="355">
        <f t="shared" si="16"/>
        <v>0.18</v>
      </c>
      <c r="H43" s="558">
        <f t="shared" si="10"/>
        <v>30550</v>
      </c>
      <c r="I43" s="316">
        <f t="shared" si="9"/>
        <v>3.38</v>
      </c>
      <c r="K43" s="556">
        <f t="shared" si="11"/>
        <v>20.061499999999999</v>
      </c>
      <c r="L43" s="556">
        <f t="shared" si="12"/>
        <v>0.1789</v>
      </c>
      <c r="M43" s="556">
        <f t="shared" si="13"/>
        <v>0.18310000000000001</v>
      </c>
    </row>
    <row r="44" spans="1:13" s="233" customFormat="1" ht="23.25" hidden="1" customHeight="1">
      <c r="A44" s="569">
        <v>0</v>
      </c>
      <c r="B44" s="559">
        <f t="shared" si="14"/>
        <v>0</v>
      </c>
      <c r="C44" s="553" t="s">
        <v>1250</v>
      </c>
      <c r="D44" s="554">
        <v>0</v>
      </c>
      <c r="E44" s="355">
        <f t="shared" si="15"/>
        <v>0</v>
      </c>
      <c r="F44" s="554">
        <v>0</v>
      </c>
      <c r="G44" s="355">
        <f t="shared" si="16"/>
        <v>0</v>
      </c>
      <c r="H44" s="554">
        <f t="shared" si="10"/>
        <v>0</v>
      </c>
      <c r="I44" s="555">
        <v>0</v>
      </c>
      <c r="K44" s="556">
        <f t="shared" si="11"/>
        <v>0</v>
      </c>
      <c r="L44" s="556">
        <f t="shared" si="12"/>
        <v>0</v>
      </c>
      <c r="M44" s="556">
        <f t="shared" si="13"/>
        <v>0</v>
      </c>
    </row>
    <row r="45" spans="1:13" s="233" customFormat="1" ht="25.2" customHeight="1">
      <c r="A45" s="551">
        <v>43990</v>
      </c>
      <c r="B45" s="552">
        <f t="shared" si="14"/>
        <v>0.01</v>
      </c>
      <c r="C45" s="553" t="s">
        <v>1273</v>
      </c>
      <c r="D45" s="573">
        <f>D46</f>
        <v>68000</v>
      </c>
      <c r="E45" s="355">
        <f t="shared" si="15"/>
        <v>0.01</v>
      </c>
      <c r="F45" s="573">
        <f>F46</f>
        <v>68000</v>
      </c>
      <c r="G45" s="355">
        <f t="shared" si="16"/>
        <v>0.01</v>
      </c>
      <c r="H45" s="554">
        <f t="shared" si="10"/>
        <v>0</v>
      </c>
      <c r="I45" s="555">
        <f>ROUND(H45/F45*100,2)</f>
        <v>0</v>
      </c>
      <c r="K45" s="556">
        <f t="shared" si="11"/>
        <v>6.7000000000000002E-3</v>
      </c>
      <c r="L45" s="556">
        <f t="shared" si="12"/>
        <v>1.2999999999999999E-2</v>
      </c>
      <c r="M45" s="556">
        <f t="shared" si="13"/>
        <v>1.38E-2</v>
      </c>
    </row>
    <row r="46" spans="1:13" s="233" customFormat="1" ht="25.2" customHeight="1">
      <c r="A46" s="551">
        <v>43990</v>
      </c>
      <c r="B46" s="552">
        <f t="shared" si="14"/>
        <v>0.01</v>
      </c>
      <c r="C46" s="553" t="s">
        <v>1253</v>
      </c>
      <c r="D46" s="557">
        <v>68000</v>
      </c>
      <c r="E46" s="355">
        <f t="shared" si="15"/>
        <v>0.01</v>
      </c>
      <c r="F46" s="557">
        <v>68000</v>
      </c>
      <c r="G46" s="355">
        <f t="shared" si="16"/>
        <v>0.01</v>
      </c>
      <c r="H46" s="554">
        <f t="shared" si="10"/>
        <v>0</v>
      </c>
      <c r="I46" s="555">
        <f>ROUND(H46/F46*100,2)</f>
        <v>0</v>
      </c>
      <c r="K46" s="556">
        <f t="shared" si="11"/>
        <v>6.7000000000000002E-3</v>
      </c>
      <c r="L46" s="556">
        <f t="shared" si="12"/>
        <v>1.2999999999999999E-2</v>
      </c>
      <c r="M46" s="556">
        <f t="shared" si="13"/>
        <v>1.38E-2</v>
      </c>
    </row>
    <row r="47" spans="1:13" s="233" customFormat="1" ht="28.8" customHeight="1">
      <c r="A47" s="551">
        <v>30413269</v>
      </c>
      <c r="B47" s="552">
        <f t="shared" si="14"/>
        <v>4.6399999999999997</v>
      </c>
      <c r="C47" s="553" t="s">
        <v>1272</v>
      </c>
      <c r="D47" s="554">
        <f>D48</f>
        <v>0</v>
      </c>
      <c r="E47" s="355">
        <f t="shared" si="15"/>
        <v>0</v>
      </c>
      <c r="F47" s="554">
        <f>F48</f>
        <v>0</v>
      </c>
      <c r="G47" s="355">
        <f t="shared" si="16"/>
        <v>0</v>
      </c>
      <c r="H47" s="554">
        <f t="shared" si="10"/>
        <v>0</v>
      </c>
      <c r="I47" s="555">
        <v>0</v>
      </c>
      <c r="K47" s="556">
        <f t="shared" si="11"/>
        <v>4.6440000000000001</v>
      </c>
      <c r="L47" s="556">
        <f t="shared" si="12"/>
        <v>0</v>
      </c>
      <c r="M47" s="556">
        <f t="shared" si="13"/>
        <v>0</v>
      </c>
    </row>
    <row r="48" spans="1:13" s="233" customFormat="1" ht="27.65" customHeight="1">
      <c r="A48" s="551">
        <v>30413269</v>
      </c>
      <c r="B48" s="552">
        <f t="shared" si="14"/>
        <v>4.6399999999999997</v>
      </c>
      <c r="C48" s="553" t="s">
        <v>1251</v>
      </c>
      <c r="D48" s="554">
        <v>0</v>
      </c>
      <c r="E48" s="355">
        <f t="shared" si="15"/>
        <v>0</v>
      </c>
      <c r="F48" s="554">
        <v>0</v>
      </c>
      <c r="G48" s="355">
        <f t="shared" si="16"/>
        <v>0</v>
      </c>
      <c r="H48" s="554">
        <f t="shared" si="10"/>
        <v>0</v>
      </c>
      <c r="I48" s="555">
        <v>0</v>
      </c>
      <c r="K48" s="556">
        <f t="shared" si="11"/>
        <v>4.6440000000000001</v>
      </c>
      <c r="L48" s="556">
        <f t="shared" si="12"/>
        <v>0</v>
      </c>
      <c r="M48" s="556">
        <f t="shared" si="13"/>
        <v>0</v>
      </c>
    </row>
    <row r="49" spans="1:13" s="32" customFormat="1" ht="27.65" customHeight="1">
      <c r="A49" s="305">
        <v>493324218</v>
      </c>
      <c r="B49" s="545">
        <f t="shared" si="14"/>
        <v>75.33</v>
      </c>
      <c r="C49" s="546" t="s">
        <v>1271</v>
      </c>
      <c r="D49" s="547">
        <f>D50+D53+D56</f>
        <v>522207384</v>
      </c>
      <c r="E49" s="550">
        <f t="shared" si="15"/>
        <v>99.85</v>
      </c>
      <c r="F49" s="547">
        <f>F50+F53+F56</f>
        <v>493513068</v>
      </c>
      <c r="G49" s="550">
        <f t="shared" si="16"/>
        <v>99.84</v>
      </c>
      <c r="H49" s="548">
        <f t="shared" si="10"/>
        <v>28694316</v>
      </c>
      <c r="I49" s="320">
        <f>ROUND(H49/F49*100,2)</f>
        <v>5.81</v>
      </c>
      <c r="K49" s="549">
        <f t="shared" si="11"/>
        <v>75.329599999999999</v>
      </c>
      <c r="L49" s="549">
        <f t="shared" si="12"/>
        <v>99.845100000000002</v>
      </c>
      <c r="M49" s="549">
        <f t="shared" si="13"/>
        <v>99.842699999999994</v>
      </c>
    </row>
    <row r="50" spans="1:13" s="233" customFormat="1" ht="29" customHeight="1">
      <c r="A50" s="551">
        <v>456241973</v>
      </c>
      <c r="B50" s="552">
        <f t="shared" si="14"/>
        <v>69.67</v>
      </c>
      <c r="C50" s="553" t="s">
        <v>1270</v>
      </c>
      <c r="D50" s="557">
        <f>D51+D52</f>
        <v>520975856</v>
      </c>
      <c r="E50" s="355">
        <f t="shared" si="15"/>
        <v>99.61</v>
      </c>
      <c r="F50" s="557">
        <f>F51+F52</f>
        <v>491651979</v>
      </c>
      <c r="G50" s="355">
        <f t="shared" si="16"/>
        <v>99.47</v>
      </c>
      <c r="H50" s="558">
        <f t="shared" si="10"/>
        <v>29323877</v>
      </c>
      <c r="I50" s="316">
        <f>ROUND(H50/F50*100,2)</f>
        <v>5.96</v>
      </c>
      <c r="K50" s="556">
        <f t="shared" si="11"/>
        <v>69.667199999999994</v>
      </c>
      <c r="L50" s="556">
        <f t="shared" si="12"/>
        <v>99.6096</v>
      </c>
      <c r="M50" s="556">
        <f t="shared" si="13"/>
        <v>99.466099999999997</v>
      </c>
    </row>
    <row r="51" spans="1:13" s="233" customFormat="1" ht="29.3" customHeight="1">
      <c r="A51" s="551">
        <v>448797088</v>
      </c>
      <c r="B51" s="552">
        <f t="shared" si="14"/>
        <v>68.53</v>
      </c>
      <c r="C51" s="553" t="s">
        <v>1253</v>
      </c>
      <c r="D51" s="557">
        <v>518440489</v>
      </c>
      <c r="E51" s="355">
        <f t="shared" si="15"/>
        <v>99.12</v>
      </c>
      <c r="F51" s="557">
        <v>484271046</v>
      </c>
      <c r="G51" s="355">
        <f t="shared" si="16"/>
        <v>97.97</v>
      </c>
      <c r="H51" s="558">
        <f t="shared" si="10"/>
        <v>34169443</v>
      </c>
      <c r="I51" s="316">
        <f>ROUND(H51/F51*100,2)</f>
        <v>7.06</v>
      </c>
      <c r="K51" s="556">
        <f t="shared" si="11"/>
        <v>68.5304</v>
      </c>
      <c r="L51" s="556">
        <f t="shared" si="12"/>
        <v>99.124799999999993</v>
      </c>
      <c r="M51" s="556">
        <f t="shared" si="13"/>
        <v>97.972899999999996</v>
      </c>
    </row>
    <row r="52" spans="1:13" s="233" customFormat="1" ht="30.15" customHeight="1" thickBot="1">
      <c r="A52" s="562">
        <v>7444884</v>
      </c>
      <c r="B52" s="563">
        <f t="shared" si="14"/>
        <v>1.1399999999999999</v>
      </c>
      <c r="C52" s="564" t="s">
        <v>1250</v>
      </c>
      <c r="D52" s="565">
        <v>2535367</v>
      </c>
      <c r="E52" s="377">
        <f t="shared" si="15"/>
        <v>0.48</v>
      </c>
      <c r="F52" s="565">
        <v>7380933</v>
      </c>
      <c r="G52" s="377">
        <f t="shared" si="16"/>
        <v>1.49</v>
      </c>
      <c r="H52" s="566">
        <f t="shared" si="10"/>
        <v>-4845566</v>
      </c>
      <c r="I52" s="332">
        <f>ROUND(H52/F52*100,2)</f>
        <v>-65.650000000000006</v>
      </c>
      <c r="K52" s="556">
        <f t="shared" si="11"/>
        <v>1.1368</v>
      </c>
      <c r="L52" s="556">
        <f t="shared" si="12"/>
        <v>0.48480000000000001</v>
      </c>
      <c r="M52" s="556">
        <f t="shared" si="13"/>
        <v>1.4932000000000001</v>
      </c>
    </row>
    <row r="53" spans="1:13" s="233" customFormat="1" ht="29.45" customHeight="1">
      <c r="A53" s="551">
        <v>36327167</v>
      </c>
      <c r="B53" s="552">
        <f t="shared" si="14"/>
        <v>5.55</v>
      </c>
      <c r="C53" s="553" t="s">
        <v>1269</v>
      </c>
      <c r="D53" s="557">
        <f>SUM(D54:D55)</f>
        <v>387583</v>
      </c>
      <c r="E53" s="355">
        <f t="shared" si="15"/>
        <v>7.0000000000000007E-2</v>
      </c>
      <c r="F53" s="557">
        <f>SUM(F54:F55)</f>
        <v>1159558</v>
      </c>
      <c r="G53" s="355">
        <f t="shared" si="16"/>
        <v>0.23</v>
      </c>
      <c r="H53" s="558">
        <f t="shared" si="10"/>
        <v>-771975</v>
      </c>
      <c r="I53" s="316">
        <f>ROUND(H53/F53*100,2)</f>
        <v>-66.569999999999993</v>
      </c>
      <c r="K53" s="556">
        <f t="shared" si="11"/>
        <v>5.5471000000000004</v>
      </c>
      <c r="L53" s="556">
        <f t="shared" si="12"/>
        <v>7.4099999999999999E-2</v>
      </c>
      <c r="M53" s="556">
        <f t="shared" si="13"/>
        <v>0.2346</v>
      </c>
    </row>
    <row r="54" spans="1:13" s="233" customFormat="1" ht="29.8" customHeight="1">
      <c r="A54" s="551">
        <v>35590076</v>
      </c>
      <c r="B54" s="552">
        <f t="shared" si="14"/>
        <v>5.43</v>
      </c>
      <c r="C54" s="553" t="s">
        <v>1253</v>
      </c>
      <c r="D54" s="554">
        <v>0</v>
      </c>
      <c r="E54" s="355">
        <f t="shared" si="15"/>
        <v>0</v>
      </c>
      <c r="F54" s="554">
        <v>0</v>
      </c>
      <c r="G54" s="355">
        <f t="shared" si="16"/>
        <v>0</v>
      </c>
      <c r="H54" s="554">
        <f t="shared" si="10"/>
        <v>0</v>
      </c>
      <c r="I54" s="555">
        <v>0</v>
      </c>
      <c r="K54" s="556">
        <f t="shared" si="11"/>
        <v>5.4344999999999999</v>
      </c>
      <c r="L54" s="556">
        <f t="shared" si="12"/>
        <v>0</v>
      </c>
      <c r="M54" s="556">
        <f t="shared" si="13"/>
        <v>0</v>
      </c>
    </row>
    <row r="55" spans="1:13" s="233" customFormat="1" ht="28.65" customHeight="1">
      <c r="A55" s="551">
        <v>737091</v>
      </c>
      <c r="B55" s="552">
        <f t="shared" si="14"/>
        <v>0.11</v>
      </c>
      <c r="C55" s="553" t="s">
        <v>1250</v>
      </c>
      <c r="D55" s="554">
        <v>387583</v>
      </c>
      <c r="E55" s="355">
        <f t="shared" si="15"/>
        <v>7.0000000000000007E-2</v>
      </c>
      <c r="F55" s="554">
        <v>1159558</v>
      </c>
      <c r="G55" s="355">
        <f t="shared" si="16"/>
        <v>0.23</v>
      </c>
      <c r="H55" s="315">
        <f t="shared" si="10"/>
        <v>-771975</v>
      </c>
      <c r="I55" s="316">
        <f>ROUND(H55/F55*100,2)</f>
        <v>-66.569999999999993</v>
      </c>
      <c r="K55" s="556">
        <f t="shared" si="11"/>
        <v>0.11260000000000001</v>
      </c>
      <c r="L55" s="556">
        <f t="shared" si="12"/>
        <v>7.4099999999999999E-2</v>
      </c>
      <c r="M55" s="556">
        <f t="shared" si="13"/>
        <v>0.2346</v>
      </c>
    </row>
    <row r="56" spans="1:13" s="233" customFormat="1" ht="28.65" customHeight="1">
      <c r="A56" s="551">
        <v>755078</v>
      </c>
      <c r="B56" s="552">
        <f t="shared" si="14"/>
        <v>0.12</v>
      </c>
      <c r="C56" s="553" t="s">
        <v>1268</v>
      </c>
      <c r="D56" s="557">
        <f>D57+D58</f>
        <v>843945</v>
      </c>
      <c r="E56" s="355">
        <f t="shared" si="15"/>
        <v>0.16</v>
      </c>
      <c r="F56" s="557">
        <f>F57+F58</f>
        <v>701531</v>
      </c>
      <c r="G56" s="355">
        <f t="shared" si="16"/>
        <v>0.14000000000000001</v>
      </c>
      <c r="H56" s="558">
        <f t="shared" si="10"/>
        <v>142414</v>
      </c>
      <c r="I56" s="316">
        <f>ROUND(H56/F56*100,2)</f>
        <v>20.3</v>
      </c>
      <c r="K56" s="556">
        <f t="shared" si="11"/>
        <v>0.1153</v>
      </c>
      <c r="L56" s="556">
        <f t="shared" si="12"/>
        <v>0.16139999999999999</v>
      </c>
      <c r="M56" s="556">
        <f t="shared" si="13"/>
        <v>0.1419</v>
      </c>
    </row>
    <row r="57" spans="1:13" s="233" customFormat="1" ht="28.65" customHeight="1">
      <c r="A57" s="551">
        <v>734129</v>
      </c>
      <c r="B57" s="552">
        <f t="shared" si="14"/>
        <v>0.11</v>
      </c>
      <c r="C57" s="553" t="s">
        <v>1253</v>
      </c>
      <c r="D57" s="557">
        <v>835749</v>
      </c>
      <c r="E57" s="355">
        <f t="shared" si="15"/>
        <v>0.16</v>
      </c>
      <c r="F57" s="557">
        <v>681537</v>
      </c>
      <c r="G57" s="355">
        <f t="shared" si="16"/>
        <v>0.14000000000000001</v>
      </c>
      <c r="H57" s="558">
        <f t="shared" si="10"/>
        <v>154212</v>
      </c>
      <c r="I57" s="316">
        <f>ROUND(H57/F57*100,2)</f>
        <v>22.63</v>
      </c>
      <c r="K57" s="556">
        <f t="shared" si="11"/>
        <v>0.11210000000000001</v>
      </c>
      <c r="L57" s="556">
        <f t="shared" si="12"/>
        <v>0.1598</v>
      </c>
      <c r="M57" s="556">
        <f t="shared" si="13"/>
        <v>0.13789999999999999</v>
      </c>
    </row>
    <row r="58" spans="1:13" s="233" customFormat="1" ht="28.65" customHeight="1">
      <c r="A58" s="551">
        <v>20949</v>
      </c>
      <c r="B58" s="554">
        <f t="shared" si="14"/>
        <v>0</v>
      </c>
      <c r="C58" s="553" t="s">
        <v>1250</v>
      </c>
      <c r="D58" s="557">
        <v>8196</v>
      </c>
      <c r="E58" s="355">
        <f t="shared" si="15"/>
        <v>0</v>
      </c>
      <c r="F58" s="557">
        <v>19994</v>
      </c>
      <c r="G58" s="355">
        <f t="shared" si="16"/>
        <v>0</v>
      </c>
      <c r="H58" s="558">
        <f t="shared" si="10"/>
        <v>-11798</v>
      </c>
      <c r="I58" s="316">
        <f>ROUND(H58/F58*100,2)</f>
        <v>-59.01</v>
      </c>
      <c r="K58" s="556">
        <f t="shared" si="11"/>
        <v>3.2000000000000002E-3</v>
      </c>
      <c r="L58" s="556">
        <f t="shared" si="12"/>
        <v>1.6000000000000001E-3</v>
      </c>
      <c r="M58" s="556">
        <f t="shared" si="13"/>
        <v>4.0000000000000001E-3</v>
      </c>
    </row>
    <row r="59" spans="1:13" s="32" customFormat="1" ht="27.65" hidden="1" customHeight="1">
      <c r="A59" s="305">
        <v>0</v>
      </c>
      <c r="B59" s="559">
        <f t="shared" si="14"/>
        <v>0</v>
      </c>
      <c r="C59" s="546" t="s">
        <v>1267</v>
      </c>
      <c r="D59" s="554">
        <f>+D60</f>
        <v>0</v>
      </c>
      <c r="E59" s="355">
        <f t="shared" si="15"/>
        <v>0</v>
      </c>
      <c r="F59" s="554">
        <f>+F60</f>
        <v>0</v>
      </c>
      <c r="G59" s="355">
        <f t="shared" si="16"/>
        <v>0</v>
      </c>
      <c r="H59" s="554">
        <f t="shared" si="10"/>
        <v>0</v>
      </c>
      <c r="I59" s="555">
        <v>0</v>
      </c>
      <c r="K59" s="549">
        <f t="shared" si="11"/>
        <v>0</v>
      </c>
      <c r="L59" s="549">
        <f t="shared" si="12"/>
        <v>0</v>
      </c>
      <c r="M59" s="549">
        <f t="shared" si="13"/>
        <v>0</v>
      </c>
    </row>
    <row r="60" spans="1:13" s="233" customFormat="1" ht="28.65" hidden="1" customHeight="1">
      <c r="A60" s="551">
        <v>0</v>
      </c>
      <c r="B60" s="554">
        <f t="shared" si="14"/>
        <v>0</v>
      </c>
      <c r="C60" s="553" t="s">
        <v>1266</v>
      </c>
      <c r="D60" s="554">
        <f>+D61</f>
        <v>0</v>
      </c>
      <c r="E60" s="355">
        <f t="shared" si="15"/>
        <v>0</v>
      </c>
      <c r="F60" s="554">
        <f>+F61</f>
        <v>0</v>
      </c>
      <c r="G60" s="355">
        <f t="shared" si="16"/>
        <v>0</v>
      </c>
      <c r="H60" s="554">
        <f t="shared" si="10"/>
        <v>0</v>
      </c>
      <c r="I60" s="555">
        <v>0</v>
      </c>
      <c r="K60" s="556">
        <f t="shared" si="11"/>
        <v>0</v>
      </c>
      <c r="L60" s="556">
        <f t="shared" si="12"/>
        <v>0</v>
      </c>
      <c r="M60" s="556">
        <f t="shared" si="13"/>
        <v>0</v>
      </c>
    </row>
    <row r="61" spans="1:13" s="233" customFormat="1" ht="28.65" hidden="1" customHeight="1">
      <c r="A61" s="551">
        <v>0</v>
      </c>
      <c r="B61" s="554">
        <f t="shared" si="14"/>
        <v>0</v>
      </c>
      <c r="C61" s="553" t="s">
        <v>1253</v>
      </c>
      <c r="D61" s="554">
        <v>0</v>
      </c>
      <c r="E61" s="355">
        <f t="shared" si="15"/>
        <v>0</v>
      </c>
      <c r="F61" s="554">
        <v>0</v>
      </c>
      <c r="G61" s="355">
        <f t="shared" si="16"/>
        <v>0</v>
      </c>
      <c r="H61" s="554">
        <f t="shared" si="10"/>
        <v>0</v>
      </c>
      <c r="I61" s="555">
        <v>0</v>
      </c>
      <c r="K61" s="556">
        <f t="shared" si="11"/>
        <v>0</v>
      </c>
      <c r="L61" s="556">
        <f t="shared" si="12"/>
        <v>0</v>
      </c>
      <c r="M61" s="556">
        <f t="shared" si="13"/>
        <v>0</v>
      </c>
    </row>
    <row r="62" spans="1:13" s="32" customFormat="1" ht="28.65" customHeight="1">
      <c r="A62" s="574">
        <v>-311231</v>
      </c>
      <c r="B62" s="545">
        <f t="shared" si="14"/>
        <v>-0.05</v>
      </c>
      <c r="C62" s="546" t="s">
        <v>1265</v>
      </c>
      <c r="D62" s="548">
        <f>SUM(D63:D64)</f>
        <v>-232793</v>
      </c>
      <c r="E62" s="545">
        <f t="shared" si="15"/>
        <v>-0.04</v>
      </c>
      <c r="F62" s="548">
        <f>SUM(F63:F64)</f>
        <v>-216469</v>
      </c>
      <c r="G62" s="545">
        <f t="shared" si="16"/>
        <v>-0.04</v>
      </c>
      <c r="H62" s="548">
        <f t="shared" si="10"/>
        <v>-16324</v>
      </c>
      <c r="I62" s="320">
        <f t="shared" ref="I62:I70" si="17">ROUND(H62/F62*100,2)</f>
        <v>7.54</v>
      </c>
      <c r="K62" s="549">
        <f t="shared" si="11"/>
        <v>-4.7500000000000001E-2</v>
      </c>
      <c r="L62" s="549">
        <f t="shared" si="12"/>
        <v>-4.4499999999999998E-2</v>
      </c>
      <c r="M62" s="549">
        <f t="shared" si="13"/>
        <v>-4.3799999999999999E-2</v>
      </c>
    </row>
    <row r="63" spans="1:13" s="233" customFormat="1" ht="28.15" customHeight="1">
      <c r="A63" s="575">
        <v>-311033</v>
      </c>
      <c r="B63" s="552">
        <f t="shared" si="14"/>
        <v>-0.05</v>
      </c>
      <c r="C63" s="553" t="s">
        <v>1253</v>
      </c>
      <c r="D63" s="576">
        <f>+D11+D14+D17++D21+D19+D23+D27+D34+D36-D40-D43-D46-D48-D51-D54-D57+D30</f>
        <v>-229761</v>
      </c>
      <c r="E63" s="552">
        <f t="shared" si="15"/>
        <v>-0.04</v>
      </c>
      <c r="F63" s="576">
        <f>+F11+F14+F17++F21+F19+F23+F27+F34+F36-F40-F43-F46-F48-F51-F54-F57+F30</f>
        <v>-216377</v>
      </c>
      <c r="G63" s="552">
        <f t="shared" si="16"/>
        <v>-0.04</v>
      </c>
      <c r="H63" s="576">
        <f t="shared" si="10"/>
        <v>-13384</v>
      </c>
      <c r="I63" s="316">
        <f t="shared" si="17"/>
        <v>6.19</v>
      </c>
      <c r="K63" s="556">
        <f t="shared" si="11"/>
        <v>-4.7500000000000001E-2</v>
      </c>
      <c r="L63" s="556">
        <f t="shared" si="12"/>
        <v>-4.3900000000000002E-2</v>
      </c>
      <c r="M63" s="556">
        <f t="shared" si="13"/>
        <v>-4.3799999999999999E-2</v>
      </c>
    </row>
    <row r="64" spans="1:13" s="233" customFormat="1" ht="28.15" customHeight="1">
      <c r="A64" s="575">
        <v>-198</v>
      </c>
      <c r="B64" s="559">
        <f t="shared" si="14"/>
        <v>0</v>
      </c>
      <c r="C64" s="553" t="s">
        <v>1250</v>
      </c>
      <c r="D64" s="576">
        <f>D15+D24+D28+D31-D44-D52-D55-D58</f>
        <v>-3032</v>
      </c>
      <c r="E64" s="355">
        <f t="shared" si="15"/>
        <v>0</v>
      </c>
      <c r="F64" s="576">
        <f>F15+F24+F28+F31-F44-F52-F55-F58</f>
        <v>-92</v>
      </c>
      <c r="G64" s="355">
        <f t="shared" si="16"/>
        <v>0</v>
      </c>
      <c r="H64" s="576">
        <f t="shared" si="10"/>
        <v>-2940</v>
      </c>
      <c r="I64" s="316">
        <f t="shared" si="17"/>
        <v>3195.65</v>
      </c>
      <c r="K64" s="556">
        <f t="shared" si="11"/>
        <v>0</v>
      </c>
      <c r="L64" s="556">
        <f t="shared" si="12"/>
        <v>-5.9999999999999995E-4</v>
      </c>
      <c r="M64" s="556">
        <f t="shared" si="13"/>
        <v>0</v>
      </c>
    </row>
    <row r="65" spans="1:14" s="32" customFormat="1" ht="28.65" customHeight="1">
      <c r="A65" s="307">
        <v>311356</v>
      </c>
      <c r="B65" s="545">
        <f t="shared" si="14"/>
        <v>0.05</v>
      </c>
      <c r="C65" s="546" t="s">
        <v>1264</v>
      </c>
      <c r="D65" s="577">
        <f>D66+D70</f>
        <v>232855</v>
      </c>
      <c r="E65" s="550">
        <f t="shared" si="15"/>
        <v>0.04</v>
      </c>
      <c r="F65" s="577">
        <f>F66+F70</f>
        <v>216495</v>
      </c>
      <c r="G65" s="550">
        <f t="shared" si="16"/>
        <v>0.04</v>
      </c>
      <c r="H65" s="319">
        <f t="shared" si="10"/>
        <v>16360</v>
      </c>
      <c r="I65" s="320">
        <f t="shared" si="17"/>
        <v>7.56</v>
      </c>
      <c r="K65" s="549">
        <f t="shared" si="11"/>
        <v>4.7500000000000001E-2</v>
      </c>
      <c r="L65" s="549">
        <f t="shared" si="12"/>
        <v>4.4499999999999998E-2</v>
      </c>
      <c r="M65" s="549">
        <f t="shared" si="13"/>
        <v>4.3799999999999999E-2</v>
      </c>
    </row>
    <row r="66" spans="1:14" s="32" customFormat="1" ht="27.85" customHeight="1">
      <c r="A66" s="305">
        <v>621</v>
      </c>
      <c r="B66" s="559">
        <f t="shared" si="14"/>
        <v>0</v>
      </c>
      <c r="C66" s="546" t="s">
        <v>1263</v>
      </c>
      <c r="D66" s="547">
        <f>D67</f>
        <v>332</v>
      </c>
      <c r="E66" s="550">
        <f t="shared" si="15"/>
        <v>0</v>
      </c>
      <c r="F66" s="547">
        <f>F67</f>
        <v>341</v>
      </c>
      <c r="G66" s="550">
        <f t="shared" si="16"/>
        <v>0</v>
      </c>
      <c r="H66" s="319">
        <f t="shared" si="10"/>
        <v>-9</v>
      </c>
      <c r="I66" s="320">
        <f t="shared" si="17"/>
        <v>-2.64</v>
      </c>
      <c r="K66" s="549">
        <f t="shared" si="11"/>
        <v>1E-4</v>
      </c>
      <c r="L66" s="549">
        <f t="shared" si="12"/>
        <v>1E-4</v>
      </c>
      <c r="M66" s="549">
        <f t="shared" si="13"/>
        <v>1E-4</v>
      </c>
    </row>
    <row r="67" spans="1:14" s="233" customFormat="1" ht="28.15" customHeight="1">
      <c r="A67" s="551">
        <v>621</v>
      </c>
      <c r="B67" s="559">
        <f t="shared" si="14"/>
        <v>0</v>
      </c>
      <c r="C67" s="553" t="s">
        <v>1262</v>
      </c>
      <c r="D67" s="557">
        <f>SUM(D68:D69)</f>
        <v>332</v>
      </c>
      <c r="E67" s="355">
        <f t="shared" si="15"/>
        <v>0</v>
      </c>
      <c r="F67" s="557">
        <f>SUM(F68:F69)</f>
        <v>341</v>
      </c>
      <c r="G67" s="355">
        <f t="shared" si="16"/>
        <v>0</v>
      </c>
      <c r="H67" s="576">
        <f t="shared" si="10"/>
        <v>-9</v>
      </c>
      <c r="I67" s="316">
        <f t="shared" si="17"/>
        <v>-2.64</v>
      </c>
      <c r="K67" s="556">
        <f t="shared" si="11"/>
        <v>1E-4</v>
      </c>
      <c r="L67" s="556">
        <f t="shared" si="12"/>
        <v>1E-4</v>
      </c>
      <c r="M67" s="556">
        <f t="shared" si="13"/>
        <v>1E-4</v>
      </c>
    </row>
    <row r="68" spans="1:14" s="233" customFormat="1" ht="27" customHeight="1">
      <c r="A68" s="551">
        <v>599</v>
      </c>
      <c r="B68" s="559">
        <f t="shared" si="14"/>
        <v>0</v>
      </c>
      <c r="C68" s="553" t="s">
        <v>1253</v>
      </c>
      <c r="D68" s="557">
        <v>326</v>
      </c>
      <c r="E68" s="355">
        <f t="shared" si="15"/>
        <v>0</v>
      </c>
      <c r="F68" s="557">
        <v>320</v>
      </c>
      <c r="G68" s="355">
        <f t="shared" si="16"/>
        <v>0</v>
      </c>
      <c r="H68" s="558">
        <f t="shared" si="10"/>
        <v>6</v>
      </c>
      <c r="I68" s="316">
        <f t="shared" si="17"/>
        <v>1.88</v>
      </c>
      <c r="K68" s="556">
        <f t="shared" si="11"/>
        <v>1E-4</v>
      </c>
      <c r="L68" s="556">
        <f t="shared" si="12"/>
        <v>1E-4</v>
      </c>
      <c r="M68" s="556">
        <f t="shared" si="13"/>
        <v>1E-4</v>
      </c>
    </row>
    <row r="69" spans="1:14" s="233" customFormat="1" ht="28.15" customHeight="1">
      <c r="A69" s="551">
        <v>22</v>
      </c>
      <c r="B69" s="559">
        <f t="shared" si="14"/>
        <v>0</v>
      </c>
      <c r="C69" s="553" t="s">
        <v>1250</v>
      </c>
      <c r="D69" s="557">
        <v>6</v>
      </c>
      <c r="E69" s="355">
        <f t="shared" si="15"/>
        <v>0</v>
      </c>
      <c r="F69" s="557">
        <v>21</v>
      </c>
      <c r="G69" s="355">
        <f t="shared" si="16"/>
        <v>0</v>
      </c>
      <c r="H69" s="558">
        <f t="shared" si="10"/>
        <v>-15</v>
      </c>
      <c r="I69" s="316">
        <f t="shared" si="17"/>
        <v>-71.430000000000007</v>
      </c>
      <c r="K69" s="556">
        <f t="shared" si="11"/>
        <v>0</v>
      </c>
      <c r="L69" s="556">
        <f t="shared" si="12"/>
        <v>0</v>
      </c>
      <c r="M69" s="556">
        <f t="shared" si="13"/>
        <v>0</v>
      </c>
    </row>
    <row r="70" spans="1:14" s="32" customFormat="1" ht="27" customHeight="1">
      <c r="A70" s="305">
        <v>310735</v>
      </c>
      <c r="B70" s="545">
        <f t="shared" si="14"/>
        <v>0.05</v>
      </c>
      <c r="C70" s="546" t="s">
        <v>1261</v>
      </c>
      <c r="D70" s="547">
        <f>D71+D73+D76</f>
        <v>232523</v>
      </c>
      <c r="E70" s="550">
        <f t="shared" si="15"/>
        <v>0.04</v>
      </c>
      <c r="F70" s="547">
        <f>F71+F73+F76</f>
        <v>216154</v>
      </c>
      <c r="G70" s="550">
        <f t="shared" si="16"/>
        <v>0.04</v>
      </c>
      <c r="H70" s="319">
        <f t="shared" si="10"/>
        <v>16369</v>
      </c>
      <c r="I70" s="320">
        <f t="shared" si="17"/>
        <v>7.57</v>
      </c>
      <c r="K70" s="549">
        <f t="shared" si="11"/>
        <v>4.7399999999999998E-2</v>
      </c>
      <c r="L70" s="549">
        <f t="shared" si="12"/>
        <v>4.4499999999999998E-2</v>
      </c>
      <c r="M70" s="549">
        <f t="shared" si="13"/>
        <v>4.3700000000000003E-2</v>
      </c>
    </row>
    <row r="71" spans="1:14" s="233" customFormat="1" ht="28.15" customHeight="1">
      <c r="A71" s="551">
        <v>474</v>
      </c>
      <c r="B71" s="559">
        <f t="shared" si="14"/>
        <v>0</v>
      </c>
      <c r="C71" s="553" t="s">
        <v>1260</v>
      </c>
      <c r="D71" s="554">
        <f>SUM(D72:D72)</f>
        <v>700</v>
      </c>
      <c r="E71" s="355">
        <f t="shared" si="15"/>
        <v>0</v>
      </c>
      <c r="F71" s="554">
        <f>SUM(F72:F72)</f>
        <v>700</v>
      </c>
      <c r="G71" s="355">
        <f t="shared" si="16"/>
        <v>0</v>
      </c>
      <c r="H71" s="554">
        <f t="shared" si="10"/>
        <v>0</v>
      </c>
      <c r="I71" s="314">
        <v>0</v>
      </c>
      <c r="K71" s="556">
        <f t="shared" si="11"/>
        <v>1E-4</v>
      </c>
      <c r="L71" s="556">
        <f t="shared" si="12"/>
        <v>1E-4</v>
      </c>
      <c r="M71" s="556">
        <f t="shared" si="13"/>
        <v>1E-4</v>
      </c>
    </row>
    <row r="72" spans="1:14" s="233" customFormat="1" ht="24.05" customHeight="1">
      <c r="A72" s="551">
        <v>474</v>
      </c>
      <c r="B72" s="559">
        <f t="shared" si="14"/>
        <v>0</v>
      </c>
      <c r="C72" s="553" t="s">
        <v>1251</v>
      </c>
      <c r="D72" s="554">
        <v>700</v>
      </c>
      <c r="E72" s="355">
        <f t="shared" si="15"/>
        <v>0</v>
      </c>
      <c r="F72" s="554">
        <v>700</v>
      </c>
      <c r="G72" s="355">
        <f t="shared" si="16"/>
        <v>0</v>
      </c>
      <c r="H72" s="554">
        <f t="shared" ref="H72:H87" si="18">D72-F72</f>
        <v>0</v>
      </c>
      <c r="I72" s="314">
        <v>0</v>
      </c>
      <c r="K72" s="556">
        <f t="shared" ref="K72:K86" si="19">ROUND(A72/$A$8*100,4)</f>
        <v>1E-4</v>
      </c>
      <c r="L72" s="556">
        <f t="shared" ref="L72:L86" si="20">ROUND(D72/$D$8*100,4)</f>
        <v>1E-4</v>
      </c>
      <c r="M72" s="556">
        <f t="shared" ref="M72:M86" si="21">ROUND(F72/$F$8*100,4)</f>
        <v>1E-4</v>
      </c>
    </row>
    <row r="73" spans="1:14" s="233" customFormat="1" ht="27.85" customHeight="1">
      <c r="A73" s="551">
        <v>284605</v>
      </c>
      <c r="B73" s="552">
        <f t="shared" ref="B73:B87" si="22">ROUND(A73/$A$8*100,2)</f>
        <v>0.04</v>
      </c>
      <c r="C73" s="553" t="s">
        <v>1259</v>
      </c>
      <c r="D73" s="557">
        <f>SUM(D74:D75)</f>
        <v>223444</v>
      </c>
      <c r="E73" s="355">
        <f t="shared" ref="E73:E87" si="23">ROUND(D73/$D$8*100,2)</f>
        <v>0.04</v>
      </c>
      <c r="F73" s="557">
        <f>SUM(F74:F75)</f>
        <v>210505</v>
      </c>
      <c r="G73" s="355">
        <f t="shared" ref="G73:G87" si="24">ROUND(F73/$F$8*100,2)</f>
        <v>0.04</v>
      </c>
      <c r="H73" s="576">
        <f t="shared" si="18"/>
        <v>12939</v>
      </c>
      <c r="I73" s="316">
        <f t="shared" ref="I73:I86" si="25">ROUND(H73/F73*100,2)</f>
        <v>6.15</v>
      </c>
      <c r="K73" s="556">
        <f t="shared" si="19"/>
        <v>4.3499999999999997E-2</v>
      </c>
      <c r="L73" s="556">
        <f t="shared" si="20"/>
        <v>4.2700000000000002E-2</v>
      </c>
      <c r="M73" s="556">
        <f t="shared" si="21"/>
        <v>4.2599999999999999E-2</v>
      </c>
    </row>
    <row r="74" spans="1:14" s="233" customFormat="1" ht="29.95" customHeight="1">
      <c r="A74" s="551">
        <v>284516</v>
      </c>
      <c r="B74" s="552">
        <f t="shared" si="22"/>
        <v>0.04</v>
      </c>
      <c r="C74" s="553" t="s">
        <v>1251</v>
      </c>
      <c r="D74" s="557">
        <v>220419</v>
      </c>
      <c r="E74" s="355">
        <f t="shared" si="23"/>
        <v>0.04</v>
      </c>
      <c r="F74" s="557">
        <v>210435</v>
      </c>
      <c r="G74" s="355">
        <f t="shared" si="24"/>
        <v>0.04</v>
      </c>
      <c r="H74" s="558">
        <f t="shared" si="18"/>
        <v>9984</v>
      </c>
      <c r="I74" s="314">
        <f t="shared" si="25"/>
        <v>4.74</v>
      </c>
      <c r="K74" s="556">
        <f t="shared" si="19"/>
        <v>4.3400000000000001E-2</v>
      </c>
      <c r="L74" s="556">
        <f t="shared" si="20"/>
        <v>4.2099999999999999E-2</v>
      </c>
      <c r="M74" s="556">
        <f t="shared" si="21"/>
        <v>4.2599999999999999E-2</v>
      </c>
    </row>
    <row r="75" spans="1:14" s="233" customFormat="1" ht="27.5" customHeight="1">
      <c r="A75" s="551">
        <v>89</v>
      </c>
      <c r="B75" s="559">
        <f t="shared" si="22"/>
        <v>0</v>
      </c>
      <c r="C75" s="553" t="s">
        <v>1258</v>
      </c>
      <c r="D75" s="557">
        <v>3025</v>
      </c>
      <c r="E75" s="355">
        <f t="shared" si="23"/>
        <v>0</v>
      </c>
      <c r="F75" s="557">
        <v>70</v>
      </c>
      <c r="G75" s="355">
        <f t="shared" si="24"/>
        <v>0</v>
      </c>
      <c r="H75" s="558">
        <f t="shared" si="18"/>
        <v>2955</v>
      </c>
      <c r="I75" s="316">
        <f t="shared" si="25"/>
        <v>4221.43</v>
      </c>
      <c r="K75" s="556">
        <f t="shared" si="19"/>
        <v>0</v>
      </c>
      <c r="L75" s="556">
        <f t="shared" si="20"/>
        <v>5.9999999999999995E-4</v>
      </c>
      <c r="M75" s="556">
        <f t="shared" si="21"/>
        <v>0</v>
      </c>
    </row>
    <row r="76" spans="1:14" s="233" customFormat="1" ht="31.45" customHeight="1">
      <c r="A76" s="551">
        <v>25655</v>
      </c>
      <c r="B76" s="559">
        <f t="shared" si="22"/>
        <v>0</v>
      </c>
      <c r="C76" s="553" t="s">
        <v>1257</v>
      </c>
      <c r="D76" s="557">
        <f>SUM(D77:D78)</f>
        <v>8379</v>
      </c>
      <c r="E76" s="355">
        <f t="shared" si="23"/>
        <v>0</v>
      </c>
      <c r="F76" s="557">
        <f>SUM(F77:F78)</f>
        <v>4949</v>
      </c>
      <c r="G76" s="355">
        <f t="shared" si="24"/>
        <v>0</v>
      </c>
      <c r="H76" s="558">
        <f t="shared" si="18"/>
        <v>3430</v>
      </c>
      <c r="I76" s="316">
        <f t="shared" si="25"/>
        <v>69.31</v>
      </c>
      <c r="K76" s="556">
        <f t="shared" si="19"/>
        <v>3.8999999999999998E-3</v>
      </c>
      <c r="L76" s="556">
        <f t="shared" si="20"/>
        <v>1.6000000000000001E-3</v>
      </c>
      <c r="M76" s="556">
        <f t="shared" si="21"/>
        <v>1E-3</v>
      </c>
    </row>
    <row r="77" spans="1:14" s="233" customFormat="1" ht="33.4" customHeight="1" thickBot="1">
      <c r="A77" s="562">
        <v>25568</v>
      </c>
      <c r="B77" s="578">
        <f t="shared" si="22"/>
        <v>0</v>
      </c>
      <c r="C77" s="564" t="s">
        <v>1253</v>
      </c>
      <c r="D77" s="565">
        <v>8378</v>
      </c>
      <c r="E77" s="377">
        <f t="shared" si="23"/>
        <v>0</v>
      </c>
      <c r="F77" s="565">
        <v>4936</v>
      </c>
      <c r="G77" s="377">
        <f t="shared" si="24"/>
        <v>0</v>
      </c>
      <c r="H77" s="566">
        <f t="shared" si="18"/>
        <v>3442</v>
      </c>
      <c r="I77" s="332">
        <f t="shared" si="25"/>
        <v>69.73</v>
      </c>
      <c r="K77" s="556">
        <f t="shared" si="19"/>
        <v>3.8999999999999998E-3</v>
      </c>
      <c r="L77" s="556">
        <f t="shared" si="20"/>
        <v>1.6000000000000001E-3</v>
      </c>
      <c r="M77" s="556">
        <f t="shared" si="21"/>
        <v>1E-3</v>
      </c>
      <c r="N77" s="579"/>
    </row>
    <row r="78" spans="1:14" s="233" customFormat="1" ht="29.45" customHeight="1">
      <c r="A78" s="551">
        <v>87</v>
      </c>
      <c r="B78" s="559">
        <f t="shared" si="22"/>
        <v>0</v>
      </c>
      <c r="C78" s="553" t="s">
        <v>1250</v>
      </c>
      <c r="D78" s="557">
        <v>1</v>
      </c>
      <c r="E78" s="355">
        <f t="shared" si="23"/>
        <v>0</v>
      </c>
      <c r="F78" s="557">
        <v>13</v>
      </c>
      <c r="G78" s="355">
        <f t="shared" si="24"/>
        <v>0</v>
      </c>
      <c r="H78" s="558">
        <f t="shared" si="18"/>
        <v>-12</v>
      </c>
      <c r="I78" s="316">
        <f t="shared" si="25"/>
        <v>-92.31</v>
      </c>
      <c r="K78" s="556">
        <f t="shared" si="19"/>
        <v>0</v>
      </c>
      <c r="L78" s="556">
        <f t="shared" si="20"/>
        <v>0</v>
      </c>
      <c r="M78" s="556">
        <f t="shared" si="21"/>
        <v>0</v>
      </c>
    </row>
    <row r="79" spans="1:14" s="32" customFormat="1" ht="26.35" customHeight="1">
      <c r="A79" s="307">
        <v>125</v>
      </c>
      <c r="B79" s="559">
        <f t="shared" si="22"/>
        <v>0</v>
      </c>
      <c r="C79" s="546" t="s">
        <v>1256</v>
      </c>
      <c r="D79" s="577">
        <f>D80</f>
        <v>62</v>
      </c>
      <c r="E79" s="550">
        <f t="shared" si="23"/>
        <v>0</v>
      </c>
      <c r="F79" s="577">
        <f>F80</f>
        <v>26</v>
      </c>
      <c r="G79" s="550">
        <f t="shared" si="24"/>
        <v>0</v>
      </c>
      <c r="H79" s="319">
        <f t="shared" si="18"/>
        <v>36</v>
      </c>
      <c r="I79" s="320">
        <f t="shared" si="25"/>
        <v>138.46</v>
      </c>
      <c r="K79" s="549">
        <f t="shared" si="19"/>
        <v>0</v>
      </c>
      <c r="L79" s="549">
        <f t="shared" si="20"/>
        <v>0</v>
      </c>
      <c r="M79" s="549">
        <f t="shared" si="21"/>
        <v>0</v>
      </c>
    </row>
    <row r="80" spans="1:14" s="32" customFormat="1" ht="30.95" customHeight="1">
      <c r="A80" s="305">
        <v>125</v>
      </c>
      <c r="B80" s="559">
        <f t="shared" si="22"/>
        <v>0</v>
      </c>
      <c r="C80" s="546" t="s">
        <v>1255</v>
      </c>
      <c r="D80" s="547">
        <f>D81</f>
        <v>62</v>
      </c>
      <c r="E80" s="550">
        <f t="shared" si="23"/>
        <v>0</v>
      </c>
      <c r="F80" s="547">
        <f>F81</f>
        <v>26</v>
      </c>
      <c r="G80" s="550">
        <f t="shared" si="24"/>
        <v>0</v>
      </c>
      <c r="H80" s="319">
        <f t="shared" si="18"/>
        <v>36</v>
      </c>
      <c r="I80" s="320">
        <f t="shared" si="25"/>
        <v>138.46</v>
      </c>
      <c r="K80" s="549">
        <f t="shared" si="19"/>
        <v>0</v>
      </c>
      <c r="L80" s="549">
        <f t="shared" si="20"/>
        <v>0</v>
      </c>
      <c r="M80" s="549">
        <f t="shared" si="21"/>
        <v>0</v>
      </c>
    </row>
    <row r="81" spans="1:13" s="233" customFormat="1" ht="30.95" customHeight="1">
      <c r="A81" s="551">
        <v>125</v>
      </c>
      <c r="B81" s="559">
        <f t="shared" si="22"/>
        <v>0</v>
      </c>
      <c r="C81" s="553" t="s">
        <v>1254</v>
      </c>
      <c r="D81" s="557">
        <f>SUM(D82:D83)</f>
        <v>62</v>
      </c>
      <c r="E81" s="355">
        <f t="shared" si="23"/>
        <v>0</v>
      </c>
      <c r="F81" s="557">
        <f>SUM(F82:F83)</f>
        <v>26</v>
      </c>
      <c r="G81" s="355">
        <f t="shared" si="24"/>
        <v>0</v>
      </c>
      <c r="H81" s="315">
        <f t="shared" si="18"/>
        <v>36</v>
      </c>
      <c r="I81" s="316">
        <f t="shared" si="25"/>
        <v>138.46</v>
      </c>
      <c r="K81" s="556">
        <f t="shared" si="19"/>
        <v>0</v>
      </c>
      <c r="L81" s="556">
        <f t="shared" si="20"/>
        <v>0</v>
      </c>
      <c r="M81" s="556">
        <f t="shared" si="21"/>
        <v>0</v>
      </c>
    </row>
    <row r="82" spans="1:13" s="233" customFormat="1" ht="30.95" customHeight="1">
      <c r="A82" s="551">
        <v>125</v>
      </c>
      <c r="B82" s="559">
        <f t="shared" si="22"/>
        <v>0</v>
      </c>
      <c r="C82" s="553" t="s">
        <v>1253</v>
      </c>
      <c r="D82" s="557">
        <v>62</v>
      </c>
      <c r="E82" s="355">
        <f t="shared" si="23"/>
        <v>0</v>
      </c>
      <c r="F82" s="557">
        <v>14</v>
      </c>
      <c r="G82" s="355">
        <f t="shared" si="24"/>
        <v>0</v>
      </c>
      <c r="H82" s="315">
        <f t="shared" si="18"/>
        <v>48</v>
      </c>
      <c r="I82" s="316">
        <f t="shared" si="25"/>
        <v>342.86</v>
      </c>
      <c r="K82" s="556">
        <f t="shared" si="19"/>
        <v>0</v>
      </c>
      <c r="L82" s="556">
        <f t="shared" si="20"/>
        <v>0</v>
      </c>
      <c r="M82" s="556">
        <f t="shared" si="21"/>
        <v>0</v>
      </c>
    </row>
    <row r="83" spans="1:13" s="233" customFormat="1" ht="30.95" customHeight="1">
      <c r="A83" s="569">
        <v>0</v>
      </c>
      <c r="B83" s="559">
        <f t="shared" si="22"/>
        <v>0</v>
      </c>
      <c r="C83" s="553" t="s">
        <v>1250</v>
      </c>
      <c r="D83" s="559">
        <v>0</v>
      </c>
      <c r="E83" s="355">
        <f t="shared" si="23"/>
        <v>0</v>
      </c>
      <c r="F83" s="557">
        <v>12</v>
      </c>
      <c r="G83" s="355">
        <f t="shared" si="24"/>
        <v>0</v>
      </c>
      <c r="H83" s="576">
        <f t="shared" si="18"/>
        <v>-12</v>
      </c>
      <c r="I83" s="902">
        <f t="shared" si="25"/>
        <v>-100</v>
      </c>
      <c r="K83" s="556">
        <f t="shared" si="19"/>
        <v>0</v>
      </c>
      <c r="L83" s="556">
        <f t="shared" si="20"/>
        <v>0</v>
      </c>
      <c r="M83" s="556">
        <f t="shared" si="21"/>
        <v>0</v>
      </c>
    </row>
    <row r="84" spans="1:13" s="32" customFormat="1" ht="30.95" customHeight="1">
      <c r="A84" s="307">
        <v>311231</v>
      </c>
      <c r="B84" s="545">
        <f t="shared" si="22"/>
        <v>0.05</v>
      </c>
      <c r="C84" s="546" t="s">
        <v>1252</v>
      </c>
      <c r="D84" s="577">
        <f>SUM(D85:D86)</f>
        <v>232793</v>
      </c>
      <c r="E84" s="550">
        <f t="shared" si="23"/>
        <v>0.04</v>
      </c>
      <c r="F84" s="577">
        <f>SUM(F85:F86)</f>
        <v>216469</v>
      </c>
      <c r="G84" s="550">
        <f t="shared" si="24"/>
        <v>0.04</v>
      </c>
      <c r="H84" s="319">
        <f t="shared" si="18"/>
        <v>16324</v>
      </c>
      <c r="I84" s="320">
        <f t="shared" si="25"/>
        <v>7.54</v>
      </c>
      <c r="K84" s="549">
        <f t="shared" si="19"/>
        <v>4.7500000000000001E-2</v>
      </c>
      <c r="L84" s="549">
        <f t="shared" si="20"/>
        <v>4.4499999999999998E-2</v>
      </c>
      <c r="M84" s="549">
        <f t="shared" si="21"/>
        <v>4.3799999999999999E-2</v>
      </c>
    </row>
    <row r="85" spans="1:13" s="233" customFormat="1" ht="29.95" customHeight="1">
      <c r="A85" s="551">
        <v>311033</v>
      </c>
      <c r="B85" s="552">
        <f t="shared" si="22"/>
        <v>0.05</v>
      </c>
      <c r="C85" s="553" t="s">
        <v>1251</v>
      </c>
      <c r="D85" s="557">
        <f>D68+D72+D74+D77-D82</f>
        <v>229761</v>
      </c>
      <c r="E85" s="355">
        <f t="shared" si="23"/>
        <v>0.04</v>
      </c>
      <c r="F85" s="557">
        <f>F68+F72+F74+F77-F82</f>
        <v>216377</v>
      </c>
      <c r="G85" s="355">
        <f t="shared" si="24"/>
        <v>0.04</v>
      </c>
      <c r="H85" s="558">
        <f t="shared" si="18"/>
        <v>13384</v>
      </c>
      <c r="I85" s="316">
        <f t="shared" si="25"/>
        <v>6.19</v>
      </c>
      <c r="K85" s="556">
        <f t="shared" si="19"/>
        <v>4.7500000000000001E-2</v>
      </c>
      <c r="L85" s="556">
        <f t="shared" si="20"/>
        <v>4.3900000000000002E-2</v>
      </c>
      <c r="M85" s="556">
        <f t="shared" si="21"/>
        <v>4.3799999999999999E-2</v>
      </c>
    </row>
    <row r="86" spans="1:13" s="233" customFormat="1" ht="30.6" customHeight="1">
      <c r="A86" s="551">
        <v>198</v>
      </c>
      <c r="B86" s="559">
        <f t="shared" si="22"/>
        <v>0</v>
      </c>
      <c r="C86" s="553" t="s">
        <v>1250</v>
      </c>
      <c r="D86" s="557">
        <f>D69+D75+D78-D83</f>
        <v>3032</v>
      </c>
      <c r="E86" s="355">
        <f t="shared" si="23"/>
        <v>0</v>
      </c>
      <c r="F86" s="557">
        <f>F69+F75+F78-F83</f>
        <v>92</v>
      </c>
      <c r="G86" s="355">
        <f t="shared" si="24"/>
        <v>0</v>
      </c>
      <c r="H86" s="558">
        <f t="shared" si="18"/>
        <v>2940</v>
      </c>
      <c r="I86" s="316">
        <f t="shared" si="25"/>
        <v>3195.65</v>
      </c>
      <c r="K86" s="556">
        <f t="shared" si="19"/>
        <v>0</v>
      </c>
      <c r="L86" s="556">
        <f t="shared" si="20"/>
        <v>5.9999999999999995E-4</v>
      </c>
      <c r="M86" s="556">
        <f t="shared" si="21"/>
        <v>0</v>
      </c>
    </row>
    <row r="87" spans="1:13" s="233" customFormat="1" ht="55" customHeight="1">
      <c r="A87" s="567">
        <f>A62+A84</f>
        <v>0</v>
      </c>
      <c r="B87" s="559">
        <f t="shared" si="22"/>
        <v>0</v>
      </c>
      <c r="C87" s="553" t="s">
        <v>747</v>
      </c>
      <c r="D87" s="559">
        <f>+D62+D84</f>
        <v>0</v>
      </c>
      <c r="E87" s="355">
        <f t="shared" si="23"/>
        <v>0</v>
      </c>
      <c r="F87" s="559">
        <f>+F62+F84</f>
        <v>0</v>
      </c>
      <c r="G87" s="355">
        <f t="shared" si="24"/>
        <v>0</v>
      </c>
      <c r="H87" s="559">
        <f t="shared" si="18"/>
        <v>0</v>
      </c>
      <c r="I87" s="570">
        <v>0</v>
      </c>
      <c r="K87" s="556"/>
      <c r="L87" s="556"/>
      <c r="M87" s="556"/>
    </row>
    <row r="88" spans="1:13" s="233" customFormat="1" ht="71.349999999999994" customHeight="1">
      <c r="A88" s="551"/>
      <c r="B88" s="559"/>
      <c r="C88" s="553"/>
      <c r="D88" s="557"/>
      <c r="E88" s="355"/>
      <c r="F88" s="557"/>
      <c r="G88" s="355"/>
      <c r="H88" s="558"/>
      <c r="I88" s="316"/>
      <c r="K88" s="556"/>
      <c r="L88" s="556"/>
      <c r="M88" s="556"/>
    </row>
    <row r="89" spans="1:13" s="32" customFormat="1" ht="197.35" customHeight="1" thickBot="1">
      <c r="A89" s="865"/>
      <c r="B89" s="578"/>
      <c r="C89" s="583"/>
      <c r="D89" s="866"/>
      <c r="E89" s="822"/>
      <c r="F89" s="866"/>
      <c r="G89" s="822"/>
      <c r="H89" s="866"/>
      <c r="I89" s="867"/>
      <c r="K89" s="549">
        <f>ROUND(A89/$A$8*100,4)</f>
        <v>0</v>
      </c>
      <c r="L89" s="549">
        <f>ROUND(D89/$D$8*100,4)</f>
        <v>0</v>
      </c>
      <c r="M89" s="549">
        <f>ROUND(F89/$F$8*100,4)</f>
        <v>0</v>
      </c>
    </row>
    <row r="90" spans="1:13" ht="32.4" customHeight="1">
      <c r="A90" s="1259" t="s">
        <v>1686</v>
      </c>
      <c r="B90" s="1259"/>
      <c r="C90" s="1259"/>
      <c r="D90" s="1259"/>
      <c r="E90" s="1259"/>
      <c r="F90" s="1259"/>
      <c r="G90" s="1259"/>
      <c r="H90" s="1259"/>
      <c r="I90" s="1259"/>
    </row>
    <row r="91" spans="1:13" s="1178" customFormat="1" ht="15.05">
      <c r="A91" s="588"/>
      <c r="B91" s="715"/>
      <c r="C91" s="590"/>
      <c r="D91" s="591"/>
      <c r="E91" s="718"/>
      <c r="F91" s="589"/>
      <c r="G91" s="715"/>
      <c r="H91" s="589"/>
      <c r="I91" s="715"/>
    </row>
    <row r="92" spans="1:13" s="1178" customFormat="1" ht="15.05">
      <c r="B92" s="715"/>
      <c r="C92" s="592"/>
      <c r="D92" s="593"/>
      <c r="E92" s="718"/>
      <c r="G92" s="715"/>
      <c r="I92" s="715"/>
    </row>
    <row r="93" spans="1:13" s="1178" customFormat="1" ht="15.05">
      <c r="B93" s="715"/>
      <c r="C93" s="592"/>
      <c r="D93" s="593"/>
      <c r="E93" s="718"/>
      <c r="G93" s="715"/>
      <c r="I93" s="715"/>
    </row>
    <row r="94" spans="1:13" s="1178" customFormat="1" ht="15.05">
      <c r="B94" s="715"/>
      <c r="C94" s="592"/>
      <c r="D94" s="593"/>
      <c r="E94" s="718"/>
      <c r="G94" s="715"/>
      <c r="I94" s="715"/>
    </row>
    <row r="95" spans="1:13" s="1178" customFormat="1" ht="15.05">
      <c r="B95" s="715"/>
      <c r="C95" s="592"/>
      <c r="D95" s="593"/>
      <c r="E95" s="718"/>
      <c r="G95" s="715"/>
      <c r="I95" s="715"/>
    </row>
    <row r="96" spans="1:13" s="1178" customFormat="1" ht="15.05">
      <c r="B96" s="715"/>
      <c r="C96" s="592"/>
      <c r="D96" s="593"/>
      <c r="E96" s="718"/>
      <c r="G96" s="715"/>
      <c r="I96" s="715"/>
    </row>
    <row r="97" spans="2:9" s="1178" customFormat="1" ht="15.05">
      <c r="B97" s="715"/>
      <c r="C97" s="592"/>
      <c r="D97" s="593"/>
      <c r="E97" s="718"/>
      <c r="G97" s="715"/>
      <c r="I97" s="715"/>
    </row>
    <row r="98" spans="2:9" s="1178" customFormat="1" ht="15.05">
      <c r="B98" s="715"/>
      <c r="C98" s="592"/>
      <c r="D98" s="593"/>
      <c r="E98" s="718"/>
      <c r="G98" s="715"/>
      <c r="I98" s="715"/>
    </row>
    <row r="99" spans="2:9" s="1178" customFormat="1" ht="15.05">
      <c r="B99" s="715"/>
      <c r="C99" s="592"/>
      <c r="D99" s="593"/>
      <c r="E99" s="718"/>
      <c r="G99" s="715"/>
      <c r="I99" s="715"/>
    </row>
  </sheetData>
  <mergeCells count="10">
    <mergeCell ref="A90:I90"/>
    <mergeCell ref="A1:I1"/>
    <mergeCell ref="A2:I2"/>
    <mergeCell ref="A3:I3"/>
    <mergeCell ref="A4:I4"/>
    <mergeCell ref="A5:B5"/>
    <mergeCell ref="C5:C6"/>
    <mergeCell ref="D5:E5"/>
    <mergeCell ref="F5:G5"/>
    <mergeCell ref="H5:I5"/>
  </mergeCells>
  <phoneticPr fontId="5" type="noConversion"/>
  <printOptions horizontalCentered="1"/>
  <pageMargins left="0.59055118110236227" right="0.59055118110236227" top="0.59055118110236227" bottom="0.78740157480314965" header="0.51181102362204722" footer="0.51181102362204722"/>
  <pageSetup paperSize="9" orientation="portrait" useFirstPageNumber="1" r:id="rId1"/>
  <headerFooter alignWithMargins="0">
    <oddFooter>&amp;C&amp;"細明體,標準"附&amp;"Times New Roman,標準"1-&amp;P</oddFooter>
  </headerFooter>
  <legacy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H40"/>
  <sheetViews>
    <sheetView view="pageBreakPreview" topLeftCell="A19" zoomScaleNormal="100" zoomScaleSheetLayoutView="100" workbookViewId="0">
      <selection activeCell="C29" sqref="C29:E29"/>
    </sheetView>
  </sheetViews>
  <sheetFormatPr defaultColWidth="9" defaultRowHeight="15.05"/>
  <cols>
    <col min="1" max="1" width="41.875" style="6" customWidth="1"/>
    <col min="2" max="2" width="13.25" style="6" customWidth="1"/>
    <col min="3" max="3" width="15.625" style="6" customWidth="1"/>
    <col min="4" max="4" width="12.625" style="6" customWidth="1"/>
    <col min="5" max="5" width="6.375" style="6" customWidth="1"/>
    <col min="6" max="6" width="39" style="6" customWidth="1"/>
    <col min="7" max="7" width="9" style="6"/>
    <col min="8" max="8" width="26.375" style="6" customWidth="1"/>
    <col min="9" max="9" width="19.875" style="6" customWidth="1"/>
    <col min="10" max="16384" width="9" style="6"/>
  </cols>
  <sheetData>
    <row r="1" spans="1:8" s="2" customFormat="1" ht="22.25">
      <c r="A1" s="1266" t="s">
        <v>59</v>
      </c>
      <c r="B1" s="1266"/>
      <c r="C1" s="1266"/>
      <c r="D1" s="1266"/>
      <c r="E1" s="1266"/>
      <c r="F1" s="1"/>
      <c r="G1" s="1"/>
      <c r="H1" s="1"/>
    </row>
    <row r="2" spans="1:8" s="2" customFormat="1" ht="22.25">
      <c r="A2" s="1266" t="s">
        <v>60</v>
      </c>
      <c r="B2" s="1266"/>
      <c r="C2" s="1266"/>
      <c r="D2" s="1266"/>
      <c r="E2" s="1266"/>
      <c r="F2" s="1"/>
      <c r="G2" s="1"/>
      <c r="H2" s="1"/>
    </row>
    <row r="3" spans="1:8" s="2" customFormat="1" ht="24.75" customHeight="1">
      <c r="A3" s="1267" t="s">
        <v>1725</v>
      </c>
      <c r="B3" s="1268"/>
      <c r="C3" s="1268"/>
      <c r="D3" s="1268"/>
      <c r="E3" s="1268"/>
      <c r="F3" s="3"/>
      <c r="G3" s="3"/>
      <c r="H3" s="3"/>
    </row>
    <row r="4" spans="1:8" s="2" customFormat="1" ht="24.9" customHeight="1" thickBot="1">
      <c r="A4" s="1316" t="s">
        <v>1752</v>
      </c>
      <c r="B4" s="1287"/>
      <c r="C4" s="1287"/>
      <c r="D4" s="1287"/>
      <c r="E4" s="1287"/>
      <c r="F4" s="4"/>
      <c r="G4" s="4"/>
      <c r="H4" s="4"/>
    </row>
    <row r="5" spans="1:8">
      <c r="A5" s="1310" t="s">
        <v>61</v>
      </c>
      <c r="B5" s="1313" t="s">
        <v>62</v>
      </c>
      <c r="C5" s="1317" t="s">
        <v>63</v>
      </c>
      <c r="D5" s="1318"/>
      <c r="E5" s="1319"/>
      <c r="F5" s="4"/>
      <c r="G5" s="4"/>
      <c r="H5" s="4"/>
    </row>
    <row r="6" spans="1:8">
      <c r="A6" s="1311"/>
      <c r="B6" s="1314"/>
      <c r="C6" s="1320"/>
      <c r="D6" s="1321"/>
      <c r="E6" s="1322"/>
      <c r="F6" s="4"/>
      <c r="G6" s="4"/>
      <c r="H6" s="4"/>
    </row>
    <row r="7" spans="1:8" ht="12.8" customHeight="1">
      <c r="A7" s="1312"/>
      <c r="B7" s="1315"/>
      <c r="C7" s="1323"/>
      <c r="D7" s="1324"/>
      <c r="E7" s="1325"/>
    </row>
    <row r="8" spans="1:8" ht="5.25" customHeight="1">
      <c r="A8" s="1180"/>
      <c r="B8" s="1181"/>
      <c r="C8" s="84"/>
      <c r="D8" s="133"/>
      <c r="E8" s="87"/>
    </row>
    <row r="9" spans="1:8" s="1178" customFormat="1" ht="24.05" customHeight="1">
      <c r="A9" s="134" t="s">
        <v>416</v>
      </c>
      <c r="B9" s="135"/>
      <c r="C9" s="136"/>
      <c r="D9" s="137"/>
      <c r="E9" s="138"/>
    </row>
    <row r="10" spans="1:8" s="1163" customFormat="1" ht="24.05" customHeight="1">
      <c r="A10" s="139" t="s">
        <v>377</v>
      </c>
      <c r="B10" s="186">
        <v>0</v>
      </c>
      <c r="C10" s="140"/>
      <c r="D10" s="141"/>
      <c r="E10" s="138"/>
    </row>
    <row r="11" spans="1:8" s="1163" customFormat="1" ht="24.05" customHeight="1">
      <c r="A11" s="139" t="s">
        <v>546</v>
      </c>
      <c r="B11" s="31">
        <f>-D11+D12</f>
        <v>-4556312</v>
      </c>
      <c r="C11" s="1182" t="s">
        <v>364</v>
      </c>
      <c r="D11" s="1179">
        <v>4556312</v>
      </c>
      <c r="E11" s="1185" t="s">
        <v>65</v>
      </c>
    </row>
    <row r="12" spans="1:8" s="1163" customFormat="1" ht="20.3" hidden="1" customHeight="1">
      <c r="A12" s="139"/>
      <c r="B12" s="67"/>
      <c r="C12" s="1182" t="s">
        <v>329</v>
      </c>
      <c r="D12" s="641">
        <v>0</v>
      </c>
      <c r="E12" s="1185" t="s">
        <v>65</v>
      </c>
    </row>
    <row r="13" spans="1:8" s="1163" customFormat="1" ht="21.6" customHeight="1">
      <c r="A13" s="139" t="s">
        <v>547</v>
      </c>
      <c r="B13" s="31">
        <f>+B10+B11</f>
        <v>-4556312</v>
      </c>
      <c r="C13" s="140"/>
      <c r="D13" s="141"/>
      <c r="E13" s="138"/>
    </row>
    <row r="14" spans="1:8" s="1163" customFormat="1" ht="22.95" customHeight="1">
      <c r="A14" s="139" t="s">
        <v>538</v>
      </c>
      <c r="B14" s="142">
        <f>D14+D16+D17+D15+D18+D19+D20</f>
        <v>-15975518</v>
      </c>
      <c r="C14" s="1182" t="s">
        <v>330</v>
      </c>
      <c r="D14" s="1179">
        <v>843945</v>
      </c>
      <c r="E14" s="1185" t="s">
        <v>65</v>
      </c>
      <c r="F14" s="1164"/>
    </row>
    <row r="15" spans="1:8" s="1178" customFormat="1" ht="22.95" customHeight="1">
      <c r="A15" s="139"/>
      <c r="B15" s="142"/>
      <c r="C15" s="1182" t="s">
        <v>365</v>
      </c>
      <c r="D15" s="1179">
        <v>-18181606</v>
      </c>
      <c r="E15" s="1185" t="s">
        <v>1312</v>
      </c>
    </row>
    <row r="16" spans="1:8" s="1163" customFormat="1" ht="22.95" customHeight="1">
      <c r="A16" s="139"/>
      <c r="B16" s="142"/>
      <c r="C16" s="1182" t="s">
        <v>1317</v>
      </c>
      <c r="D16" s="1179">
        <v>16155</v>
      </c>
      <c r="E16" s="1185" t="s">
        <v>1312</v>
      </c>
      <c r="F16" s="1164"/>
    </row>
    <row r="17" spans="1:8" s="1178" customFormat="1" ht="22.95" customHeight="1">
      <c r="A17" s="139"/>
      <c r="B17" s="142"/>
      <c r="C17" s="1182" t="s">
        <v>1316</v>
      </c>
      <c r="D17" s="1179">
        <v>609</v>
      </c>
      <c r="E17" s="1185" t="s">
        <v>1312</v>
      </c>
    </row>
    <row r="18" spans="1:8" s="1163" customFormat="1" ht="22.95" customHeight="1">
      <c r="A18" s="139" t="s">
        <v>1314</v>
      </c>
      <c r="B18" s="31"/>
      <c r="C18" s="1182" t="s">
        <v>1315</v>
      </c>
      <c r="D18" s="1179">
        <v>1489716</v>
      </c>
      <c r="E18" s="1185" t="s">
        <v>1312</v>
      </c>
      <c r="F18" s="36"/>
      <c r="H18" s="10"/>
    </row>
    <row r="19" spans="1:8" s="1178" customFormat="1" ht="22.95" customHeight="1">
      <c r="A19" s="139" t="s">
        <v>1314</v>
      </c>
      <c r="B19" s="31"/>
      <c r="C19" s="1182" t="s">
        <v>788</v>
      </c>
      <c r="D19" s="1179">
        <v>-83422</v>
      </c>
      <c r="E19" s="1185" t="s">
        <v>1312</v>
      </c>
    </row>
    <row r="20" spans="1:8" s="1178" customFormat="1" ht="22.95" customHeight="1">
      <c r="A20" s="139"/>
      <c r="B20" s="31"/>
      <c r="C20" s="1182" t="s">
        <v>1313</v>
      </c>
      <c r="D20" s="1179">
        <v>-60915</v>
      </c>
      <c r="E20" s="1185" t="s">
        <v>1312</v>
      </c>
    </row>
    <row r="21" spans="1:8" s="1163" customFormat="1" ht="22.75" customHeight="1">
      <c r="A21" s="139" t="s">
        <v>1311</v>
      </c>
      <c r="B21" s="31">
        <f>+B13+B14</f>
        <v>-20531830</v>
      </c>
      <c r="C21" s="140"/>
      <c r="D21" s="141"/>
      <c r="E21" s="138"/>
    </row>
    <row r="22" spans="1:8" s="1163" customFormat="1" ht="20.95" customHeight="1">
      <c r="A22" s="139" t="s">
        <v>1306</v>
      </c>
      <c r="B22" s="31">
        <v>332</v>
      </c>
      <c r="C22" s="1334" t="s">
        <v>1427</v>
      </c>
      <c r="D22" s="1327"/>
      <c r="E22" s="1328"/>
    </row>
    <row r="23" spans="1:8" s="1178" customFormat="1" ht="20.95" customHeight="1">
      <c r="A23" s="134" t="s">
        <v>1310</v>
      </c>
      <c r="B23" s="27">
        <f>+B21+B22</f>
        <v>-20531498</v>
      </c>
      <c r="C23" s="360"/>
      <c r="D23" s="361"/>
      <c r="E23" s="1185"/>
    </row>
    <row r="24" spans="1:8" s="1178" customFormat="1" ht="20.95" customHeight="1">
      <c r="A24" s="134" t="s">
        <v>1309</v>
      </c>
      <c r="B24" s="27"/>
      <c r="C24" s="362"/>
      <c r="D24" s="363"/>
      <c r="E24" s="364"/>
    </row>
    <row r="25" spans="1:8" s="1178" customFormat="1" ht="31.75" customHeight="1">
      <c r="A25" s="139" t="s">
        <v>1308</v>
      </c>
      <c r="B25" s="31">
        <v>22979800</v>
      </c>
      <c r="C25" s="1306" t="s">
        <v>1791</v>
      </c>
      <c r="D25" s="1307"/>
      <c r="E25" s="1308"/>
    </row>
    <row r="26" spans="1:8" s="1178" customFormat="1" ht="49.25" customHeight="1">
      <c r="A26" s="139" t="s">
        <v>1307</v>
      </c>
      <c r="B26" s="31">
        <v>24829790</v>
      </c>
      <c r="C26" s="1335" t="s">
        <v>1792</v>
      </c>
      <c r="D26" s="1327"/>
      <c r="E26" s="1328"/>
    </row>
    <row r="27" spans="1:8" s="1178" customFormat="1" ht="23.4" customHeight="1">
      <c r="A27" s="139" t="s">
        <v>1306</v>
      </c>
      <c r="B27" s="31">
        <v>4730004</v>
      </c>
      <c r="C27" s="1335" t="s">
        <v>1793</v>
      </c>
      <c r="D27" s="1327"/>
      <c r="E27" s="1328"/>
    </row>
    <row r="28" spans="1:8" s="1178" customFormat="1" ht="26.35" hidden="1" customHeight="1">
      <c r="A28" s="139" t="s">
        <v>1305</v>
      </c>
      <c r="B28" s="31">
        <v>0</v>
      </c>
      <c r="C28" s="1606" t="s">
        <v>785</v>
      </c>
      <c r="D28" s="1307"/>
      <c r="E28" s="1308"/>
    </row>
    <row r="29" spans="1:8" s="1178" customFormat="1" ht="25.2" customHeight="1">
      <c r="A29" s="139" t="s">
        <v>425</v>
      </c>
      <c r="B29" s="31">
        <v>-10169315</v>
      </c>
      <c r="C29" s="1309" t="s">
        <v>1304</v>
      </c>
      <c r="D29" s="1307"/>
      <c r="E29" s="1308"/>
    </row>
    <row r="30" spans="1:8" s="1178" customFormat="1" ht="29.95" hidden="1" customHeight="1">
      <c r="A30" s="139" t="s">
        <v>1303</v>
      </c>
      <c r="B30" s="31">
        <v>0</v>
      </c>
      <c r="C30" s="1309" t="s">
        <v>1302</v>
      </c>
      <c r="D30" s="1307"/>
      <c r="E30" s="1308"/>
    </row>
    <row r="31" spans="1:8" s="1178" customFormat="1" ht="20.95" customHeight="1">
      <c r="A31" s="134" t="s">
        <v>1301</v>
      </c>
      <c r="B31" s="27">
        <f>SUM(B25:B30)</f>
        <v>42370279</v>
      </c>
      <c r="C31" s="360"/>
      <c r="D31" s="361"/>
      <c r="E31" s="364"/>
    </row>
    <row r="32" spans="1:8" s="1178" customFormat="1" ht="20.45" customHeight="1">
      <c r="A32" s="134" t="s">
        <v>1300</v>
      </c>
      <c r="B32" s="143"/>
      <c r="C32" s="365"/>
      <c r="D32" s="366"/>
      <c r="E32" s="364"/>
    </row>
    <row r="33" spans="1:7" s="378" customFormat="1" ht="25.2" hidden="1" customHeight="1">
      <c r="A33" s="139" t="s">
        <v>1299</v>
      </c>
      <c r="B33" s="31">
        <v>0</v>
      </c>
      <c r="C33" s="1326" t="s">
        <v>1298</v>
      </c>
      <c r="D33" s="1327"/>
      <c r="E33" s="1328"/>
    </row>
    <row r="34" spans="1:7" s="378" customFormat="1" ht="25.85" customHeight="1">
      <c r="A34" s="139" t="s">
        <v>1476</v>
      </c>
      <c r="B34" s="31">
        <v>-25492851</v>
      </c>
      <c r="C34" s="1334" t="s">
        <v>1522</v>
      </c>
      <c r="D34" s="1327"/>
      <c r="E34" s="1328"/>
    </row>
    <row r="35" spans="1:7" s="378" customFormat="1" ht="65.95" hidden="1" customHeight="1">
      <c r="A35" s="139" t="s">
        <v>1477</v>
      </c>
      <c r="B35" s="31"/>
      <c r="C35" s="1600" t="s">
        <v>1513</v>
      </c>
      <c r="D35" s="1601"/>
      <c r="E35" s="1602"/>
    </row>
    <row r="36" spans="1:7" s="1178" customFormat="1" ht="21.6" customHeight="1">
      <c r="A36" s="134" t="s">
        <v>1297</v>
      </c>
      <c r="B36" s="77">
        <f>SUM(B33:B35)</f>
        <v>-25492851</v>
      </c>
      <c r="C36" s="367"/>
      <c r="D36" s="368"/>
      <c r="E36" s="369"/>
    </row>
    <row r="37" spans="1:7" s="1178" customFormat="1" ht="25.05" customHeight="1">
      <c r="A37" s="134" t="s">
        <v>1296</v>
      </c>
      <c r="B37" s="77">
        <f>B23+B31+B36</f>
        <v>-3654070</v>
      </c>
      <c r="C37" s="370"/>
      <c r="D37" s="371"/>
      <c r="E37" s="372"/>
    </row>
    <row r="38" spans="1:7" s="1178" customFormat="1" ht="25.05" customHeight="1">
      <c r="A38" s="134" t="s">
        <v>418</v>
      </c>
      <c r="B38" s="77">
        <v>36012266</v>
      </c>
      <c r="C38" s="1600"/>
      <c r="D38" s="1601"/>
      <c r="E38" s="1602"/>
      <c r="G38" s="1178">
        <v>2209559</v>
      </c>
    </row>
    <row r="39" spans="1:7" s="1178" customFormat="1" ht="25.05" customHeight="1" thickBot="1">
      <c r="A39" s="468" t="s">
        <v>545</v>
      </c>
      <c r="B39" s="144">
        <f>+B37+B38</f>
        <v>32358196</v>
      </c>
      <c r="C39" s="1603"/>
      <c r="D39" s="1604"/>
      <c r="E39" s="1605"/>
    </row>
    <row r="40" spans="1:7">
      <c r="B40" s="640"/>
    </row>
  </sheetData>
  <mergeCells count="19">
    <mergeCell ref="C22:E22"/>
    <mergeCell ref="A1:E1"/>
    <mergeCell ref="A2:E2"/>
    <mergeCell ref="A3:E3"/>
    <mergeCell ref="A4:E4"/>
    <mergeCell ref="A5:A7"/>
    <mergeCell ref="B5:B7"/>
    <mergeCell ref="C5:E7"/>
    <mergeCell ref="C30:E30"/>
    <mergeCell ref="C33:E33"/>
    <mergeCell ref="C38:E38"/>
    <mergeCell ref="C39:E39"/>
    <mergeCell ref="C25:E25"/>
    <mergeCell ref="C34:E34"/>
    <mergeCell ref="C35:E35"/>
    <mergeCell ref="C26:E26"/>
    <mergeCell ref="C27:E27"/>
    <mergeCell ref="C28:E28"/>
    <mergeCell ref="C29:E29"/>
  </mergeCells>
  <phoneticPr fontId="5" type="noConversion"/>
  <printOptions horizontalCentered="1"/>
  <pageMargins left="0.59055118110236227" right="0.59055118110236227" top="0.59055118110236227" bottom="0.78740157480314965" header="0.51181102362204722" footer="0.51181102362204722"/>
  <pageSetup paperSize="9" firstPageNumber="5" orientation="portrait" useFirstPageNumber="1" r:id="rId1"/>
  <headerFooter alignWithMargins="0">
    <oddFooter>&amp;C&amp;"細明體,標準"附&amp;"Times New Roman,標準"1-&amp;P</oddFooter>
  </headerFooter>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E55"/>
  <sheetViews>
    <sheetView view="pageBreakPreview" topLeftCell="A37" zoomScaleNormal="100" zoomScaleSheetLayoutView="100" workbookViewId="0">
      <selection activeCell="C29" sqref="C29:E29"/>
    </sheetView>
  </sheetViews>
  <sheetFormatPr defaultColWidth="9" defaultRowHeight="16.399999999999999"/>
  <cols>
    <col min="1" max="1" width="14.625" style="6" customWidth="1"/>
    <col min="2" max="2" width="31.5" style="462" customWidth="1"/>
    <col min="3" max="3" width="15.625" style="6" customWidth="1"/>
    <col min="4" max="4" width="15.25" style="19" customWidth="1"/>
    <col min="5" max="5" width="13.125" style="6" customWidth="1"/>
    <col min="6" max="16384" width="9" style="6"/>
  </cols>
  <sheetData>
    <row r="1" spans="1:5" ht="22.25">
      <c r="A1" s="1266" t="s">
        <v>1295</v>
      </c>
      <c r="B1" s="1266"/>
      <c r="C1" s="1266"/>
      <c r="D1" s="1266"/>
      <c r="E1" s="1266"/>
    </row>
    <row r="2" spans="1:5" ht="22.25">
      <c r="A2" s="1266" t="s">
        <v>1294</v>
      </c>
      <c r="B2" s="1266"/>
      <c r="C2" s="1266"/>
      <c r="D2" s="1266"/>
      <c r="E2" s="1266"/>
    </row>
    <row r="3" spans="1:5" ht="24.75" customHeight="1">
      <c r="A3" s="1267" t="s">
        <v>1726</v>
      </c>
      <c r="B3" s="1268"/>
      <c r="C3" s="1268"/>
      <c r="D3" s="1268"/>
      <c r="E3" s="1268"/>
    </row>
    <row r="4" spans="1:5" ht="24.75" customHeight="1" thickBot="1">
      <c r="A4" s="1316" t="s">
        <v>1753</v>
      </c>
      <c r="B4" s="1287"/>
      <c r="C4" s="1287"/>
      <c r="D4" s="1287"/>
      <c r="E4" s="1287"/>
    </row>
    <row r="5" spans="1:5" ht="15.75" customHeight="1">
      <c r="A5" s="1471" t="s">
        <v>1357</v>
      </c>
      <c r="B5" s="1609" t="s">
        <v>1356</v>
      </c>
      <c r="C5" s="1480" t="s">
        <v>1355</v>
      </c>
      <c r="D5" s="1480" t="s">
        <v>1354</v>
      </c>
      <c r="E5" s="1477" t="s">
        <v>1353</v>
      </c>
    </row>
    <row r="6" spans="1:5" ht="15.75" customHeight="1">
      <c r="A6" s="1472"/>
      <c r="B6" s="1610"/>
      <c r="C6" s="1481"/>
      <c r="D6" s="1481"/>
      <c r="E6" s="1478"/>
    </row>
    <row r="7" spans="1:5" ht="15.75" customHeight="1">
      <c r="A7" s="1473"/>
      <c r="B7" s="1611"/>
      <c r="C7" s="1482"/>
      <c r="D7" s="1482"/>
      <c r="E7" s="1479"/>
    </row>
    <row r="8" spans="1:5" ht="8.1999999999999993" customHeight="1">
      <c r="A8" s="24"/>
      <c r="B8" s="595"/>
      <c r="C8" s="1183"/>
      <c r="D8" s="1184"/>
      <c r="E8" s="677"/>
    </row>
    <row r="9" spans="1:5" s="1163" customFormat="1" ht="29.95" customHeight="1">
      <c r="A9" s="113">
        <v>897736069</v>
      </c>
      <c r="B9" s="114" t="s">
        <v>1352</v>
      </c>
      <c r="C9" s="115">
        <f>C10+C16+C19+C21</f>
        <v>843940654</v>
      </c>
      <c r="D9" s="115">
        <f>D10+D16+D19+D21</f>
        <v>887759448</v>
      </c>
      <c r="E9" s="678">
        <f>E10+E16+E19+E21</f>
        <v>-43818794</v>
      </c>
    </row>
    <row r="10" spans="1:5" s="1163" customFormat="1" ht="29.95" customHeight="1">
      <c r="A10" s="113">
        <v>785781049</v>
      </c>
      <c r="B10" s="117" t="s">
        <v>1351</v>
      </c>
      <c r="C10" s="115">
        <f>SUM(C11:C15)</f>
        <v>640549015</v>
      </c>
      <c r="D10" s="115">
        <f>SUM(D11:D15)</f>
        <v>669797632</v>
      </c>
      <c r="E10" s="678">
        <f>SUM(E11:E15)</f>
        <v>-29248617</v>
      </c>
    </row>
    <row r="11" spans="1:5" s="1178" customFormat="1" ht="29.95" customHeight="1">
      <c r="A11" s="118">
        <v>60826794</v>
      </c>
      <c r="B11" s="119" t="s">
        <v>1350</v>
      </c>
      <c r="C11" s="931">
        <v>32358196</v>
      </c>
      <c r="D11" s="931">
        <v>36012266</v>
      </c>
      <c r="E11" s="679">
        <f>C11-D11</f>
        <v>-3654070</v>
      </c>
    </row>
    <row r="12" spans="1:5" s="1178" customFormat="1" ht="29.95" customHeight="1">
      <c r="A12" s="118">
        <v>639040757</v>
      </c>
      <c r="B12" s="119" t="s">
        <v>1349</v>
      </c>
      <c r="C12" s="931">
        <v>510049866</v>
      </c>
      <c r="D12" s="931">
        <v>536445032</v>
      </c>
      <c r="E12" s="679">
        <f>C12-D12</f>
        <v>-26395166</v>
      </c>
    </row>
    <row r="13" spans="1:5" s="1178" customFormat="1" ht="29.95" customHeight="1">
      <c r="A13" s="118">
        <v>81806414</v>
      </c>
      <c r="B13" s="119" t="s">
        <v>1348</v>
      </c>
      <c r="C13" s="931">
        <v>95475953</v>
      </c>
      <c r="D13" s="931">
        <v>94328334</v>
      </c>
      <c r="E13" s="679">
        <f>C13-D13</f>
        <v>1147619</v>
      </c>
    </row>
    <row r="14" spans="1:5" s="1178" customFormat="1" ht="29.95" customHeight="1">
      <c r="A14" s="118">
        <v>75378</v>
      </c>
      <c r="B14" s="119" t="s">
        <v>1347</v>
      </c>
      <c r="C14" s="128">
        <v>0</v>
      </c>
      <c r="D14" s="128">
        <v>0</v>
      </c>
      <c r="E14" s="680">
        <f>C14-D14</f>
        <v>0</v>
      </c>
    </row>
    <row r="15" spans="1:5" s="1178" customFormat="1" ht="29.95" customHeight="1">
      <c r="A15" s="118">
        <v>4031706</v>
      </c>
      <c r="B15" s="119" t="s">
        <v>1346</v>
      </c>
      <c r="C15" s="931">
        <v>2665000</v>
      </c>
      <c r="D15" s="931">
        <v>3012000</v>
      </c>
      <c r="E15" s="679">
        <f>C15-D15</f>
        <v>-347000</v>
      </c>
    </row>
    <row r="16" spans="1:5" s="1163" customFormat="1" ht="29.95" customHeight="1">
      <c r="A16" s="113">
        <v>86627160</v>
      </c>
      <c r="B16" s="122" t="s">
        <v>1345</v>
      </c>
      <c r="C16" s="115">
        <f>SUM(C17:C18)</f>
        <v>177046394</v>
      </c>
      <c r="D16" s="115">
        <f>SUM(D17:D18)</f>
        <v>190876184</v>
      </c>
      <c r="E16" s="678">
        <f>SUM(E17:E18)</f>
        <v>-13829790</v>
      </c>
    </row>
    <row r="17" spans="1:5" s="1178" customFormat="1" ht="29.95" customHeight="1">
      <c r="A17" s="118">
        <v>78863945</v>
      </c>
      <c r="B17" s="119" t="s">
        <v>1344</v>
      </c>
      <c r="C17" s="931">
        <v>166575394</v>
      </c>
      <c r="D17" s="931">
        <v>180505184</v>
      </c>
      <c r="E17" s="679">
        <f>C17-D17</f>
        <v>-13929790</v>
      </c>
    </row>
    <row r="18" spans="1:5" s="1178" customFormat="1" ht="29.95" customHeight="1">
      <c r="A18" s="118">
        <v>7763216</v>
      </c>
      <c r="B18" s="119" t="s">
        <v>1343</v>
      </c>
      <c r="C18" s="931">
        <v>10471000</v>
      </c>
      <c r="D18" s="931">
        <v>10371000</v>
      </c>
      <c r="E18" s="679">
        <f>C18-D18</f>
        <v>100000</v>
      </c>
    </row>
    <row r="19" spans="1:5" s="1163" customFormat="1" ht="29.95" customHeight="1">
      <c r="A19" s="113">
        <v>1417996</v>
      </c>
      <c r="B19" s="117" t="s">
        <v>1342</v>
      </c>
      <c r="C19" s="115">
        <f>+C20</f>
        <v>1385687</v>
      </c>
      <c r="D19" s="115">
        <f>+D20</f>
        <v>1401842</v>
      </c>
      <c r="E19" s="678">
        <f>+E20</f>
        <v>-16155</v>
      </c>
    </row>
    <row r="20" spans="1:5" s="1178" customFormat="1" ht="29.95" customHeight="1">
      <c r="A20" s="118">
        <v>1417996</v>
      </c>
      <c r="B20" s="119" t="s">
        <v>1341</v>
      </c>
      <c r="C20" s="931">
        <v>1385687</v>
      </c>
      <c r="D20" s="931">
        <v>1401842</v>
      </c>
      <c r="E20" s="679">
        <f>C20-D20</f>
        <v>-16155</v>
      </c>
    </row>
    <row r="21" spans="1:5" s="1163" customFormat="1" ht="29.95" customHeight="1">
      <c r="A21" s="113">
        <v>23909864</v>
      </c>
      <c r="B21" s="117" t="s">
        <v>1340</v>
      </c>
      <c r="C21" s="115">
        <f>SUM(C22:C24)</f>
        <v>24959558</v>
      </c>
      <c r="D21" s="115">
        <f>SUM(D22:D24)</f>
        <v>25683790</v>
      </c>
      <c r="E21" s="678">
        <f>SUM(E22:E24)</f>
        <v>-724232</v>
      </c>
    </row>
    <row r="22" spans="1:5" s="1178" customFormat="1" ht="29.95" customHeight="1">
      <c r="A22" s="118">
        <v>39752</v>
      </c>
      <c r="B22" s="119" t="s">
        <v>1339</v>
      </c>
      <c r="C22" s="931">
        <v>38534</v>
      </c>
      <c r="D22" s="931">
        <v>39143</v>
      </c>
      <c r="E22" s="679">
        <f>C22-D22</f>
        <v>-609</v>
      </c>
    </row>
    <row r="23" spans="1:5" s="1178" customFormat="1" ht="29.95" customHeight="1">
      <c r="A23" s="118">
        <v>23631800</v>
      </c>
      <c r="B23" s="119" t="s">
        <v>1338</v>
      </c>
      <c r="C23" s="931">
        <v>24682712</v>
      </c>
      <c r="D23" s="931">
        <v>25406335</v>
      </c>
      <c r="E23" s="679">
        <f>C23-D23</f>
        <v>-723623</v>
      </c>
    </row>
    <row r="24" spans="1:5" s="1178" customFormat="1" ht="29.95" customHeight="1">
      <c r="A24" s="118">
        <v>238312</v>
      </c>
      <c r="B24" s="119" t="s">
        <v>1337</v>
      </c>
      <c r="C24" s="931">
        <v>238312</v>
      </c>
      <c r="D24" s="931">
        <v>238312</v>
      </c>
      <c r="E24" s="680">
        <f>C24-D24</f>
        <v>0</v>
      </c>
    </row>
    <row r="25" spans="1:5" s="1178" customFormat="1" ht="37.15" customHeight="1">
      <c r="A25" s="118"/>
      <c r="B25" s="119"/>
      <c r="C25" s="931"/>
      <c r="D25" s="931"/>
      <c r="E25" s="679"/>
    </row>
    <row r="26" spans="1:5" s="1178" customFormat="1" ht="29.95" customHeight="1">
      <c r="A26" s="118"/>
      <c r="B26" s="119"/>
      <c r="C26" s="931"/>
      <c r="D26" s="931"/>
      <c r="E26" s="679"/>
    </row>
    <row r="27" spans="1:5" s="1178" customFormat="1" ht="20.95" customHeight="1">
      <c r="A27" s="118"/>
      <c r="B27" s="119"/>
      <c r="C27" s="931"/>
      <c r="D27" s="931"/>
      <c r="E27" s="679"/>
    </row>
    <row r="28" spans="1:5" s="1178" customFormat="1" ht="28.8" customHeight="1">
      <c r="A28" s="118"/>
      <c r="B28" s="119"/>
      <c r="C28" s="931"/>
      <c r="D28" s="931"/>
      <c r="E28" s="679"/>
    </row>
    <row r="29" spans="1:5" s="1163" customFormat="1" ht="29.95" customHeight="1" thickBot="1">
      <c r="A29" s="124">
        <f>A9</f>
        <v>897736069</v>
      </c>
      <c r="B29" s="125" t="s">
        <v>1336</v>
      </c>
      <c r="C29" s="126">
        <f>C9</f>
        <v>843940654</v>
      </c>
      <c r="D29" s="126">
        <f>D9</f>
        <v>887759448</v>
      </c>
      <c r="E29" s="681">
        <f>E9</f>
        <v>-43818794</v>
      </c>
    </row>
    <row r="30" spans="1:5" s="1163" customFormat="1" ht="29.95" customHeight="1">
      <c r="A30" s="113">
        <v>897730860</v>
      </c>
      <c r="B30" s="114" t="s">
        <v>1335</v>
      </c>
      <c r="C30" s="115">
        <f>C31+C35</f>
        <v>843935445</v>
      </c>
      <c r="D30" s="115">
        <f>D31+D35</f>
        <v>887754239</v>
      </c>
      <c r="E30" s="116">
        <f>E31+E35</f>
        <v>-43818794</v>
      </c>
    </row>
    <row r="31" spans="1:5" s="1163" customFormat="1" ht="25.55" customHeight="1">
      <c r="A31" s="113">
        <v>29381181</v>
      </c>
      <c r="B31" s="117" t="s">
        <v>1334</v>
      </c>
      <c r="C31" s="115">
        <f>SUM(C32:C34)</f>
        <v>29334266</v>
      </c>
      <c r="D31" s="115">
        <f>SUM(D32:D34)</f>
        <v>29417688</v>
      </c>
      <c r="E31" s="116">
        <f>SUM(E32:E34)</f>
        <v>-83422</v>
      </c>
    </row>
    <row r="32" spans="1:5" s="1178" customFormat="1" ht="29.95" customHeight="1">
      <c r="A32" s="118">
        <v>29106736</v>
      </c>
      <c r="B32" s="119" t="s">
        <v>1333</v>
      </c>
      <c r="C32" s="931">
        <v>29055139</v>
      </c>
      <c r="D32" s="931">
        <v>29133879</v>
      </c>
      <c r="E32" s="121">
        <f>C32-D32</f>
        <v>-78740</v>
      </c>
    </row>
    <row r="33" spans="1:5" s="1178" customFormat="1" ht="29.95" customHeight="1">
      <c r="A33" s="118">
        <v>142604</v>
      </c>
      <c r="B33" s="119" t="s">
        <v>1332</v>
      </c>
      <c r="C33" s="931">
        <v>147286</v>
      </c>
      <c r="D33" s="931">
        <v>151968</v>
      </c>
      <c r="E33" s="121">
        <f>C33-D33</f>
        <v>-4682</v>
      </c>
    </row>
    <row r="34" spans="1:5" s="1178" customFormat="1" ht="29.95" customHeight="1">
      <c r="A34" s="118">
        <v>131841</v>
      </c>
      <c r="B34" s="119" t="s">
        <v>1331</v>
      </c>
      <c r="C34" s="128">
        <v>131841</v>
      </c>
      <c r="D34" s="128">
        <v>131841</v>
      </c>
      <c r="E34" s="123">
        <f>C34-D34</f>
        <v>0</v>
      </c>
    </row>
    <row r="35" spans="1:5" s="1163" customFormat="1" ht="29.95" customHeight="1">
      <c r="A35" s="113">
        <v>868349679</v>
      </c>
      <c r="B35" s="122" t="s">
        <v>1330</v>
      </c>
      <c r="C35" s="115">
        <f>SUM(C36:C38)</f>
        <v>814601179</v>
      </c>
      <c r="D35" s="115">
        <f>SUM(D36:D38)</f>
        <v>858336551</v>
      </c>
      <c r="E35" s="116">
        <f>SUM(E36:E38)</f>
        <v>-43735372</v>
      </c>
    </row>
    <row r="36" spans="1:5" s="1178" customFormat="1" ht="29.95" customHeight="1">
      <c r="A36" s="118">
        <v>3975176</v>
      </c>
      <c r="B36" s="119" t="s">
        <v>1329</v>
      </c>
      <c r="C36" s="931">
        <v>3853346</v>
      </c>
      <c r="D36" s="931">
        <v>3914261</v>
      </c>
      <c r="E36" s="121">
        <f>C36-D36</f>
        <v>-60915</v>
      </c>
    </row>
    <row r="37" spans="1:5" s="1178" customFormat="1" ht="29.95" customHeight="1">
      <c r="A37" s="118">
        <v>864304449</v>
      </c>
      <c r="B37" s="119" t="s">
        <v>1328</v>
      </c>
      <c r="C37" s="931">
        <v>810678310</v>
      </c>
      <c r="D37" s="931">
        <v>854352236</v>
      </c>
      <c r="E37" s="121">
        <f>C37-D37</f>
        <v>-43673926</v>
      </c>
    </row>
    <row r="38" spans="1:5" s="1178" customFormat="1" ht="29.95" customHeight="1">
      <c r="A38" s="118">
        <v>70053</v>
      </c>
      <c r="B38" s="119" t="s">
        <v>1327</v>
      </c>
      <c r="C38" s="931">
        <v>69523</v>
      </c>
      <c r="D38" s="931">
        <v>70054</v>
      </c>
      <c r="E38" s="121">
        <f>C38-D38</f>
        <v>-531</v>
      </c>
    </row>
    <row r="39" spans="1:5" s="1163" customFormat="1" ht="29.95" customHeight="1">
      <c r="A39" s="113">
        <v>5209</v>
      </c>
      <c r="B39" s="114" t="s">
        <v>1326</v>
      </c>
      <c r="C39" s="115">
        <f>C40+C42+C44</f>
        <v>5209</v>
      </c>
      <c r="D39" s="115">
        <f>D40+D42+D44</f>
        <v>5209</v>
      </c>
      <c r="E39" s="131">
        <f>E40+E42+E44</f>
        <v>0</v>
      </c>
    </row>
    <row r="40" spans="1:5" s="1163" customFormat="1" ht="29.95" customHeight="1">
      <c r="A40" s="113">
        <f>A41</f>
        <v>625</v>
      </c>
      <c r="B40" s="117" t="s">
        <v>1325</v>
      </c>
      <c r="C40" s="115">
        <f>C41</f>
        <v>625</v>
      </c>
      <c r="D40" s="115">
        <f>D41</f>
        <v>625</v>
      </c>
      <c r="E40" s="131">
        <f>E41</f>
        <v>0</v>
      </c>
    </row>
    <row r="41" spans="1:5" s="1178" customFormat="1" ht="24.05" customHeight="1">
      <c r="A41" s="118">
        <v>625</v>
      </c>
      <c r="B41" s="119" t="s">
        <v>1324</v>
      </c>
      <c r="C41" s="931">
        <v>625</v>
      </c>
      <c r="D41" s="931">
        <v>625</v>
      </c>
      <c r="E41" s="123">
        <f>C41-D41</f>
        <v>0</v>
      </c>
    </row>
    <row r="42" spans="1:5" s="1163" customFormat="1" ht="29.95" customHeight="1">
      <c r="A42" s="113">
        <f>A43</f>
        <v>4584</v>
      </c>
      <c r="B42" s="117" t="s">
        <v>1323</v>
      </c>
      <c r="C42" s="115">
        <f>+C43</f>
        <v>4584</v>
      </c>
      <c r="D42" s="115">
        <f>+D43</f>
        <v>4584</v>
      </c>
      <c r="E42" s="131">
        <f>E43</f>
        <v>0</v>
      </c>
    </row>
    <row r="43" spans="1:5" s="1178" customFormat="1" ht="24.75" customHeight="1">
      <c r="A43" s="118">
        <v>4584</v>
      </c>
      <c r="B43" s="119" t="s">
        <v>1322</v>
      </c>
      <c r="C43" s="931">
        <v>4584</v>
      </c>
      <c r="D43" s="931">
        <v>4584</v>
      </c>
      <c r="E43" s="123">
        <v>0</v>
      </c>
    </row>
    <row r="44" spans="1:5" s="1163" customFormat="1" ht="27.85" customHeight="1">
      <c r="A44" s="129">
        <f>A45</f>
        <v>0</v>
      </c>
      <c r="B44" s="117" t="s">
        <v>1321</v>
      </c>
      <c r="C44" s="130">
        <f>C45</f>
        <v>0</v>
      </c>
      <c r="D44" s="130">
        <f>D45</f>
        <v>0</v>
      </c>
      <c r="E44" s="131">
        <f>E45</f>
        <v>0</v>
      </c>
    </row>
    <row r="45" spans="1:5" s="1178" customFormat="1" ht="31.6" customHeight="1">
      <c r="A45" s="132">
        <v>0</v>
      </c>
      <c r="B45" s="119" t="s">
        <v>1320</v>
      </c>
      <c r="C45" s="128">
        <v>0</v>
      </c>
      <c r="D45" s="128">
        <v>0</v>
      </c>
      <c r="E45" s="123">
        <v>0</v>
      </c>
    </row>
    <row r="46" spans="1:5" s="1178" customFormat="1" ht="42.05" customHeight="1">
      <c r="A46" s="132"/>
      <c r="B46" s="119"/>
      <c r="C46" s="128"/>
      <c r="D46" s="128"/>
      <c r="E46" s="123"/>
    </row>
    <row r="47" spans="1:5" s="1178" customFormat="1" ht="29.95" customHeight="1">
      <c r="A47" s="132"/>
      <c r="B47" s="119"/>
      <c r="C47" s="128"/>
      <c r="D47" s="128"/>
      <c r="E47" s="123"/>
    </row>
    <row r="48" spans="1:5" s="1178" customFormat="1" ht="28.8" customHeight="1">
      <c r="A48" s="132"/>
      <c r="B48" s="119"/>
      <c r="C48" s="128"/>
      <c r="D48" s="128"/>
      <c r="E48" s="123"/>
    </row>
    <row r="49" spans="1:5" s="1178" customFormat="1" ht="11.95" customHeight="1">
      <c r="A49" s="132"/>
      <c r="B49" s="119"/>
      <c r="C49" s="128"/>
      <c r="D49" s="128"/>
      <c r="E49" s="123"/>
    </row>
    <row r="50" spans="1:5" s="1163" customFormat="1" ht="18.649999999999999" customHeight="1" thickBot="1">
      <c r="A50" s="124">
        <v>897736069</v>
      </c>
      <c r="B50" s="125" t="s">
        <v>1319</v>
      </c>
      <c r="C50" s="126">
        <f>C30+C39</f>
        <v>843940654</v>
      </c>
      <c r="D50" s="126">
        <f>D30+D39</f>
        <v>887759448</v>
      </c>
      <c r="E50" s="127">
        <f>E30+E39</f>
        <v>-43818794</v>
      </c>
    </row>
    <row r="51" spans="1:5" s="1163" customFormat="1" ht="2" customHeight="1">
      <c r="A51" s="700"/>
      <c r="B51" s="114"/>
      <c r="C51" s="700"/>
      <c r="D51" s="700"/>
      <c r="E51" s="700"/>
    </row>
    <row r="52" spans="1:5" s="200" customFormat="1" ht="24.9" customHeight="1">
      <c r="A52" s="1607" t="s">
        <v>1318</v>
      </c>
      <c r="B52" s="1608"/>
      <c r="C52" s="1608"/>
      <c r="D52" s="1608"/>
      <c r="E52" s="1608"/>
    </row>
    <row r="55" spans="1:5">
      <c r="A55" s="640">
        <f>A50-A29</f>
        <v>0</v>
      </c>
      <c r="C55" s="640">
        <f>C50-C29</f>
        <v>0</v>
      </c>
      <c r="D55" s="640">
        <f>D50-D29</f>
        <v>0</v>
      </c>
      <c r="E55" s="640">
        <f>E50-E29</f>
        <v>0</v>
      </c>
    </row>
  </sheetData>
  <mergeCells count="10">
    <mergeCell ref="A52:E52"/>
    <mergeCell ref="A1:E1"/>
    <mergeCell ref="A2:E2"/>
    <mergeCell ref="A3:E3"/>
    <mergeCell ref="A4:E4"/>
    <mergeCell ref="A5:A7"/>
    <mergeCell ref="B5:B7"/>
    <mergeCell ref="C5:C7"/>
    <mergeCell ref="D5:D7"/>
    <mergeCell ref="E5:E7"/>
  </mergeCells>
  <phoneticPr fontId="5" type="noConversion"/>
  <printOptions horizontalCentered="1"/>
  <pageMargins left="0.59055118110236227" right="0.59055118110236227" top="0.59055118110236227" bottom="0.78740157480314965" header="0.51181102362204722" footer="0.51181102362204722"/>
  <pageSetup paperSize="9" firstPageNumber="6" orientation="portrait" useFirstPageNumber="1" r:id="rId1"/>
  <headerFooter alignWithMargins="0">
    <oddFooter>&amp;C&amp;"細明體,標準"附&amp;"Times New Roman,標準"1-&amp;P</oddFooter>
  </headerFooter>
  <rowBreaks count="1" manualBreakCount="1">
    <brk id="29" max="16383" man="1"/>
  </rowBreaks>
  <legacy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A1:P63"/>
  <sheetViews>
    <sheetView view="pageBreakPreview" zoomScaleNormal="100" zoomScaleSheetLayoutView="100" workbookViewId="0">
      <selection activeCell="L13" sqref="L13"/>
    </sheetView>
  </sheetViews>
  <sheetFormatPr defaultColWidth="9" defaultRowHeight="16.399999999999999"/>
  <cols>
    <col min="1" max="1" width="10.5" style="2" customWidth="1"/>
    <col min="2" max="2" width="6.625" style="2" customWidth="1"/>
    <col min="3" max="3" width="21.75" style="594" customWidth="1"/>
    <col min="4" max="4" width="10.5" style="2" customWidth="1"/>
    <col min="5" max="5" width="6.625" style="282" customWidth="1"/>
    <col min="6" max="6" width="10.5" style="2" customWidth="1"/>
    <col min="7" max="7" width="6.625" style="2" customWidth="1"/>
    <col min="8" max="8" width="10.5" style="2" customWidth="1"/>
    <col min="9" max="9" width="6.625" style="2" customWidth="1"/>
    <col min="10" max="10" width="9" style="2"/>
    <col min="11" max="13" width="11.625" style="2" hidden="1" customWidth="1"/>
    <col min="14" max="14" width="0" style="2" hidden="1" customWidth="1"/>
    <col min="15" max="16384" width="9" style="2"/>
  </cols>
  <sheetData>
    <row r="1" spans="1:13" ht="20.95" customHeight="1">
      <c r="A1" s="1266" t="s">
        <v>59</v>
      </c>
      <c r="B1" s="1266"/>
      <c r="C1" s="1266"/>
      <c r="D1" s="1266"/>
      <c r="E1" s="1266"/>
      <c r="F1" s="1266"/>
      <c r="G1" s="1266"/>
      <c r="H1" s="1266"/>
      <c r="I1" s="1266"/>
    </row>
    <row r="2" spans="1:13" ht="20.95" customHeight="1">
      <c r="A2" s="1266" t="s">
        <v>60</v>
      </c>
      <c r="B2" s="1266"/>
      <c r="C2" s="1266"/>
      <c r="D2" s="1266"/>
      <c r="E2" s="1266"/>
      <c r="F2" s="1266"/>
      <c r="G2" s="1266"/>
      <c r="H2" s="1266"/>
      <c r="I2" s="1266"/>
    </row>
    <row r="3" spans="1:13" ht="24.9" customHeight="1">
      <c r="A3" s="1267" t="s">
        <v>1727</v>
      </c>
      <c r="B3" s="1268"/>
      <c r="C3" s="1268"/>
      <c r="D3" s="1268"/>
      <c r="E3" s="1268"/>
      <c r="F3" s="1268"/>
      <c r="G3" s="1268"/>
      <c r="H3" s="1268"/>
      <c r="I3" s="1268"/>
    </row>
    <row r="4" spans="1:13" ht="24.9" customHeight="1" thickBot="1">
      <c r="A4" s="1336" t="s">
        <v>1754</v>
      </c>
      <c r="B4" s="1270"/>
      <c r="C4" s="1270"/>
      <c r="D4" s="1270"/>
      <c r="E4" s="1270"/>
      <c r="F4" s="1270"/>
      <c r="G4" s="1270"/>
      <c r="H4" s="1270"/>
      <c r="I4" s="1270"/>
    </row>
    <row r="5" spans="1:13" ht="20.95" customHeight="1">
      <c r="A5" s="1597" t="s">
        <v>292</v>
      </c>
      <c r="B5" s="1272"/>
      <c r="C5" s="1273" t="s">
        <v>15</v>
      </c>
      <c r="D5" s="1272" t="s">
        <v>293</v>
      </c>
      <c r="E5" s="1272"/>
      <c r="F5" s="1272" t="s">
        <v>294</v>
      </c>
      <c r="G5" s="1272"/>
      <c r="H5" s="1273" t="s">
        <v>1601</v>
      </c>
      <c r="I5" s="1599"/>
    </row>
    <row r="6" spans="1:13" ht="19.5" customHeight="1">
      <c r="A6" s="537" t="s">
        <v>1382</v>
      </c>
      <c r="B6" s="1177" t="s">
        <v>296</v>
      </c>
      <c r="C6" s="1598"/>
      <c r="D6" s="1177" t="s">
        <v>1382</v>
      </c>
      <c r="E6" s="539" t="s">
        <v>296</v>
      </c>
      <c r="F6" s="1177" t="s">
        <v>1382</v>
      </c>
      <c r="G6" s="1177" t="s">
        <v>296</v>
      </c>
      <c r="H6" s="1177" t="s">
        <v>1382</v>
      </c>
      <c r="I6" s="540" t="s">
        <v>296</v>
      </c>
    </row>
    <row r="7" spans="1:13" ht="8.1999999999999993" customHeight="1">
      <c r="A7" s="541"/>
      <c r="B7" s="166"/>
      <c r="C7" s="165"/>
      <c r="D7" s="166"/>
      <c r="E7" s="543"/>
      <c r="F7" s="166"/>
      <c r="G7" s="166"/>
      <c r="H7" s="166"/>
      <c r="I7" s="544"/>
    </row>
    <row r="8" spans="1:13" s="1163" customFormat="1" ht="24.05" customHeight="1">
      <c r="A8" s="305">
        <v>31758082</v>
      </c>
      <c r="B8" s="545">
        <v>100</v>
      </c>
      <c r="C8" s="546" t="s">
        <v>16</v>
      </c>
      <c r="D8" s="547">
        <f>D13+D9</f>
        <v>32093341</v>
      </c>
      <c r="E8" s="545">
        <v>100</v>
      </c>
      <c r="F8" s="547">
        <f>F13+F9</f>
        <v>31811941</v>
      </c>
      <c r="G8" s="545">
        <v>100</v>
      </c>
      <c r="H8" s="548">
        <f t="shared" ref="H8:H27" si="0">D8-F8</f>
        <v>281400</v>
      </c>
      <c r="I8" s="320">
        <f>ROUND(H8/F8*100,2)</f>
        <v>0.88</v>
      </c>
      <c r="K8" s="596">
        <f t="shared" ref="K8:K38" si="1">ROUND(A8/$A$8*100,4)</f>
        <v>100</v>
      </c>
      <c r="L8" s="596">
        <f t="shared" ref="L8:L38" si="2">ROUND(D8/$D$8*100,4)</f>
        <v>100</v>
      </c>
      <c r="M8" s="596">
        <f t="shared" ref="M8:M38" si="3">ROUND(F8/$F$8*100,4)</f>
        <v>100</v>
      </c>
    </row>
    <row r="9" spans="1:13" s="1163" customFormat="1" ht="24.05" customHeight="1">
      <c r="A9" s="305">
        <v>2693056</v>
      </c>
      <c r="B9" s="545">
        <f t="shared" ref="B9:B38" si="4">ROUND(A9/$A$8*100,2)</f>
        <v>8.48</v>
      </c>
      <c r="C9" s="546" t="s">
        <v>1381</v>
      </c>
      <c r="D9" s="547">
        <f>SUM(D10:D12)</f>
        <v>1696452</v>
      </c>
      <c r="E9" s="545">
        <f t="shared" ref="E9:E38" si="5">ROUND(D9/$D$8*100,2)</f>
        <v>5.29</v>
      </c>
      <c r="F9" s="547">
        <f>SUM(F10:F12)</f>
        <v>2004257</v>
      </c>
      <c r="G9" s="600">
        <f t="shared" ref="G9:G38" si="6">ROUND(F9/$F$8*100,2)</f>
        <v>6.3</v>
      </c>
      <c r="H9" s="548">
        <f t="shared" si="0"/>
        <v>-307805</v>
      </c>
      <c r="I9" s="320">
        <f>ROUND(H9/F9*100,2)</f>
        <v>-15.36</v>
      </c>
      <c r="K9" s="596">
        <f t="shared" si="1"/>
        <v>8.4799000000000007</v>
      </c>
      <c r="L9" s="596">
        <f t="shared" si="2"/>
        <v>5.2859999999999996</v>
      </c>
      <c r="M9" s="596">
        <f t="shared" si="3"/>
        <v>6.3003</v>
      </c>
    </row>
    <row r="10" spans="1:13" s="1178" customFormat="1" ht="24.05" customHeight="1">
      <c r="A10" s="551">
        <v>1760176</v>
      </c>
      <c r="B10" s="552">
        <f t="shared" si="4"/>
        <v>5.54</v>
      </c>
      <c r="C10" s="553" t="s">
        <v>1380</v>
      </c>
      <c r="D10" s="557">
        <v>1401654</v>
      </c>
      <c r="E10" s="599">
        <f t="shared" si="5"/>
        <v>4.37</v>
      </c>
      <c r="F10" s="557">
        <v>1695791</v>
      </c>
      <c r="G10" s="599">
        <f t="shared" si="6"/>
        <v>5.33</v>
      </c>
      <c r="H10" s="558">
        <f t="shared" si="0"/>
        <v>-294137</v>
      </c>
      <c r="I10" s="316">
        <f>ROUND(H10/F10*100,2)</f>
        <v>-17.350000000000001</v>
      </c>
      <c r="K10" s="598">
        <f t="shared" si="1"/>
        <v>5.5425000000000004</v>
      </c>
      <c r="L10" s="598">
        <f t="shared" si="2"/>
        <v>4.3673999999999999</v>
      </c>
      <c r="M10" s="598">
        <f t="shared" si="3"/>
        <v>5.3307000000000002</v>
      </c>
    </row>
    <row r="11" spans="1:13" s="1178" customFormat="1" ht="27" customHeight="1">
      <c r="A11" s="551">
        <v>507449</v>
      </c>
      <c r="B11" s="552">
        <f t="shared" si="4"/>
        <v>1.6</v>
      </c>
      <c r="C11" s="553" t="s">
        <v>1379</v>
      </c>
      <c r="D11" s="554">
        <v>0</v>
      </c>
      <c r="E11" s="554">
        <f t="shared" si="5"/>
        <v>0</v>
      </c>
      <c r="F11" s="554">
        <v>0</v>
      </c>
      <c r="G11" s="554">
        <f t="shared" si="6"/>
        <v>0</v>
      </c>
      <c r="H11" s="554">
        <f t="shared" si="0"/>
        <v>0</v>
      </c>
      <c r="I11" s="555">
        <v>0</v>
      </c>
      <c r="K11" s="598">
        <f t="shared" si="1"/>
        <v>1.5979000000000001</v>
      </c>
      <c r="L11" s="598">
        <f t="shared" si="2"/>
        <v>0</v>
      </c>
      <c r="M11" s="598">
        <f t="shared" si="3"/>
        <v>0</v>
      </c>
    </row>
    <row r="12" spans="1:13" s="1178" customFormat="1" ht="27.85" customHeight="1">
      <c r="A12" s="551">
        <v>425431</v>
      </c>
      <c r="B12" s="552">
        <f t="shared" si="4"/>
        <v>1.34</v>
      </c>
      <c r="C12" s="553" t="s">
        <v>1285</v>
      </c>
      <c r="D12" s="557">
        <v>294798</v>
      </c>
      <c r="E12" s="619">
        <f t="shared" si="5"/>
        <v>0.92</v>
      </c>
      <c r="F12" s="557">
        <v>308466</v>
      </c>
      <c r="G12" s="619">
        <f t="shared" si="6"/>
        <v>0.97</v>
      </c>
      <c r="H12" s="558">
        <f t="shared" si="0"/>
        <v>-13668</v>
      </c>
      <c r="I12" s="316">
        <f>ROUND(H12/F12*100,2)</f>
        <v>-4.43</v>
      </c>
      <c r="K12" s="598">
        <f t="shared" si="1"/>
        <v>1.3395999999999999</v>
      </c>
      <c r="L12" s="598">
        <f t="shared" si="2"/>
        <v>0.91859999999999997</v>
      </c>
      <c r="M12" s="598">
        <f t="shared" si="3"/>
        <v>0.96970000000000001</v>
      </c>
    </row>
    <row r="13" spans="1:13" s="1163" customFormat="1" ht="24.05" customHeight="1">
      <c r="A13" s="305">
        <v>29065026</v>
      </c>
      <c r="B13" s="545">
        <f t="shared" si="4"/>
        <v>91.52</v>
      </c>
      <c r="C13" s="546" t="s">
        <v>1284</v>
      </c>
      <c r="D13" s="547">
        <f>D14+D15</f>
        <v>30396889</v>
      </c>
      <c r="E13" s="545">
        <f t="shared" si="5"/>
        <v>94.71</v>
      </c>
      <c r="F13" s="547">
        <f>F14+F15</f>
        <v>29807684</v>
      </c>
      <c r="G13" s="550">
        <f t="shared" si="6"/>
        <v>93.7</v>
      </c>
      <c r="H13" s="548">
        <f t="shared" si="0"/>
        <v>589205</v>
      </c>
      <c r="I13" s="320">
        <f>ROUND(H13/F13*100,2)</f>
        <v>1.98</v>
      </c>
      <c r="K13" s="596">
        <f t="shared" si="1"/>
        <v>91.520099999999999</v>
      </c>
      <c r="L13" s="596">
        <f t="shared" si="2"/>
        <v>94.713999999999999</v>
      </c>
      <c r="M13" s="596">
        <f t="shared" si="3"/>
        <v>93.699700000000007</v>
      </c>
    </row>
    <row r="14" spans="1:13" s="1178" customFormat="1" ht="24.05" customHeight="1">
      <c r="A14" s="551">
        <v>29065026</v>
      </c>
      <c r="B14" s="552">
        <f t="shared" si="4"/>
        <v>91.52</v>
      </c>
      <c r="C14" s="553" t="s">
        <v>1378</v>
      </c>
      <c r="D14" s="557">
        <v>30396889</v>
      </c>
      <c r="E14" s="619">
        <f t="shared" si="5"/>
        <v>94.71</v>
      </c>
      <c r="F14" s="557">
        <v>29807684</v>
      </c>
      <c r="G14" s="355">
        <f t="shared" si="6"/>
        <v>93.7</v>
      </c>
      <c r="H14" s="558">
        <f t="shared" si="0"/>
        <v>589205</v>
      </c>
      <c r="I14" s="316">
        <f>ROUND(H14/F14*100,2)</f>
        <v>1.98</v>
      </c>
      <c r="K14" s="598">
        <f t="shared" si="1"/>
        <v>91.520099999999999</v>
      </c>
      <c r="L14" s="598">
        <f t="shared" si="2"/>
        <v>94.713999999999999</v>
      </c>
      <c r="M14" s="598">
        <f t="shared" si="3"/>
        <v>93.699700000000007</v>
      </c>
    </row>
    <row r="15" spans="1:13" s="1178" customFormat="1" ht="24.05" hidden="1" customHeight="1">
      <c r="A15" s="551">
        <v>0</v>
      </c>
      <c r="B15" s="552">
        <f t="shared" si="4"/>
        <v>0</v>
      </c>
      <c r="C15" s="568" t="s">
        <v>1377</v>
      </c>
      <c r="D15" s="554">
        <v>0</v>
      </c>
      <c r="E15" s="599">
        <f t="shared" si="5"/>
        <v>0</v>
      </c>
      <c r="F15" s="554">
        <v>0</v>
      </c>
      <c r="G15" s="599">
        <f t="shared" si="6"/>
        <v>0</v>
      </c>
      <c r="H15" s="572">
        <f t="shared" si="0"/>
        <v>0</v>
      </c>
      <c r="I15" s="555">
        <v>0</v>
      </c>
      <c r="K15" s="598">
        <f t="shared" si="1"/>
        <v>0</v>
      </c>
      <c r="L15" s="598">
        <f t="shared" si="2"/>
        <v>0</v>
      </c>
      <c r="M15" s="598">
        <f t="shared" si="3"/>
        <v>0</v>
      </c>
    </row>
    <row r="16" spans="1:13" s="1163" customFormat="1" ht="29" customHeight="1">
      <c r="A16" s="305">
        <v>31768275</v>
      </c>
      <c r="B16" s="545">
        <f t="shared" si="4"/>
        <v>100.03</v>
      </c>
      <c r="C16" s="546" t="s">
        <v>1376</v>
      </c>
      <c r="D16" s="547">
        <f>D17+D20+D24</f>
        <v>32101842</v>
      </c>
      <c r="E16" s="600">
        <f t="shared" si="5"/>
        <v>100.03</v>
      </c>
      <c r="F16" s="547">
        <f>F17+F20+F24</f>
        <v>31820028</v>
      </c>
      <c r="G16" s="600">
        <f t="shared" si="6"/>
        <v>100.03</v>
      </c>
      <c r="H16" s="548">
        <f t="shared" si="0"/>
        <v>281814</v>
      </c>
      <c r="I16" s="320">
        <f>ROUND(H16/F16*100,2)</f>
        <v>0.89</v>
      </c>
      <c r="K16" s="596">
        <f t="shared" si="1"/>
        <v>100.0321</v>
      </c>
      <c r="L16" s="596">
        <f t="shared" si="2"/>
        <v>100.0265</v>
      </c>
      <c r="M16" s="596">
        <f t="shared" si="3"/>
        <v>100.0254</v>
      </c>
    </row>
    <row r="17" spans="1:13" s="1163" customFormat="1" ht="27.65" customHeight="1">
      <c r="A17" s="305">
        <v>1803181</v>
      </c>
      <c r="B17" s="550">
        <f t="shared" si="4"/>
        <v>5.68</v>
      </c>
      <c r="C17" s="546" t="s">
        <v>1375</v>
      </c>
      <c r="D17" s="547">
        <f>SUM(D18:D18)</f>
        <v>450</v>
      </c>
      <c r="E17" s="550">
        <f t="shared" si="5"/>
        <v>0</v>
      </c>
      <c r="F17" s="547">
        <f>SUM(F18:F18)</f>
        <v>824</v>
      </c>
      <c r="G17" s="550">
        <f t="shared" si="6"/>
        <v>0</v>
      </c>
      <c r="H17" s="548">
        <f t="shared" si="0"/>
        <v>-374</v>
      </c>
      <c r="I17" s="320">
        <f>ROUND(H17/F17*100,2)</f>
        <v>-45.39</v>
      </c>
      <c r="K17" s="596">
        <f t="shared" si="1"/>
        <v>5.6779000000000002</v>
      </c>
      <c r="L17" s="596">
        <f t="shared" si="2"/>
        <v>1.4E-3</v>
      </c>
      <c r="M17" s="596">
        <f t="shared" si="3"/>
        <v>2.5999999999999999E-3</v>
      </c>
    </row>
    <row r="18" spans="1:13" s="1178" customFormat="1" ht="24.05" customHeight="1">
      <c r="A18" s="551">
        <v>8306</v>
      </c>
      <c r="B18" s="355">
        <f t="shared" si="4"/>
        <v>0.03</v>
      </c>
      <c r="C18" s="553" t="s">
        <v>1374</v>
      </c>
      <c r="D18" s="312">
        <v>450</v>
      </c>
      <c r="E18" s="355">
        <f t="shared" si="5"/>
        <v>0</v>
      </c>
      <c r="F18" s="312">
        <v>824</v>
      </c>
      <c r="G18" s="355">
        <f t="shared" si="6"/>
        <v>0</v>
      </c>
      <c r="H18" s="558">
        <f t="shared" si="0"/>
        <v>-374</v>
      </c>
      <c r="I18" s="316">
        <f>ROUND(H18/F18*100,2)</f>
        <v>-45.39</v>
      </c>
      <c r="K18" s="598">
        <f t="shared" si="1"/>
        <v>2.6200000000000001E-2</v>
      </c>
      <c r="L18" s="598">
        <f t="shared" si="2"/>
        <v>1.4E-3</v>
      </c>
      <c r="M18" s="598">
        <f t="shared" si="3"/>
        <v>2.5999999999999999E-3</v>
      </c>
    </row>
    <row r="19" spans="1:13" s="1178" customFormat="1" ht="24.05" customHeight="1">
      <c r="A19" s="551">
        <v>1794875</v>
      </c>
      <c r="B19" s="355">
        <f t="shared" si="4"/>
        <v>5.65</v>
      </c>
      <c r="C19" s="553" t="s">
        <v>1373</v>
      </c>
      <c r="D19" s="554">
        <v>0</v>
      </c>
      <c r="E19" s="554">
        <f t="shared" si="5"/>
        <v>0</v>
      </c>
      <c r="F19" s="554">
        <v>0</v>
      </c>
      <c r="G19" s="554">
        <f t="shared" si="6"/>
        <v>0</v>
      </c>
      <c r="H19" s="554">
        <f t="shared" si="0"/>
        <v>0</v>
      </c>
      <c r="I19" s="555">
        <v>0</v>
      </c>
      <c r="K19" s="598">
        <f t="shared" si="1"/>
        <v>5.6516999999999999</v>
      </c>
      <c r="L19" s="598">
        <f t="shared" si="2"/>
        <v>0</v>
      </c>
      <c r="M19" s="598">
        <f t="shared" si="3"/>
        <v>0</v>
      </c>
    </row>
    <row r="20" spans="1:13" s="1163" customFormat="1" ht="24.05" customHeight="1">
      <c r="A20" s="305">
        <v>27464684</v>
      </c>
      <c r="B20" s="545">
        <f t="shared" si="4"/>
        <v>86.48</v>
      </c>
      <c r="C20" s="546" t="s">
        <v>1271</v>
      </c>
      <c r="D20" s="547">
        <f>SUM(D21:D23)</f>
        <v>28401381</v>
      </c>
      <c r="E20" s="1217">
        <f t="shared" si="5"/>
        <v>88.5</v>
      </c>
      <c r="F20" s="547">
        <f>SUM(F21:F23)</f>
        <v>28391151</v>
      </c>
      <c r="G20" s="597">
        <f t="shared" si="6"/>
        <v>89.25</v>
      </c>
      <c r="H20" s="548">
        <f t="shared" si="0"/>
        <v>10230</v>
      </c>
      <c r="I20" s="320">
        <f t="shared" ref="I20:I30" si="7">ROUND(H20/F20*100,2)</f>
        <v>0.04</v>
      </c>
      <c r="K20" s="596">
        <f t="shared" si="1"/>
        <v>86.480900000000005</v>
      </c>
      <c r="L20" s="596">
        <f t="shared" si="2"/>
        <v>88.496200000000002</v>
      </c>
      <c r="M20" s="596">
        <f t="shared" si="3"/>
        <v>89.246799999999993</v>
      </c>
    </row>
    <row r="21" spans="1:13" s="1178" customFormat="1" ht="24.05" customHeight="1">
      <c r="A21" s="551">
        <v>23106476</v>
      </c>
      <c r="B21" s="552">
        <f t="shared" si="4"/>
        <v>72.760000000000005</v>
      </c>
      <c r="C21" s="553" t="s">
        <v>1270</v>
      </c>
      <c r="D21" s="557">
        <v>23777464</v>
      </c>
      <c r="E21" s="908">
        <f t="shared" si="5"/>
        <v>74.09</v>
      </c>
      <c r="F21" s="557">
        <v>22823256</v>
      </c>
      <c r="G21" s="355">
        <f t="shared" si="6"/>
        <v>71.739999999999995</v>
      </c>
      <c r="H21" s="558">
        <f t="shared" si="0"/>
        <v>954208</v>
      </c>
      <c r="I21" s="316">
        <f t="shared" si="7"/>
        <v>4.18</v>
      </c>
      <c r="K21" s="598">
        <f t="shared" si="1"/>
        <v>72.757800000000003</v>
      </c>
      <c r="L21" s="598">
        <f t="shared" si="2"/>
        <v>74.088499999999996</v>
      </c>
      <c r="M21" s="598">
        <f t="shared" si="3"/>
        <v>71.744299999999996</v>
      </c>
    </row>
    <row r="22" spans="1:13" s="1178" customFormat="1" ht="24.05" customHeight="1">
      <c r="A22" s="551">
        <v>4319223</v>
      </c>
      <c r="B22" s="552">
        <f t="shared" si="4"/>
        <v>13.6</v>
      </c>
      <c r="C22" s="553" t="s">
        <v>1372</v>
      </c>
      <c r="D22" s="557">
        <v>4573039</v>
      </c>
      <c r="E22" s="355">
        <f t="shared" si="5"/>
        <v>14.25</v>
      </c>
      <c r="F22" s="557">
        <v>5527767</v>
      </c>
      <c r="G22" s="355">
        <f t="shared" si="6"/>
        <v>17.38</v>
      </c>
      <c r="H22" s="558">
        <f t="shared" si="0"/>
        <v>-954728</v>
      </c>
      <c r="I22" s="316">
        <f t="shared" si="7"/>
        <v>-17.27</v>
      </c>
      <c r="K22" s="598">
        <f t="shared" si="1"/>
        <v>13.6004</v>
      </c>
      <c r="L22" s="598">
        <f t="shared" si="2"/>
        <v>14.2492</v>
      </c>
      <c r="M22" s="598">
        <f t="shared" si="3"/>
        <v>17.3764</v>
      </c>
    </row>
    <row r="23" spans="1:13" s="1178" customFormat="1" ht="24.05" customHeight="1">
      <c r="A23" s="551">
        <v>38985</v>
      </c>
      <c r="B23" s="552">
        <f t="shared" si="4"/>
        <v>0.12</v>
      </c>
      <c r="C23" s="553" t="s">
        <v>1371</v>
      </c>
      <c r="D23" s="557">
        <v>50878</v>
      </c>
      <c r="E23" s="619">
        <f t="shared" si="5"/>
        <v>0.16</v>
      </c>
      <c r="F23" s="557">
        <v>40128</v>
      </c>
      <c r="G23" s="619">
        <f t="shared" si="6"/>
        <v>0.13</v>
      </c>
      <c r="H23" s="558">
        <f t="shared" si="0"/>
        <v>10750</v>
      </c>
      <c r="I23" s="316">
        <f t="shared" si="7"/>
        <v>26.79</v>
      </c>
      <c r="K23" s="598">
        <f t="shared" si="1"/>
        <v>0.12280000000000001</v>
      </c>
      <c r="L23" s="598">
        <f t="shared" si="2"/>
        <v>0.1585</v>
      </c>
      <c r="M23" s="598">
        <f t="shared" si="3"/>
        <v>0.12609999999999999</v>
      </c>
    </row>
    <row r="24" spans="1:13" s="1163" customFormat="1" ht="24.05" customHeight="1">
      <c r="A24" s="305">
        <v>2500411</v>
      </c>
      <c r="B24" s="545">
        <f t="shared" si="4"/>
        <v>7.87</v>
      </c>
      <c r="C24" s="546" t="s">
        <v>1370</v>
      </c>
      <c r="D24" s="547">
        <f>SUM(D25:D25)</f>
        <v>3700011</v>
      </c>
      <c r="E24" s="597">
        <f t="shared" si="5"/>
        <v>11.53</v>
      </c>
      <c r="F24" s="547">
        <f>SUM(F25:F25)</f>
        <v>3428053</v>
      </c>
      <c r="G24" s="597">
        <f t="shared" si="6"/>
        <v>10.78</v>
      </c>
      <c r="H24" s="548">
        <f t="shared" si="0"/>
        <v>271958</v>
      </c>
      <c r="I24" s="320">
        <f t="shared" si="7"/>
        <v>7.93</v>
      </c>
      <c r="K24" s="596">
        <f t="shared" si="1"/>
        <v>7.8733000000000004</v>
      </c>
      <c r="L24" s="596">
        <f t="shared" si="2"/>
        <v>11.5289</v>
      </c>
      <c r="M24" s="596">
        <f t="shared" si="3"/>
        <v>10.776</v>
      </c>
    </row>
    <row r="25" spans="1:13" s="1178" customFormat="1" ht="24.05" customHeight="1">
      <c r="A25" s="551">
        <v>2500411</v>
      </c>
      <c r="B25" s="552">
        <f t="shared" si="4"/>
        <v>7.87</v>
      </c>
      <c r="C25" s="553" t="s">
        <v>1266</v>
      </c>
      <c r="D25" s="557">
        <v>3700011</v>
      </c>
      <c r="E25" s="599">
        <f t="shared" si="5"/>
        <v>11.53</v>
      </c>
      <c r="F25" s="557">
        <v>3428053</v>
      </c>
      <c r="G25" s="599">
        <f t="shared" si="6"/>
        <v>10.78</v>
      </c>
      <c r="H25" s="558">
        <f t="shared" si="0"/>
        <v>271958</v>
      </c>
      <c r="I25" s="316">
        <f t="shared" si="7"/>
        <v>7.93</v>
      </c>
      <c r="K25" s="598">
        <f t="shared" si="1"/>
        <v>7.8733000000000004</v>
      </c>
      <c r="L25" s="598">
        <f t="shared" si="2"/>
        <v>11.5289</v>
      </c>
      <c r="M25" s="598">
        <f t="shared" si="3"/>
        <v>10.776</v>
      </c>
    </row>
    <row r="26" spans="1:13" s="1163" customFormat="1" ht="26.05" customHeight="1">
      <c r="A26" s="305">
        <v>-10193</v>
      </c>
      <c r="B26" s="545">
        <f t="shared" si="4"/>
        <v>-0.03</v>
      </c>
      <c r="C26" s="546" t="s">
        <v>1369</v>
      </c>
      <c r="D26" s="601">
        <f>+D8-D16</f>
        <v>-8501</v>
      </c>
      <c r="E26" s="597">
        <f t="shared" si="5"/>
        <v>-0.03</v>
      </c>
      <c r="F26" s="601">
        <f>+F8-F16</f>
        <v>-8087</v>
      </c>
      <c r="G26" s="597">
        <f t="shared" si="6"/>
        <v>-0.03</v>
      </c>
      <c r="H26" s="601">
        <f t="shared" si="0"/>
        <v>-414</v>
      </c>
      <c r="I26" s="320">
        <f t="shared" si="7"/>
        <v>5.12</v>
      </c>
      <c r="K26" s="596">
        <f t="shared" si="1"/>
        <v>-3.2099999999999997E-2</v>
      </c>
      <c r="L26" s="596">
        <f t="shared" si="2"/>
        <v>-2.6499999999999999E-2</v>
      </c>
      <c r="M26" s="596">
        <f t="shared" si="3"/>
        <v>-2.5399999999999999E-2</v>
      </c>
    </row>
    <row r="27" spans="1:13" s="1163" customFormat="1" ht="24.05" customHeight="1">
      <c r="A27" s="307">
        <v>10208</v>
      </c>
      <c r="B27" s="545">
        <f t="shared" si="4"/>
        <v>0.03</v>
      </c>
      <c r="C27" s="546" t="s">
        <v>1368</v>
      </c>
      <c r="D27" s="323">
        <f>D28+D30</f>
        <v>8512</v>
      </c>
      <c r="E27" s="597">
        <f t="shared" si="5"/>
        <v>0.03</v>
      </c>
      <c r="F27" s="323">
        <f>F28+F30</f>
        <v>8098</v>
      </c>
      <c r="G27" s="597">
        <f t="shared" si="6"/>
        <v>0.03</v>
      </c>
      <c r="H27" s="602">
        <f t="shared" si="0"/>
        <v>414</v>
      </c>
      <c r="I27" s="320">
        <f t="shared" si="7"/>
        <v>5.1100000000000003</v>
      </c>
      <c r="K27" s="596">
        <f t="shared" si="1"/>
        <v>3.2099999999999997E-2</v>
      </c>
      <c r="L27" s="596">
        <f t="shared" si="2"/>
        <v>2.6499999999999999E-2</v>
      </c>
      <c r="M27" s="596">
        <f t="shared" si="3"/>
        <v>2.5499999999999998E-2</v>
      </c>
    </row>
    <row r="28" spans="1:13" s="1163" customFormat="1" ht="29" customHeight="1">
      <c r="A28" s="305">
        <v>57</v>
      </c>
      <c r="B28" s="550">
        <f t="shared" si="4"/>
        <v>0</v>
      </c>
      <c r="C28" s="546" t="s">
        <v>1367</v>
      </c>
      <c r="D28" s="547">
        <f>D29</f>
        <v>73</v>
      </c>
      <c r="E28" s="550">
        <f t="shared" si="5"/>
        <v>0</v>
      </c>
      <c r="F28" s="547">
        <f>F29</f>
        <v>42</v>
      </c>
      <c r="G28" s="550">
        <f t="shared" si="6"/>
        <v>0</v>
      </c>
      <c r="H28" s="602">
        <f>H29</f>
        <v>31</v>
      </c>
      <c r="I28" s="603">
        <f t="shared" si="7"/>
        <v>73.81</v>
      </c>
      <c r="K28" s="596">
        <f t="shared" si="1"/>
        <v>2.0000000000000001E-4</v>
      </c>
      <c r="L28" s="596">
        <f t="shared" si="2"/>
        <v>2.0000000000000001E-4</v>
      </c>
      <c r="M28" s="596">
        <f t="shared" si="3"/>
        <v>1E-4</v>
      </c>
    </row>
    <row r="29" spans="1:13" s="1178" customFormat="1" ht="24.05" customHeight="1">
      <c r="A29" s="551">
        <v>57</v>
      </c>
      <c r="B29" s="355">
        <f t="shared" si="4"/>
        <v>0</v>
      </c>
      <c r="C29" s="553" t="s">
        <v>1366</v>
      </c>
      <c r="D29" s="557">
        <v>73</v>
      </c>
      <c r="E29" s="355">
        <f t="shared" si="5"/>
        <v>0</v>
      </c>
      <c r="F29" s="557">
        <v>42</v>
      </c>
      <c r="G29" s="355">
        <f t="shared" si="6"/>
        <v>0</v>
      </c>
      <c r="H29" s="604">
        <f>D29-F29</f>
        <v>31</v>
      </c>
      <c r="I29" s="316">
        <f t="shared" si="7"/>
        <v>73.81</v>
      </c>
      <c r="K29" s="598">
        <f t="shared" si="1"/>
        <v>2.0000000000000001E-4</v>
      </c>
      <c r="L29" s="598">
        <f t="shared" si="2"/>
        <v>2.0000000000000001E-4</v>
      </c>
      <c r="M29" s="598">
        <f t="shared" si="3"/>
        <v>1E-4</v>
      </c>
    </row>
    <row r="30" spans="1:13" s="1163" customFormat="1" ht="25.2" customHeight="1">
      <c r="A30" s="305">
        <v>10152</v>
      </c>
      <c r="B30" s="545">
        <f t="shared" si="4"/>
        <v>0.03</v>
      </c>
      <c r="C30" s="546" t="s">
        <v>1365</v>
      </c>
      <c r="D30" s="547">
        <f>SUM(D32:D33)</f>
        <v>8439</v>
      </c>
      <c r="E30" s="597">
        <f t="shared" si="5"/>
        <v>0.03</v>
      </c>
      <c r="F30" s="547">
        <f>SUM(F32:F33)</f>
        <v>8056</v>
      </c>
      <c r="G30" s="597">
        <f t="shared" si="6"/>
        <v>0.03</v>
      </c>
      <c r="H30" s="605">
        <f>+D30-F30</f>
        <v>383</v>
      </c>
      <c r="I30" s="320">
        <f t="shared" si="7"/>
        <v>4.75</v>
      </c>
      <c r="K30" s="596">
        <f t="shared" si="1"/>
        <v>3.2000000000000001E-2</v>
      </c>
      <c r="L30" s="596">
        <f t="shared" si="2"/>
        <v>2.63E-2</v>
      </c>
      <c r="M30" s="596">
        <f t="shared" si="3"/>
        <v>2.53E-2</v>
      </c>
    </row>
    <row r="31" spans="1:13" s="1178" customFormat="1" ht="29" hidden="1" customHeight="1">
      <c r="A31" s="569">
        <v>0</v>
      </c>
      <c r="B31" s="355">
        <f t="shared" si="4"/>
        <v>0</v>
      </c>
      <c r="C31" s="553" t="s">
        <v>1364</v>
      </c>
      <c r="D31" s="355">
        <v>0</v>
      </c>
      <c r="E31" s="355">
        <f t="shared" si="5"/>
        <v>0</v>
      </c>
      <c r="F31" s="355">
        <v>0</v>
      </c>
      <c r="G31" s="355">
        <f t="shared" si="6"/>
        <v>0</v>
      </c>
      <c r="H31" s="572">
        <f>D31-F31</f>
        <v>0</v>
      </c>
      <c r="I31" s="314">
        <v>0</v>
      </c>
      <c r="K31" s="598">
        <f t="shared" si="1"/>
        <v>0</v>
      </c>
      <c r="L31" s="598">
        <f t="shared" si="2"/>
        <v>0</v>
      </c>
      <c r="M31" s="598">
        <f t="shared" si="3"/>
        <v>0</v>
      </c>
    </row>
    <row r="32" spans="1:13" s="1178" customFormat="1" ht="29.3" customHeight="1">
      <c r="A32" s="551">
        <v>9874</v>
      </c>
      <c r="B32" s="552">
        <f t="shared" si="4"/>
        <v>0.03</v>
      </c>
      <c r="C32" s="553" t="s">
        <v>1259</v>
      </c>
      <c r="D32" s="557">
        <v>8060</v>
      </c>
      <c r="E32" s="599">
        <f t="shared" si="5"/>
        <v>0.03</v>
      </c>
      <c r="F32" s="557">
        <v>7845</v>
      </c>
      <c r="G32" s="599">
        <f t="shared" si="6"/>
        <v>0.02</v>
      </c>
      <c r="H32" s="315">
        <f>D32-F32</f>
        <v>215</v>
      </c>
      <c r="I32" s="316">
        <f>ROUND(H32/F32*100,2)</f>
        <v>2.74</v>
      </c>
      <c r="K32" s="598">
        <f t="shared" si="1"/>
        <v>3.1099999999999999E-2</v>
      </c>
      <c r="L32" s="598">
        <f t="shared" si="2"/>
        <v>2.5100000000000001E-2</v>
      </c>
      <c r="M32" s="598">
        <f t="shared" si="3"/>
        <v>2.47E-2</v>
      </c>
    </row>
    <row r="33" spans="1:16" s="1178" customFormat="1" ht="24.05" customHeight="1">
      <c r="A33" s="551">
        <v>277</v>
      </c>
      <c r="B33" s="554">
        <f t="shared" si="4"/>
        <v>0</v>
      </c>
      <c r="C33" s="553" t="s">
        <v>1257</v>
      </c>
      <c r="D33" s="557">
        <v>379</v>
      </c>
      <c r="E33" s="355">
        <f t="shared" si="5"/>
        <v>0</v>
      </c>
      <c r="F33" s="557">
        <v>211</v>
      </c>
      <c r="G33" s="355">
        <f t="shared" si="6"/>
        <v>0</v>
      </c>
      <c r="H33" s="315">
        <f>D33-F33</f>
        <v>168</v>
      </c>
      <c r="I33" s="316">
        <f>ROUND(H33/F33*100,2)</f>
        <v>79.62</v>
      </c>
      <c r="J33" s="1246"/>
      <c r="K33" s="1247">
        <f t="shared" si="1"/>
        <v>8.9999999999999998E-4</v>
      </c>
      <c r="L33" s="1247">
        <f t="shared" si="2"/>
        <v>1.1999999999999999E-3</v>
      </c>
      <c r="M33" s="1247">
        <f t="shared" si="3"/>
        <v>6.9999999999999999E-4</v>
      </c>
      <c r="N33" s="233"/>
      <c r="O33" s="233"/>
    </row>
    <row r="34" spans="1:16" s="1163" customFormat="1" ht="26.35" customHeight="1" thickBot="1">
      <c r="A34" s="308">
        <v>15</v>
      </c>
      <c r="B34" s="822">
        <f t="shared" si="4"/>
        <v>0</v>
      </c>
      <c r="C34" s="583" t="s">
        <v>1363</v>
      </c>
      <c r="D34" s="324">
        <f>D35</f>
        <v>11</v>
      </c>
      <c r="E34" s="822">
        <f t="shared" si="5"/>
        <v>0</v>
      </c>
      <c r="F34" s="324">
        <f>F35</f>
        <v>11</v>
      </c>
      <c r="G34" s="822">
        <f t="shared" si="6"/>
        <v>0</v>
      </c>
      <c r="H34" s="606">
        <f>D34-F34</f>
        <v>0</v>
      </c>
      <c r="I34" s="676">
        <v>0</v>
      </c>
      <c r="K34" s="596">
        <f t="shared" si="1"/>
        <v>0</v>
      </c>
      <c r="L34" s="596">
        <f t="shared" si="2"/>
        <v>0</v>
      </c>
      <c r="M34" s="596">
        <f t="shared" si="3"/>
        <v>0</v>
      </c>
      <c r="P34" s="745"/>
    </row>
    <row r="35" spans="1:16" s="1163" customFormat="1" ht="29.95" customHeight="1">
      <c r="A35" s="305">
        <v>15</v>
      </c>
      <c r="B35" s="550">
        <f t="shared" si="4"/>
        <v>0</v>
      </c>
      <c r="C35" s="546" t="s">
        <v>1362</v>
      </c>
      <c r="D35" s="559">
        <f>D36</f>
        <v>11</v>
      </c>
      <c r="E35" s="550">
        <f t="shared" si="5"/>
        <v>0</v>
      </c>
      <c r="F35" s="323">
        <f>F36</f>
        <v>11</v>
      </c>
      <c r="G35" s="550">
        <f t="shared" si="6"/>
        <v>0</v>
      </c>
      <c r="H35" s="554">
        <f>+D35-F35</f>
        <v>0</v>
      </c>
      <c r="I35" s="311">
        <v>0</v>
      </c>
      <c r="K35" s="596">
        <f t="shared" si="1"/>
        <v>0</v>
      </c>
      <c r="L35" s="596">
        <f t="shared" si="2"/>
        <v>0</v>
      </c>
      <c r="M35" s="596">
        <f t="shared" si="3"/>
        <v>0</v>
      </c>
    </row>
    <row r="36" spans="1:16" s="1178" customFormat="1" ht="29.95" customHeight="1">
      <c r="A36" s="551">
        <v>15</v>
      </c>
      <c r="B36" s="355">
        <f t="shared" si="4"/>
        <v>0</v>
      </c>
      <c r="C36" s="553" t="s">
        <v>1361</v>
      </c>
      <c r="D36" s="554">
        <v>11</v>
      </c>
      <c r="E36" s="355">
        <f t="shared" si="5"/>
        <v>0</v>
      </c>
      <c r="F36" s="760">
        <v>11</v>
      </c>
      <c r="G36" s="355">
        <f t="shared" si="6"/>
        <v>0</v>
      </c>
      <c r="H36" s="572">
        <f>D36-F36</f>
        <v>0</v>
      </c>
      <c r="I36" s="314">
        <v>0</v>
      </c>
      <c r="K36" s="598">
        <f t="shared" si="1"/>
        <v>0</v>
      </c>
      <c r="L36" s="598">
        <f t="shared" si="2"/>
        <v>0</v>
      </c>
      <c r="M36" s="598">
        <f t="shared" si="3"/>
        <v>0</v>
      </c>
    </row>
    <row r="37" spans="1:16" s="1163" customFormat="1" ht="29.95" customHeight="1">
      <c r="A37" s="307">
        <v>10193</v>
      </c>
      <c r="B37" s="545">
        <f t="shared" si="4"/>
        <v>0.03</v>
      </c>
      <c r="C37" s="546" t="s">
        <v>1360</v>
      </c>
      <c r="D37" s="319">
        <f>+D27-D34</f>
        <v>8501</v>
      </c>
      <c r="E37" s="597">
        <f t="shared" si="5"/>
        <v>0.03</v>
      </c>
      <c r="F37" s="319">
        <f>+F27-F34</f>
        <v>8087</v>
      </c>
      <c r="G37" s="597">
        <f t="shared" si="6"/>
        <v>0.03</v>
      </c>
      <c r="H37" s="319">
        <f>D37-F37</f>
        <v>414</v>
      </c>
      <c r="I37" s="320">
        <f>ROUND(H37/F37*100,2)</f>
        <v>5.12</v>
      </c>
      <c r="K37" s="596">
        <f t="shared" si="1"/>
        <v>3.2099999999999997E-2</v>
      </c>
      <c r="L37" s="596">
        <f t="shared" si="2"/>
        <v>2.6499999999999999E-2</v>
      </c>
      <c r="M37" s="596">
        <f t="shared" si="3"/>
        <v>2.5399999999999999E-2</v>
      </c>
    </row>
    <row r="38" spans="1:16" s="1163" customFormat="1" ht="29.95" customHeight="1">
      <c r="A38" s="580">
        <f>A26+A37</f>
        <v>0</v>
      </c>
      <c r="B38" s="550">
        <f t="shared" si="4"/>
        <v>0</v>
      </c>
      <c r="C38" s="546" t="s">
        <v>1359</v>
      </c>
      <c r="D38" s="581">
        <f>+D26+D37</f>
        <v>0</v>
      </c>
      <c r="E38" s="550">
        <f t="shared" si="5"/>
        <v>0</v>
      </c>
      <c r="F38" s="581">
        <f>+F26+F37</f>
        <v>0</v>
      </c>
      <c r="G38" s="550">
        <f t="shared" si="6"/>
        <v>0</v>
      </c>
      <c r="H38" s="581">
        <f>D38-F38</f>
        <v>0</v>
      </c>
      <c r="I38" s="570">
        <v>0</v>
      </c>
      <c r="K38" s="596">
        <f t="shared" si="1"/>
        <v>0</v>
      </c>
      <c r="L38" s="596">
        <f t="shared" si="2"/>
        <v>0</v>
      </c>
      <c r="M38" s="596">
        <f t="shared" si="3"/>
        <v>0</v>
      </c>
    </row>
    <row r="39" spans="1:16" s="1163" customFormat="1" ht="29.95" customHeight="1">
      <c r="A39" s="580"/>
      <c r="B39" s="559"/>
      <c r="C39" s="546"/>
      <c r="D39" s="581"/>
      <c r="E39" s="581"/>
      <c r="F39" s="581"/>
      <c r="G39" s="581"/>
      <c r="H39" s="581"/>
      <c r="I39" s="570"/>
      <c r="K39" s="596"/>
      <c r="L39" s="596"/>
      <c r="M39" s="596"/>
    </row>
    <row r="40" spans="1:16" s="1163" customFormat="1" ht="29.95" customHeight="1">
      <c r="A40" s="580"/>
      <c r="B40" s="559"/>
      <c r="C40" s="546"/>
      <c r="D40" s="581"/>
      <c r="E40" s="581"/>
      <c r="F40" s="581"/>
      <c r="G40" s="581"/>
      <c r="H40" s="581"/>
      <c r="I40" s="570"/>
      <c r="K40" s="596"/>
      <c r="L40" s="596"/>
      <c r="M40" s="596"/>
    </row>
    <row r="41" spans="1:16" s="1163" customFormat="1" ht="29.95" customHeight="1">
      <c r="A41" s="580"/>
      <c r="B41" s="559"/>
      <c r="C41" s="546"/>
      <c r="D41" s="581"/>
      <c r="E41" s="581"/>
      <c r="F41" s="581"/>
      <c r="G41" s="581"/>
      <c r="H41" s="581"/>
      <c r="I41" s="570"/>
      <c r="K41" s="596"/>
      <c r="L41" s="596"/>
      <c r="M41" s="596"/>
    </row>
    <row r="42" spans="1:16" s="1163" customFormat="1" ht="29.95" customHeight="1">
      <c r="A42" s="580"/>
      <c r="B42" s="559"/>
      <c r="C42" s="546"/>
      <c r="D42" s="581"/>
      <c r="E42" s="581"/>
      <c r="F42" s="581"/>
      <c r="G42" s="581"/>
      <c r="H42" s="581"/>
      <c r="I42" s="570"/>
      <c r="K42" s="596"/>
      <c r="L42" s="596"/>
      <c r="M42" s="596"/>
    </row>
    <row r="43" spans="1:16" s="1163" customFormat="1" ht="29.95" customHeight="1">
      <c r="A43" s="580"/>
      <c r="B43" s="559"/>
      <c r="C43" s="546"/>
      <c r="D43" s="581"/>
      <c r="E43" s="581"/>
      <c r="F43" s="581"/>
      <c r="G43" s="581"/>
      <c r="H43" s="581"/>
      <c r="I43" s="570"/>
      <c r="K43" s="596"/>
      <c r="L43" s="596"/>
      <c r="M43" s="596"/>
    </row>
    <row r="44" spans="1:16" s="1163" customFormat="1" ht="29.95" customHeight="1">
      <c r="A44" s="580"/>
      <c r="B44" s="559"/>
      <c r="C44" s="546"/>
      <c r="D44" s="581"/>
      <c r="E44" s="581"/>
      <c r="F44" s="581"/>
      <c r="G44" s="581"/>
      <c r="H44" s="581"/>
      <c r="I44" s="570"/>
      <c r="K44" s="596"/>
      <c r="L44" s="596"/>
      <c r="M44" s="596"/>
    </row>
    <row r="45" spans="1:16" s="1163" customFormat="1" ht="29.95" customHeight="1">
      <c r="A45" s="580"/>
      <c r="B45" s="559"/>
      <c r="C45" s="546"/>
      <c r="D45" s="581"/>
      <c r="E45" s="581"/>
      <c r="F45" s="581"/>
      <c r="G45" s="581"/>
      <c r="H45" s="581"/>
      <c r="I45" s="570"/>
      <c r="K45" s="596"/>
      <c r="L45" s="596"/>
      <c r="M45" s="596"/>
    </row>
    <row r="46" spans="1:16" s="1163" customFormat="1" ht="29.95" customHeight="1">
      <c r="A46" s="580"/>
      <c r="B46" s="559"/>
      <c r="C46" s="546"/>
      <c r="D46" s="581"/>
      <c r="E46" s="581"/>
      <c r="F46" s="581"/>
      <c r="G46" s="581"/>
      <c r="H46" s="581"/>
      <c r="I46" s="570"/>
      <c r="K46" s="596"/>
      <c r="L46" s="596"/>
      <c r="M46" s="596"/>
    </row>
    <row r="47" spans="1:16" s="1163" customFormat="1" ht="29.95" customHeight="1">
      <c r="A47" s="580"/>
      <c r="B47" s="559"/>
      <c r="C47" s="546"/>
      <c r="D47" s="581"/>
      <c r="E47" s="581"/>
      <c r="F47" s="581"/>
      <c r="G47" s="581"/>
      <c r="H47" s="581"/>
      <c r="I47" s="570"/>
      <c r="K47" s="596"/>
      <c r="L47" s="596"/>
      <c r="M47" s="596"/>
    </row>
    <row r="48" spans="1:16" s="1163" customFormat="1" ht="44.2" customHeight="1">
      <c r="A48" s="580"/>
      <c r="B48" s="559"/>
      <c r="C48" s="546"/>
      <c r="D48" s="581"/>
      <c r="E48" s="581"/>
      <c r="F48" s="581"/>
      <c r="G48" s="581"/>
      <c r="H48" s="581"/>
      <c r="I48" s="570"/>
      <c r="K48" s="596"/>
      <c r="L48" s="596"/>
      <c r="M48" s="596"/>
    </row>
    <row r="49" spans="1:13" s="1163" customFormat="1" ht="14.4" customHeight="1">
      <c r="A49" s="580"/>
      <c r="B49" s="559"/>
      <c r="C49" s="546"/>
      <c r="D49" s="581"/>
      <c r="E49" s="581"/>
      <c r="F49" s="581"/>
      <c r="G49" s="581"/>
      <c r="H49" s="581"/>
      <c r="I49" s="570"/>
      <c r="K49" s="596"/>
      <c r="L49" s="596"/>
      <c r="M49" s="596"/>
    </row>
    <row r="50" spans="1:13" s="1163" customFormat="1" ht="16.55" customHeight="1">
      <c r="A50" s="580"/>
      <c r="B50" s="559"/>
      <c r="C50" s="546"/>
      <c r="D50" s="581"/>
      <c r="E50" s="581"/>
      <c r="F50" s="581"/>
      <c r="G50" s="581"/>
      <c r="H50" s="581"/>
      <c r="I50" s="570"/>
      <c r="K50" s="596"/>
      <c r="L50" s="596"/>
      <c r="M50" s="596"/>
    </row>
    <row r="51" spans="1:13" s="1163" customFormat="1" ht="43.2" customHeight="1">
      <c r="A51" s="580"/>
      <c r="B51" s="559"/>
      <c r="C51" s="546"/>
      <c r="D51" s="581"/>
      <c r="E51" s="581"/>
      <c r="F51" s="581"/>
      <c r="G51" s="581"/>
      <c r="H51" s="581"/>
      <c r="I51" s="570"/>
      <c r="K51" s="596"/>
      <c r="L51" s="596"/>
      <c r="M51" s="596"/>
    </row>
    <row r="52" spans="1:13" s="32" customFormat="1" ht="63.85" customHeight="1">
      <c r="A52" s="580"/>
      <c r="B52" s="581"/>
      <c r="C52" s="546"/>
      <c r="D52" s="581"/>
      <c r="E52" s="559"/>
      <c r="F52" s="581"/>
      <c r="G52" s="559"/>
      <c r="H52" s="581"/>
      <c r="I52" s="570"/>
      <c r="K52" s="549"/>
      <c r="L52" s="549"/>
      <c r="M52" s="549"/>
    </row>
    <row r="53" spans="1:13" s="1178" customFormat="1" ht="36.65" customHeight="1" thickBot="1">
      <c r="A53" s="308"/>
      <c r="B53" s="582"/>
      <c r="C53" s="583"/>
      <c r="D53" s="584"/>
      <c r="E53" s="582"/>
      <c r="F53" s="584"/>
      <c r="G53" s="585"/>
      <c r="H53" s="324"/>
      <c r="I53" s="586"/>
      <c r="K53" s="587"/>
      <c r="L53" s="587"/>
      <c r="M53" s="587"/>
    </row>
    <row r="54" spans="1:13" ht="22.95" customHeight="1">
      <c r="A54" s="1259" t="s">
        <v>1358</v>
      </c>
      <c r="B54" s="1260"/>
      <c r="C54" s="1260"/>
      <c r="D54" s="1260"/>
      <c r="E54" s="1260"/>
      <c r="F54" s="1260"/>
      <c r="G54" s="1260"/>
      <c r="H54" s="1260"/>
      <c r="I54" s="1260"/>
    </row>
    <row r="55" spans="1:13" ht="15.05">
      <c r="A55" s="607"/>
      <c r="B55" s="608"/>
      <c r="C55" s="609"/>
      <c r="D55" s="608"/>
      <c r="E55" s="610"/>
      <c r="F55" s="608"/>
      <c r="G55" s="608"/>
      <c r="H55" s="608"/>
      <c r="I55" s="608"/>
    </row>
    <row r="56" spans="1:13" ht="15.05">
      <c r="C56" s="611"/>
    </row>
    <row r="57" spans="1:13" ht="15.05">
      <c r="C57" s="611"/>
    </row>
    <row r="58" spans="1:13" ht="15.05">
      <c r="C58" s="611"/>
    </row>
    <row r="59" spans="1:13" ht="15.05">
      <c r="C59" s="611"/>
    </row>
    <row r="60" spans="1:13" ht="15.05">
      <c r="C60" s="611"/>
    </row>
    <row r="61" spans="1:13" ht="15.05">
      <c r="C61" s="611"/>
    </row>
    <row r="62" spans="1:13" ht="15.05">
      <c r="C62" s="611"/>
    </row>
    <row r="63" spans="1:13" ht="15.05">
      <c r="C63" s="611"/>
    </row>
  </sheetData>
  <mergeCells count="10">
    <mergeCell ref="A54:I54"/>
    <mergeCell ref="A1:I1"/>
    <mergeCell ref="A2:I2"/>
    <mergeCell ref="A3:I3"/>
    <mergeCell ref="A4:I4"/>
    <mergeCell ref="A5:B5"/>
    <mergeCell ref="C5:C6"/>
    <mergeCell ref="D5:E5"/>
    <mergeCell ref="F5:G5"/>
    <mergeCell ref="H5:I5"/>
  </mergeCells>
  <phoneticPr fontId="5" type="noConversion"/>
  <printOptions horizontalCentered="1"/>
  <pageMargins left="0.59055118110236227" right="0.59055118110236227" top="0.59055118110236227" bottom="0.78740157480314965" header="0.51181102362204722" footer="0.51181102362204722"/>
  <pageSetup paperSize="9" orientation="portrait" useFirstPageNumber="1" r:id="rId1"/>
  <headerFooter alignWithMargins="0">
    <oddFooter>&amp;C&amp;"細明體,標準"附&amp;"Times New Roman,標準"2-&amp;P</odd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H37"/>
  <sheetViews>
    <sheetView view="pageBreakPreview" zoomScaleNormal="100" zoomScaleSheetLayoutView="100" workbookViewId="0">
      <selection activeCell="L13" sqref="L13"/>
    </sheetView>
  </sheetViews>
  <sheetFormatPr defaultColWidth="9" defaultRowHeight="15.05"/>
  <cols>
    <col min="1" max="1" width="41.875" style="6" customWidth="1"/>
    <col min="2" max="2" width="14.125" style="6" customWidth="1"/>
    <col min="3" max="3" width="15.625" style="6" customWidth="1"/>
    <col min="4" max="4" width="12.625" style="6" customWidth="1"/>
    <col min="5" max="5" width="5.625" style="6" customWidth="1"/>
    <col min="6" max="6" width="39" style="6" customWidth="1"/>
    <col min="7" max="7" width="9" style="6"/>
    <col min="8" max="8" width="26.375" style="6" customWidth="1"/>
    <col min="9" max="9" width="19.875" style="6" customWidth="1"/>
    <col min="10" max="16384" width="9" style="6"/>
  </cols>
  <sheetData>
    <row r="1" spans="1:8" s="2" customFormat="1" ht="22.25">
      <c r="A1" s="1266" t="s">
        <v>59</v>
      </c>
      <c r="B1" s="1266"/>
      <c r="C1" s="1266"/>
      <c r="D1" s="1266"/>
      <c r="E1" s="1266"/>
      <c r="F1" s="1"/>
      <c r="G1" s="1"/>
      <c r="H1" s="1"/>
    </row>
    <row r="2" spans="1:8" s="2" customFormat="1" ht="22.25">
      <c r="A2" s="1266" t="s">
        <v>60</v>
      </c>
      <c r="B2" s="1266"/>
      <c r="C2" s="1266"/>
      <c r="D2" s="1266"/>
      <c r="E2" s="1266"/>
      <c r="F2" s="1"/>
      <c r="G2" s="1"/>
      <c r="H2" s="1"/>
    </row>
    <row r="3" spans="1:8" s="2" customFormat="1" ht="24.75" customHeight="1">
      <c r="A3" s="1267" t="s">
        <v>1728</v>
      </c>
      <c r="B3" s="1268"/>
      <c r="C3" s="1268"/>
      <c r="D3" s="1268"/>
      <c r="E3" s="1268"/>
      <c r="F3" s="3"/>
      <c r="G3" s="3"/>
      <c r="H3" s="3"/>
    </row>
    <row r="4" spans="1:8" s="2" customFormat="1" ht="24.9" customHeight="1" thickBot="1">
      <c r="A4" s="1316" t="s">
        <v>1685</v>
      </c>
      <c r="B4" s="1287"/>
      <c r="C4" s="1287"/>
      <c r="D4" s="1287"/>
      <c r="E4" s="1287"/>
      <c r="F4" s="4"/>
      <c r="G4" s="4"/>
      <c r="H4" s="4"/>
    </row>
    <row r="5" spans="1:8">
      <c r="A5" s="1310" t="s">
        <v>61</v>
      </c>
      <c r="B5" s="1313" t="s">
        <v>62</v>
      </c>
      <c r="C5" s="1317" t="s">
        <v>104</v>
      </c>
      <c r="D5" s="1318"/>
      <c r="E5" s="1319"/>
      <c r="F5" s="4"/>
      <c r="G5" s="4"/>
      <c r="H5" s="4"/>
    </row>
    <row r="6" spans="1:8">
      <c r="A6" s="1311"/>
      <c r="B6" s="1314"/>
      <c r="C6" s="1320"/>
      <c r="D6" s="1321"/>
      <c r="E6" s="1322"/>
      <c r="F6" s="4"/>
      <c r="G6" s="4"/>
      <c r="H6" s="4"/>
    </row>
    <row r="7" spans="1:8" ht="12.8" customHeight="1">
      <c r="A7" s="1312"/>
      <c r="B7" s="1315"/>
      <c r="C7" s="1323"/>
      <c r="D7" s="1324"/>
      <c r="E7" s="1325"/>
    </row>
    <row r="8" spans="1:8" ht="5.25" customHeight="1">
      <c r="A8" s="1180"/>
      <c r="B8" s="1181"/>
      <c r="C8" s="84"/>
      <c r="D8" s="133"/>
      <c r="E8" s="87"/>
    </row>
    <row r="9" spans="1:8" s="1178" customFormat="1" ht="18.850000000000001" customHeight="1">
      <c r="A9" s="359" t="s">
        <v>64</v>
      </c>
      <c r="B9" s="135"/>
      <c r="C9" s="136"/>
      <c r="D9" s="137"/>
      <c r="E9" s="138"/>
    </row>
    <row r="10" spans="1:8" s="1163" customFormat="1" ht="18.850000000000001" customHeight="1">
      <c r="A10" s="68" t="s">
        <v>328</v>
      </c>
      <c r="B10" s="186">
        <v>0</v>
      </c>
      <c r="C10" s="140"/>
      <c r="D10" s="141"/>
      <c r="E10" s="138"/>
    </row>
    <row r="11" spans="1:8" s="1163" customFormat="1" ht="23.25" customHeight="1">
      <c r="A11" s="68" t="s">
        <v>339</v>
      </c>
      <c r="B11" s="31">
        <f>-D11+D12</f>
        <v>-1696525</v>
      </c>
      <c r="C11" s="1182" t="s">
        <v>364</v>
      </c>
      <c r="D11" s="1179">
        <v>1696525</v>
      </c>
      <c r="E11" s="1185" t="s">
        <v>65</v>
      </c>
    </row>
    <row r="12" spans="1:8" s="1163" customFormat="1" ht="20.3" hidden="1" customHeight="1">
      <c r="A12" s="68"/>
      <c r="B12" s="67"/>
      <c r="C12" s="1182" t="s">
        <v>329</v>
      </c>
      <c r="D12" s="641">
        <v>0</v>
      </c>
      <c r="E12" s="1185" t="s">
        <v>65</v>
      </c>
    </row>
    <row r="13" spans="1:8" s="1163" customFormat="1" ht="23.25" customHeight="1">
      <c r="A13" s="68" t="s">
        <v>367</v>
      </c>
      <c r="B13" s="31">
        <f>+B10+B11</f>
        <v>-1696525</v>
      </c>
      <c r="C13" s="140"/>
      <c r="D13" s="141"/>
      <c r="E13" s="138"/>
    </row>
    <row r="14" spans="1:8" s="1163" customFormat="1" ht="21.8" customHeight="1">
      <c r="A14" s="139" t="s">
        <v>538</v>
      </c>
      <c r="B14" s="142">
        <f>D14+D15+D17+D16+D18+D19</f>
        <v>4554391</v>
      </c>
      <c r="C14" s="1182" t="s">
        <v>330</v>
      </c>
      <c r="D14" s="1179">
        <v>50878</v>
      </c>
      <c r="E14" s="1185" t="s">
        <v>65</v>
      </c>
      <c r="F14" s="1164"/>
    </row>
    <row r="15" spans="1:8" s="1163" customFormat="1" ht="4.5999999999999996" customHeight="1">
      <c r="A15" s="68"/>
      <c r="B15" s="142"/>
      <c r="C15" s="1182" t="s">
        <v>331</v>
      </c>
      <c r="D15" s="641"/>
      <c r="E15" s="1185" t="s">
        <v>65</v>
      </c>
      <c r="F15" s="1164"/>
    </row>
    <row r="16" spans="1:8" s="1178" customFormat="1" ht="28.5" customHeight="1">
      <c r="A16" s="68"/>
      <c r="B16" s="142"/>
      <c r="C16" s="1182" t="s">
        <v>380</v>
      </c>
      <c r="D16" s="1179">
        <f>4571039+2000</f>
        <v>4573039</v>
      </c>
      <c r="E16" s="1185" t="s">
        <v>65</v>
      </c>
    </row>
    <row r="17" spans="1:8" s="1178" customFormat="1" ht="24.75" hidden="1" customHeight="1">
      <c r="A17" s="68"/>
      <c r="B17" s="142"/>
      <c r="C17" s="1182" t="s">
        <v>332</v>
      </c>
      <c r="D17" s="1179">
        <v>0</v>
      </c>
      <c r="E17" s="1185" t="s">
        <v>65</v>
      </c>
    </row>
    <row r="18" spans="1:8" s="1163" customFormat="1" ht="31.95" customHeight="1">
      <c r="A18" s="68" t="s">
        <v>66</v>
      </c>
      <c r="B18" s="31"/>
      <c r="C18" s="1182" t="s">
        <v>946</v>
      </c>
      <c r="D18" s="1179">
        <v>-69526</v>
      </c>
      <c r="E18" s="1185" t="s">
        <v>65</v>
      </c>
      <c r="F18" s="36"/>
      <c r="H18" s="10"/>
    </row>
    <row r="19" spans="1:8" s="1178" customFormat="1" ht="32.4" hidden="1" customHeight="1">
      <c r="A19" s="68" t="s">
        <v>66</v>
      </c>
      <c r="B19" s="31"/>
      <c r="C19" s="1182" t="s">
        <v>361</v>
      </c>
      <c r="D19" s="1179">
        <v>0</v>
      </c>
      <c r="E19" s="1185" t="s">
        <v>65</v>
      </c>
    </row>
    <row r="20" spans="1:8" s="1163" customFormat="1" ht="27" customHeight="1">
      <c r="A20" s="68" t="s">
        <v>368</v>
      </c>
      <c r="B20" s="31">
        <f>+B13+B14</f>
        <v>2857866</v>
      </c>
      <c r="C20" s="140"/>
      <c r="D20" s="141"/>
      <c r="E20" s="138"/>
    </row>
    <row r="21" spans="1:8" s="1163" customFormat="1" ht="23.4" customHeight="1">
      <c r="A21" s="68" t="s">
        <v>1399</v>
      </c>
      <c r="B21" s="31">
        <v>73</v>
      </c>
      <c r="C21" s="1326" t="s">
        <v>1403</v>
      </c>
      <c r="D21" s="1327"/>
      <c r="E21" s="1328"/>
    </row>
    <row r="22" spans="1:8" s="1178" customFormat="1" ht="23.25" customHeight="1">
      <c r="A22" s="359" t="s">
        <v>1402</v>
      </c>
      <c r="B22" s="27">
        <f>+B20+B21</f>
        <v>2857939</v>
      </c>
      <c r="C22" s="360"/>
      <c r="D22" s="361"/>
      <c r="E22" s="1185"/>
    </row>
    <row r="23" spans="1:8" s="1178" customFormat="1" ht="23.4" customHeight="1">
      <c r="A23" s="359" t="s">
        <v>1401</v>
      </c>
      <c r="B23" s="27"/>
      <c r="C23" s="362"/>
      <c r="D23" s="363"/>
      <c r="E23" s="364"/>
    </row>
    <row r="24" spans="1:8" s="1178" customFormat="1" ht="29.95" hidden="1" customHeight="1">
      <c r="A24" s="68" t="s">
        <v>1400</v>
      </c>
      <c r="B24" s="31">
        <v>0</v>
      </c>
      <c r="C24" s="1309"/>
      <c r="D24" s="1307"/>
      <c r="E24" s="1308"/>
    </row>
    <row r="25" spans="1:8" s="1178" customFormat="1" ht="25.55" customHeight="1">
      <c r="A25" s="68" t="s">
        <v>1399</v>
      </c>
      <c r="B25" s="31">
        <v>1701619</v>
      </c>
      <c r="C25" s="1334" t="s">
        <v>1398</v>
      </c>
      <c r="D25" s="1327"/>
      <c r="E25" s="1328"/>
    </row>
    <row r="26" spans="1:8" s="1178" customFormat="1" ht="33.049999999999997" customHeight="1">
      <c r="A26" s="68" t="s">
        <v>1397</v>
      </c>
      <c r="B26" s="31">
        <v>-1799991</v>
      </c>
      <c r="C26" s="1309" t="s">
        <v>1396</v>
      </c>
      <c r="D26" s="1307"/>
      <c r="E26" s="1308"/>
    </row>
    <row r="27" spans="1:8" s="1178" customFormat="1" ht="42.55" customHeight="1">
      <c r="A27" s="68" t="s">
        <v>1395</v>
      </c>
      <c r="B27" s="31">
        <v>-3743675</v>
      </c>
      <c r="C27" s="1334" t="s">
        <v>1394</v>
      </c>
      <c r="D27" s="1327"/>
      <c r="E27" s="1328"/>
    </row>
    <row r="28" spans="1:8" s="1178" customFormat="1" ht="29.95" hidden="1" customHeight="1">
      <c r="A28" s="68" t="s">
        <v>1393</v>
      </c>
      <c r="B28" s="31">
        <v>0</v>
      </c>
      <c r="C28" s="1309" t="s">
        <v>1302</v>
      </c>
      <c r="D28" s="1307"/>
      <c r="E28" s="1308"/>
    </row>
    <row r="29" spans="1:8" s="1178" customFormat="1" ht="24.05" customHeight="1">
      <c r="A29" s="359" t="s">
        <v>1392</v>
      </c>
      <c r="B29" s="27">
        <f>SUM(B24:B28)</f>
        <v>-3842047</v>
      </c>
      <c r="C29" s="360"/>
      <c r="D29" s="361"/>
      <c r="E29" s="364"/>
    </row>
    <row r="30" spans="1:8" s="1178" customFormat="1" ht="26.35" customHeight="1">
      <c r="A30" s="359" t="s">
        <v>1391</v>
      </c>
      <c r="B30" s="143"/>
      <c r="C30" s="365"/>
      <c r="D30" s="366"/>
      <c r="E30" s="364"/>
    </row>
    <row r="31" spans="1:8" s="378" customFormat="1" ht="36" hidden="1" customHeight="1">
      <c r="A31" s="68" t="s">
        <v>1390</v>
      </c>
      <c r="B31" s="31">
        <v>0</v>
      </c>
      <c r="C31" s="1334" t="s">
        <v>1389</v>
      </c>
      <c r="D31" s="1327"/>
      <c r="E31" s="1328"/>
    </row>
    <row r="32" spans="1:8" s="378" customFormat="1" ht="34.200000000000003" hidden="1" customHeight="1">
      <c r="A32" s="68" t="s">
        <v>1388</v>
      </c>
      <c r="B32" s="31">
        <v>0</v>
      </c>
      <c r="C32" s="1326" t="s">
        <v>1387</v>
      </c>
      <c r="D32" s="1327"/>
      <c r="E32" s="1328"/>
    </row>
    <row r="33" spans="1:5" s="378" customFormat="1" ht="24.75" hidden="1" customHeight="1">
      <c r="A33" s="68" t="s">
        <v>1386</v>
      </c>
      <c r="B33" s="31">
        <v>0</v>
      </c>
      <c r="C33" s="1334" t="s">
        <v>1385</v>
      </c>
      <c r="D33" s="1327"/>
      <c r="E33" s="1328"/>
    </row>
    <row r="34" spans="1:5" s="1178" customFormat="1" ht="29.95" customHeight="1">
      <c r="A34" s="359" t="s">
        <v>1384</v>
      </c>
      <c r="B34" s="143">
        <f>SUM(B31:B33)</f>
        <v>0</v>
      </c>
      <c r="C34" s="367"/>
      <c r="D34" s="368"/>
      <c r="E34" s="369"/>
    </row>
    <row r="35" spans="1:5" s="1178" customFormat="1" ht="30.15" customHeight="1">
      <c r="A35" s="359" t="s">
        <v>1383</v>
      </c>
      <c r="B35" s="77">
        <f>B22+B29+B34</f>
        <v>-984108</v>
      </c>
      <c r="C35" s="370"/>
      <c r="D35" s="371"/>
      <c r="E35" s="372"/>
    </row>
    <row r="36" spans="1:5" s="1178" customFormat="1" ht="30.15" customHeight="1">
      <c r="A36" s="359" t="s">
        <v>73</v>
      </c>
      <c r="B36" s="77">
        <v>3443404</v>
      </c>
      <c r="C36" s="370"/>
      <c r="D36" s="371"/>
      <c r="E36" s="372"/>
    </row>
    <row r="37" spans="1:5" s="1178" customFormat="1" ht="121.95" customHeight="1" thickBot="1">
      <c r="A37" s="373" t="s">
        <v>74</v>
      </c>
      <c r="B37" s="144">
        <f>+B35+B36</f>
        <v>2459296</v>
      </c>
      <c r="C37" s="374"/>
      <c r="D37" s="375"/>
      <c r="E37" s="376"/>
    </row>
  </sheetData>
  <mergeCells count="16">
    <mergeCell ref="C21:E21"/>
    <mergeCell ref="A1:E1"/>
    <mergeCell ref="A2:E2"/>
    <mergeCell ref="A3:E3"/>
    <mergeCell ref="A4:E4"/>
    <mergeCell ref="A5:A7"/>
    <mergeCell ref="B5:B7"/>
    <mergeCell ref="C5:E7"/>
    <mergeCell ref="C32:E32"/>
    <mergeCell ref="C33:E33"/>
    <mergeCell ref="C24:E24"/>
    <mergeCell ref="C25:E25"/>
    <mergeCell ref="C26:E26"/>
    <mergeCell ref="C27:E27"/>
    <mergeCell ref="C28:E28"/>
    <mergeCell ref="C31:E31"/>
  </mergeCells>
  <phoneticPr fontId="5" type="noConversion"/>
  <printOptions horizontalCentered="1"/>
  <pageMargins left="0.59055118110236227" right="0.59055118110236227" top="0.59055118110236227" bottom="0.78740157480314965" header="0.51181102362204722" footer="0.51181102362204722"/>
  <pageSetup paperSize="9" firstPageNumber="3" orientation="portrait" useFirstPageNumber="1" r:id="rId1"/>
  <headerFooter alignWithMargins="0">
    <oddFooter>&amp;C&amp;"細明體,標準"附&amp;"Times New Roman,標準"2-&amp;P</odd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E33"/>
  <sheetViews>
    <sheetView view="pageBreakPreview" zoomScaleNormal="100" zoomScaleSheetLayoutView="100" workbookViewId="0">
      <selection activeCell="L13" sqref="L13"/>
    </sheetView>
  </sheetViews>
  <sheetFormatPr defaultColWidth="9" defaultRowHeight="16.399999999999999"/>
  <cols>
    <col min="1" max="1" width="15.375" style="6" customWidth="1"/>
    <col min="2" max="2" width="30.875" style="462" customWidth="1"/>
    <col min="3" max="3" width="15.5" style="6" customWidth="1"/>
    <col min="4" max="4" width="15.25" style="19" customWidth="1"/>
    <col min="5" max="5" width="13.125" style="6" customWidth="1"/>
    <col min="6" max="16384" width="9" style="6"/>
  </cols>
  <sheetData>
    <row r="1" spans="1:5" ht="22.25">
      <c r="A1" s="1266" t="s">
        <v>59</v>
      </c>
      <c r="B1" s="1266"/>
      <c r="C1" s="1266"/>
      <c r="D1" s="1266"/>
      <c r="E1" s="1266"/>
    </row>
    <row r="2" spans="1:5" ht="22.25">
      <c r="A2" s="1421" t="s">
        <v>60</v>
      </c>
      <c r="B2" s="1266"/>
      <c r="C2" s="1266"/>
      <c r="D2" s="1266"/>
      <c r="E2" s="1266"/>
    </row>
    <row r="3" spans="1:5" ht="24.75" customHeight="1">
      <c r="A3" s="1267" t="s">
        <v>1729</v>
      </c>
      <c r="B3" s="1268"/>
      <c r="C3" s="1268"/>
      <c r="D3" s="1268"/>
      <c r="E3" s="1268"/>
    </row>
    <row r="4" spans="1:5" ht="24.75" customHeight="1" thickBot="1">
      <c r="A4" s="1316" t="s">
        <v>1755</v>
      </c>
      <c r="B4" s="1287"/>
      <c r="C4" s="1287"/>
      <c r="D4" s="1287"/>
      <c r="E4" s="1287"/>
    </row>
    <row r="5" spans="1:5" ht="15.75" customHeight="1">
      <c r="A5" s="1471" t="s">
        <v>906</v>
      </c>
      <c r="B5" s="1609" t="s">
        <v>297</v>
      </c>
      <c r="C5" s="1480" t="s">
        <v>907</v>
      </c>
      <c r="D5" s="1480" t="s">
        <v>908</v>
      </c>
      <c r="E5" s="1477" t="s">
        <v>681</v>
      </c>
    </row>
    <row r="6" spans="1:5" ht="15.75" customHeight="1">
      <c r="A6" s="1472"/>
      <c r="B6" s="1610"/>
      <c r="C6" s="1481"/>
      <c r="D6" s="1481"/>
      <c r="E6" s="1478"/>
    </row>
    <row r="7" spans="1:5" ht="15.75" customHeight="1">
      <c r="A7" s="1473"/>
      <c r="B7" s="1611"/>
      <c r="C7" s="1482"/>
      <c r="D7" s="1482"/>
      <c r="E7" s="1479"/>
    </row>
    <row r="8" spans="1:5" ht="8.1999999999999993" customHeight="1">
      <c r="A8" s="24"/>
      <c r="B8" s="595"/>
      <c r="C8" s="1183"/>
      <c r="D8" s="1184"/>
      <c r="E8" s="112"/>
    </row>
    <row r="9" spans="1:5" s="1163" customFormat="1" ht="24.25" customHeight="1">
      <c r="A9" s="113">
        <v>143253298</v>
      </c>
      <c r="B9" s="114" t="s">
        <v>298</v>
      </c>
      <c r="C9" s="115">
        <f>C10+C14+C18+C16</f>
        <v>153354105</v>
      </c>
      <c r="D9" s="115">
        <f>D10+D14+D18+D16</f>
        <v>148781066</v>
      </c>
      <c r="E9" s="116">
        <f>E10+E14+E18+E16</f>
        <v>4573039</v>
      </c>
    </row>
    <row r="10" spans="1:5" s="1163" customFormat="1" ht="24.25" customHeight="1">
      <c r="A10" s="113">
        <v>73473657</v>
      </c>
      <c r="B10" s="117" t="s">
        <v>299</v>
      </c>
      <c r="C10" s="115">
        <f>SUM(C11:C13)</f>
        <v>60488077</v>
      </c>
      <c r="D10" s="115">
        <f>SUM(D11:D13)</f>
        <v>59677262</v>
      </c>
      <c r="E10" s="116">
        <f>SUM(E11:E13)</f>
        <v>810815</v>
      </c>
    </row>
    <row r="11" spans="1:5" s="1178" customFormat="1" ht="24.25" customHeight="1">
      <c r="A11" s="118">
        <v>4932998</v>
      </c>
      <c r="B11" s="119" t="s">
        <v>300</v>
      </c>
      <c r="C11" s="931">
        <f>2457296+2000</f>
        <v>2459296</v>
      </c>
      <c r="D11" s="931">
        <v>3443404</v>
      </c>
      <c r="E11" s="121">
        <f>C11-D11</f>
        <v>-984108</v>
      </c>
    </row>
    <row r="12" spans="1:5" s="1178" customFormat="1" ht="24.25" customHeight="1">
      <c r="A12" s="118">
        <v>62566804</v>
      </c>
      <c r="B12" s="119" t="s">
        <v>301</v>
      </c>
      <c r="C12" s="931">
        <v>51920240</v>
      </c>
      <c r="D12" s="931">
        <v>50120249</v>
      </c>
      <c r="E12" s="121">
        <f>C12-D12</f>
        <v>1799991</v>
      </c>
    </row>
    <row r="13" spans="1:5" s="1178" customFormat="1" ht="24.25" customHeight="1">
      <c r="A13" s="118">
        <v>5973855</v>
      </c>
      <c r="B13" s="119" t="s">
        <v>302</v>
      </c>
      <c r="C13" s="931">
        <v>6108541</v>
      </c>
      <c r="D13" s="931">
        <v>6113609</v>
      </c>
      <c r="E13" s="121">
        <f>C13-D13</f>
        <v>-5068</v>
      </c>
    </row>
    <row r="14" spans="1:5" s="1163" customFormat="1" ht="24.25" customHeight="1">
      <c r="A14" s="113">
        <v>69529081</v>
      </c>
      <c r="B14" s="122" t="s">
        <v>305</v>
      </c>
      <c r="C14" s="115">
        <f>+C15</f>
        <v>92579337</v>
      </c>
      <c r="D14" s="115">
        <f>+D15</f>
        <v>88835662</v>
      </c>
      <c r="E14" s="116">
        <f>+E15</f>
        <v>3743675</v>
      </c>
    </row>
    <row r="15" spans="1:5" s="1178" customFormat="1" ht="24.25" customHeight="1">
      <c r="A15" s="118">
        <v>69529081</v>
      </c>
      <c r="B15" s="119" t="s">
        <v>357</v>
      </c>
      <c r="C15" s="931">
        <v>92579337</v>
      </c>
      <c r="D15" s="931">
        <v>88835662</v>
      </c>
      <c r="E15" s="121">
        <f>C15-D15</f>
        <v>3743675</v>
      </c>
    </row>
    <row r="16" spans="1:5" s="1163" customFormat="1" ht="24.25" customHeight="1">
      <c r="A16" s="129">
        <v>530</v>
      </c>
      <c r="B16" s="117" t="s">
        <v>1405</v>
      </c>
      <c r="C16" s="115">
        <f>SUM(C17:C17)</f>
        <v>24</v>
      </c>
      <c r="D16" s="130">
        <f>SUM(D17:D17)</f>
        <v>24</v>
      </c>
      <c r="E16" s="914">
        <f>SUM(E17:E17)</f>
        <v>0</v>
      </c>
    </row>
    <row r="17" spans="1:5" s="1178" customFormat="1" ht="24.25" customHeight="1">
      <c r="A17" s="132">
        <v>530</v>
      </c>
      <c r="B17" s="119" t="s">
        <v>1404</v>
      </c>
      <c r="C17" s="931">
        <v>24</v>
      </c>
      <c r="D17" s="128">
        <v>24</v>
      </c>
      <c r="E17" s="131">
        <f>C17-D17</f>
        <v>0</v>
      </c>
    </row>
    <row r="18" spans="1:5" s="1163" customFormat="1" ht="24.25" customHeight="1">
      <c r="A18" s="113">
        <v>250031</v>
      </c>
      <c r="B18" s="117" t="s">
        <v>307</v>
      </c>
      <c r="C18" s="115">
        <f>SUM(C19:C19)</f>
        <v>286667</v>
      </c>
      <c r="D18" s="115">
        <f>SUM(D19:D19)</f>
        <v>268118</v>
      </c>
      <c r="E18" s="116">
        <f>SUM(E19:E19)</f>
        <v>18549</v>
      </c>
    </row>
    <row r="19" spans="1:5" s="1178" customFormat="1" ht="24.25" customHeight="1">
      <c r="A19" s="118">
        <v>250031</v>
      </c>
      <c r="B19" s="119" t="s">
        <v>308</v>
      </c>
      <c r="C19" s="931">
        <v>286667</v>
      </c>
      <c r="D19" s="931">
        <v>268118</v>
      </c>
      <c r="E19" s="121">
        <f>C19-D19</f>
        <v>18549</v>
      </c>
    </row>
    <row r="20" spans="1:5" s="1163" customFormat="1" ht="36" customHeight="1">
      <c r="A20" s="113">
        <v>143253298</v>
      </c>
      <c r="B20" s="114" t="s">
        <v>309</v>
      </c>
      <c r="C20" s="115">
        <f>C9</f>
        <v>153354105</v>
      </c>
      <c r="D20" s="115">
        <f>D9</f>
        <v>148781066</v>
      </c>
      <c r="E20" s="116">
        <f>E9</f>
        <v>4573039</v>
      </c>
    </row>
    <row r="21" spans="1:5" s="1163" customFormat="1" ht="24.25" customHeight="1">
      <c r="A21" s="113">
        <v>143253298</v>
      </c>
      <c r="B21" s="114" t="s">
        <v>310</v>
      </c>
      <c r="C21" s="115">
        <f>C22+C25</f>
        <v>153354105</v>
      </c>
      <c r="D21" s="115">
        <f>D22+D25</f>
        <v>148781066</v>
      </c>
      <c r="E21" s="116">
        <f>E22+E25</f>
        <v>4573039</v>
      </c>
    </row>
    <row r="22" spans="1:5" s="1163" customFormat="1" ht="24.25" customHeight="1">
      <c r="A22" s="113">
        <v>2534</v>
      </c>
      <c r="B22" s="117" t="s">
        <v>311</v>
      </c>
      <c r="C22" s="115">
        <f>SUM(C23:C24)</f>
        <v>2534</v>
      </c>
      <c r="D22" s="115">
        <f>SUM(D23:D24)</f>
        <v>2534</v>
      </c>
      <c r="E22" s="914">
        <f>SUM(E23:E24)</f>
        <v>0</v>
      </c>
    </row>
    <row r="23" spans="1:5" s="1178" customFormat="1" ht="24.25" customHeight="1">
      <c r="A23" s="118">
        <v>33</v>
      </c>
      <c r="B23" s="119" t="s">
        <v>312</v>
      </c>
      <c r="C23" s="931">
        <v>33</v>
      </c>
      <c r="D23" s="931">
        <v>33</v>
      </c>
      <c r="E23" s="131">
        <f>C23-D23</f>
        <v>0</v>
      </c>
    </row>
    <row r="24" spans="1:5" s="1178" customFormat="1" ht="24.25" customHeight="1">
      <c r="A24" s="118">
        <v>2501</v>
      </c>
      <c r="B24" s="119" t="s">
        <v>313</v>
      </c>
      <c r="C24" s="931">
        <v>2501</v>
      </c>
      <c r="D24" s="931">
        <v>2501</v>
      </c>
      <c r="E24" s="131">
        <f>C24-D24</f>
        <v>0</v>
      </c>
    </row>
    <row r="25" spans="1:5" s="1163" customFormat="1" ht="24.25" customHeight="1">
      <c r="A25" s="113">
        <v>143250764</v>
      </c>
      <c r="B25" s="122" t="s">
        <v>315</v>
      </c>
      <c r="C25" s="115">
        <f>SUM(C26:C27)</f>
        <v>153351571</v>
      </c>
      <c r="D25" s="115">
        <f>SUM(D26:D27)</f>
        <v>148778532</v>
      </c>
      <c r="E25" s="116">
        <f>SUM(E26:E27)</f>
        <v>4573039</v>
      </c>
    </row>
    <row r="26" spans="1:5" s="1178" customFormat="1" ht="24.25" customHeight="1">
      <c r="A26" s="118">
        <v>143249661</v>
      </c>
      <c r="B26" s="119" t="s">
        <v>316</v>
      </c>
      <c r="C26" s="931">
        <f>153348467+2000</f>
        <v>153350467</v>
      </c>
      <c r="D26" s="931">
        <v>148777428</v>
      </c>
      <c r="E26" s="121">
        <f>C26-D26</f>
        <v>4573039</v>
      </c>
    </row>
    <row r="27" spans="1:5" s="1178" customFormat="1" ht="24.25" customHeight="1">
      <c r="A27" s="118">
        <v>1104</v>
      </c>
      <c r="B27" s="119" t="s">
        <v>317</v>
      </c>
      <c r="C27" s="931">
        <v>1104</v>
      </c>
      <c r="D27" s="931">
        <v>1104</v>
      </c>
      <c r="E27" s="131">
        <f>C27-D27</f>
        <v>0</v>
      </c>
    </row>
    <row r="28" spans="1:5" s="1163" customFormat="1" ht="24.25" customHeight="1">
      <c r="A28" s="129">
        <f>A29</f>
        <v>0</v>
      </c>
      <c r="B28" s="114" t="s">
        <v>318</v>
      </c>
      <c r="C28" s="128">
        <f t="shared" ref="C28:E29" si="0">C29</f>
        <v>0</v>
      </c>
      <c r="D28" s="128">
        <f t="shared" si="0"/>
        <v>0</v>
      </c>
      <c r="E28" s="123">
        <f t="shared" si="0"/>
        <v>0</v>
      </c>
    </row>
    <row r="29" spans="1:5" s="1163" customFormat="1" ht="28.15" customHeight="1">
      <c r="A29" s="129">
        <v>0</v>
      </c>
      <c r="B29" s="117" t="s">
        <v>373</v>
      </c>
      <c r="C29" s="130">
        <f t="shared" si="0"/>
        <v>0</v>
      </c>
      <c r="D29" s="130">
        <f t="shared" si="0"/>
        <v>0</v>
      </c>
      <c r="E29" s="131">
        <f t="shared" si="0"/>
        <v>0</v>
      </c>
    </row>
    <row r="30" spans="1:5" s="1178" customFormat="1" ht="36.65" customHeight="1">
      <c r="A30" s="132">
        <v>0</v>
      </c>
      <c r="B30" s="119" t="s">
        <v>321</v>
      </c>
      <c r="C30" s="128">
        <v>0</v>
      </c>
      <c r="D30" s="128">
        <v>0</v>
      </c>
      <c r="E30" s="123">
        <v>0</v>
      </c>
    </row>
    <row r="31" spans="1:5" s="1163" customFormat="1" ht="38" customHeight="1" thickBot="1">
      <c r="A31" s="124">
        <v>143253298</v>
      </c>
      <c r="B31" s="125" t="s">
        <v>309</v>
      </c>
      <c r="C31" s="126">
        <f>C21+C28</f>
        <v>153354105</v>
      </c>
      <c r="D31" s="126">
        <f>D21+D28</f>
        <v>148781066</v>
      </c>
      <c r="E31" s="127">
        <f>E21+E28</f>
        <v>4573039</v>
      </c>
    </row>
    <row r="32" spans="1:5" s="1163" customFormat="1" ht="6.05" customHeight="1">
      <c r="A32" s="700"/>
      <c r="B32" s="114"/>
      <c r="C32" s="700"/>
      <c r="D32" s="700"/>
      <c r="E32" s="700"/>
    </row>
    <row r="33" spans="1:5" s="200" customFormat="1" ht="18" customHeight="1">
      <c r="A33" s="1612" t="s">
        <v>940</v>
      </c>
      <c r="B33" s="1612"/>
      <c r="C33" s="1612"/>
      <c r="D33" s="1612"/>
      <c r="E33" s="1612"/>
    </row>
  </sheetData>
  <mergeCells count="10">
    <mergeCell ref="A33:E33"/>
    <mergeCell ref="A1:E1"/>
    <mergeCell ref="A2:E2"/>
    <mergeCell ref="A3:E3"/>
    <mergeCell ref="A4:E4"/>
    <mergeCell ref="A5:A7"/>
    <mergeCell ref="B5:B7"/>
    <mergeCell ref="C5:C7"/>
    <mergeCell ref="D5:D7"/>
    <mergeCell ref="E5:E7"/>
  </mergeCells>
  <phoneticPr fontId="5" type="noConversion"/>
  <printOptions horizontalCentered="1"/>
  <pageMargins left="0.59055118110236227" right="0.59055118110236227" top="0.59055118110236227" bottom="0.78740157480314965" header="0.51181102362204722" footer="0.51181102362204722"/>
  <pageSetup paperSize="9" firstPageNumber="4" orientation="portrait" useFirstPageNumber="1" r:id="rId1"/>
  <headerFooter alignWithMargins="0">
    <oddFooter>&amp;C&amp;"細明體,標準"附&amp;"Times New Roman,標準"2-&amp;P</odd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A1:N64"/>
  <sheetViews>
    <sheetView view="pageBreakPreview" zoomScaleNormal="100" zoomScaleSheetLayoutView="100" workbookViewId="0">
      <selection activeCell="L13" sqref="L13"/>
    </sheetView>
  </sheetViews>
  <sheetFormatPr defaultColWidth="9" defaultRowHeight="16.399999999999999"/>
  <cols>
    <col min="1" max="1" width="10.5" style="2" customWidth="1"/>
    <col min="2" max="2" width="6.625" style="2" customWidth="1"/>
    <col min="3" max="3" width="20.625" style="594" customWidth="1"/>
    <col min="4" max="4" width="10.5" style="2" customWidth="1"/>
    <col min="5" max="5" width="6.625" style="282" customWidth="1"/>
    <col min="6" max="6" width="10.5" style="2" customWidth="1"/>
    <col min="7" max="7" width="7.75" style="2" customWidth="1"/>
    <col min="8" max="8" width="10.5" style="2" customWidth="1"/>
    <col min="9" max="9" width="6.625" style="2" customWidth="1"/>
    <col min="10" max="10" width="9" style="2"/>
    <col min="11" max="12" width="11.25" style="2" hidden="1" customWidth="1"/>
    <col min="13" max="13" width="11" style="2" hidden="1" customWidth="1"/>
    <col min="14" max="16384" width="9" style="2"/>
  </cols>
  <sheetData>
    <row r="1" spans="1:13" ht="20.95" customHeight="1">
      <c r="A1" s="1266" t="s">
        <v>59</v>
      </c>
      <c r="B1" s="1266"/>
      <c r="C1" s="1266"/>
      <c r="D1" s="1266"/>
      <c r="E1" s="1266"/>
      <c r="F1" s="1266"/>
      <c r="G1" s="1266"/>
      <c r="H1" s="1266"/>
      <c r="I1" s="1266"/>
    </row>
    <row r="2" spans="1:13" ht="20.95" customHeight="1">
      <c r="A2" s="1266" t="s">
        <v>60</v>
      </c>
      <c r="B2" s="1266"/>
      <c r="C2" s="1266"/>
      <c r="D2" s="1266"/>
      <c r="E2" s="1266"/>
      <c r="F2" s="1266"/>
      <c r="G2" s="1266"/>
      <c r="H2" s="1266"/>
      <c r="I2" s="1266"/>
    </row>
    <row r="3" spans="1:13" ht="24.9" customHeight="1">
      <c r="A3" s="1509" t="s">
        <v>1730</v>
      </c>
      <c r="B3" s="1268"/>
      <c r="C3" s="1268"/>
      <c r="D3" s="1268"/>
      <c r="E3" s="1268"/>
      <c r="F3" s="1268"/>
      <c r="G3" s="1268"/>
      <c r="H3" s="1268"/>
      <c r="I3" s="1268"/>
    </row>
    <row r="4" spans="1:13" ht="24.9" customHeight="1" thickBot="1">
      <c r="A4" s="1336" t="s">
        <v>1756</v>
      </c>
      <c r="B4" s="1270"/>
      <c r="C4" s="1270"/>
      <c r="D4" s="1270"/>
      <c r="E4" s="1270"/>
      <c r="F4" s="1270"/>
      <c r="G4" s="1270"/>
      <c r="H4" s="1270"/>
      <c r="I4" s="1270"/>
    </row>
    <row r="5" spans="1:13" ht="20.95" customHeight="1">
      <c r="A5" s="1597" t="s">
        <v>292</v>
      </c>
      <c r="B5" s="1272"/>
      <c r="C5" s="1273" t="s">
        <v>15</v>
      </c>
      <c r="D5" s="1272" t="s">
        <v>293</v>
      </c>
      <c r="E5" s="1272"/>
      <c r="F5" s="1272" t="s">
        <v>294</v>
      </c>
      <c r="G5" s="1272"/>
      <c r="H5" s="1273" t="s">
        <v>1601</v>
      </c>
      <c r="I5" s="1599"/>
    </row>
    <row r="6" spans="1:13" ht="19.5" customHeight="1">
      <c r="A6" s="537" t="s">
        <v>295</v>
      </c>
      <c r="B6" s="1177" t="s">
        <v>296</v>
      </c>
      <c r="C6" s="1598"/>
      <c r="D6" s="1177" t="s">
        <v>295</v>
      </c>
      <c r="E6" s="539" t="s">
        <v>296</v>
      </c>
      <c r="F6" s="1177" t="s">
        <v>295</v>
      </c>
      <c r="G6" s="1177" t="s">
        <v>296</v>
      </c>
      <c r="H6" s="1177" t="s">
        <v>295</v>
      </c>
      <c r="I6" s="540" t="s">
        <v>296</v>
      </c>
    </row>
    <row r="7" spans="1:13" ht="8.1999999999999993" customHeight="1">
      <c r="A7" s="541"/>
      <c r="B7" s="166"/>
      <c r="C7" s="165"/>
      <c r="D7" s="166"/>
      <c r="E7" s="543"/>
      <c r="F7" s="166"/>
      <c r="G7" s="166"/>
      <c r="H7" s="166"/>
      <c r="I7" s="544"/>
    </row>
    <row r="8" spans="1:13" s="1163" customFormat="1" ht="27" customHeight="1">
      <c r="A8" s="305">
        <v>7222081</v>
      </c>
      <c r="B8" s="545">
        <v>100</v>
      </c>
      <c r="C8" s="546" t="s">
        <v>16</v>
      </c>
      <c r="D8" s="547">
        <f>D13+D19+D9</f>
        <v>6767096</v>
      </c>
      <c r="E8" s="545">
        <v>100</v>
      </c>
      <c r="F8" s="547">
        <f>F13+F19+F9</f>
        <v>6952583</v>
      </c>
      <c r="G8" s="545">
        <v>100</v>
      </c>
      <c r="H8" s="548">
        <f t="shared" ref="H8:H47" si="0">D8-F8</f>
        <v>-185487</v>
      </c>
      <c r="I8" s="913">
        <f t="shared" ref="I8:I16" si="1">ROUND(H8/F8*100,2)</f>
        <v>-2.67</v>
      </c>
      <c r="K8" s="612">
        <f t="shared" ref="K8:K16" si="2">ROUND(A8/$A$8*100,4)</f>
        <v>100</v>
      </c>
      <c r="L8" s="612">
        <f t="shared" ref="L8:L16" si="3">ROUND(D8/$D$8*100,4)</f>
        <v>100</v>
      </c>
      <c r="M8" s="612">
        <f t="shared" ref="M8:M16" si="4">ROUND(F8/$F$8*100,4)</f>
        <v>100</v>
      </c>
    </row>
    <row r="9" spans="1:13" s="1163" customFormat="1" ht="27" customHeight="1">
      <c r="A9" s="305">
        <v>247</v>
      </c>
      <c r="B9" s="550">
        <f t="shared" ref="B9:B47" si="5">ROUND(A9/$A$8*100,2)</f>
        <v>0</v>
      </c>
      <c r="C9" s="546" t="s">
        <v>135</v>
      </c>
      <c r="D9" s="547">
        <f>D10</f>
        <v>184</v>
      </c>
      <c r="E9" s="550">
        <f t="shared" ref="E9:E47" si="6">ROUND(D9/$D$8*100,2)</f>
        <v>0</v>
      </c>
      <c r="F9" s="547">
        <f>F10</f>
        <v>204</v>
      </c>
      <c r="G9" s="355">
        <f t="shared" ref="G9:G47" si="7">ROUND(F9/$F$8*100,2)</f>
        <v>0</v>
      </c>
      <c r="H9" s="319">
        <f t="shared" si="0"/>
        <v>-20</v>
      </c>
      <c r="I9" s="913">
        <f t="shared" si="1"/>
        <v>-9.8000000000000007</v>
      </c>
      <c r="K9" s="612">
        <f t="shared" si="2"/>
        <v>3.3999999999999998E-3</v>
      </c>
      <c r="L9" s="612">
        <f t="shared" si="3"/>
        <v>2.7000000000000001E-3</v>
      </c>
      <c r="M9" s="612">
        <f t="shared" si="4"/>
        <v>2.8999999999999998E-3</v>
      </c>
    </row>
    <row r="10" spans="1:13" s="1178" customFormat="1" ht="27" customHeight="1">
      <c r="A10" s="551">
        <v>247</v>
      </c>
      <c r="B10" s="355">
        <f t="shared" si="5"/>
        <v>0</v>
      </c>
      <c r="C10" s="553" t="s">
        <v>136</v>
      </c>
      <c r="D10" s="557">
        <f>+D11+D12</f>
        <v>184</v>
      </c>
      <c r="E10" s="355">
        <f t="shared" si="6"/>
        <v>0</v>
      </c>
      <c r="F10" s="557">
        <f>+F11+F12</f>
        <v>204</v>
      </c>
      <c r="G10" s="355">
        <f t="shared" si="7"/>
        <v>0</v>
      </c>
      <c r="H10" s="315">
        <f t="shared" si="0"/>
        <v>-20</v>
      </c>
      <c r="I10" s="902">
        <f t="shared" si="1"/>
        <v>-9.8000000000000007</v>
      </c>
      <c r="K10" s="587">
        <f t="shared" si="2"/>
        <v>3.3999999999999998E-3</v>
      </c>
      <c r="L10" s="587">
        <f t="shared" si="3"/>
        <v>2.7000000000000001E-3</v>
      </c>
      <c r="M10" s="587">
        <f t="shared" si="4"/>
        <v>2.8999999999999998E-3</v>
      </c>
    </row>
    <row r="11" spans="1:13" s="1178" customFormat="1" ht="27" customHeight="1">
      <c r="A11" s="551">
        <v>124</v>
      </c>
      <c r="B11" s="355">
        <f t="shared" si="5"/>
        <v>0</v>
      </c>
      <c r="C11" s="553" t="s">
        <v>696</v>
      </c>
      <c r="D11" s="557">
        <v>92</v>
      </c>
      <c r="E11" s="355">
        <f t="shared" si="6"/>
        <v>0</v>
      </c>
      <c r="F11" s="557">
        <v>184</v>
      </c>
      <c r="G11" s="355">
        <f t="shared" si="7"/>
        <v>0</v>
      </c>
      <c r="H11" s="315">
        <f t="shared" si="0"/>
        <v>-92</v>
      </c>
      <c r="I11" s="902">
        <f t="shared" si="1"/>
        <v>-50</v>
      </c>
      <c r="K11" s="587">
        <f t="shared" si="2"/>
        <v>1.6999999999999999E-3</v>
      </c>
      <c r="L11" s="587">
        <f t="shared" si="3"/>
        <v>1.4E-3</v>
      </c>
      <c r="M11" s="587">
        <f t="shared" si="4"/>
        <v>2.5999999999999999E-3</v>
      </c>
    </row>
    <row r="12" spans="1:13" s="1178" customFormat="1" ht="27" customHeight="1">
      <c r="A12" s="569">
        <v>123</v>
      </c>
      <c r="B12" s="355">
        <f t="shared" si="5"/>
        <v>0</v>
      </c>
      <c r="C12" s="553" t="s">
        <v>738</v>
      </c>
      <c r="D12" s="557">
        <v>92</v>
      </c>
      <c r="E12" s="355">
        <f t="shared" si="6"/>
        <v>0</v>
      </c>
      <c r="F12" s="554">
        <v>20</v>
      </c>
      <c r="G12" s="355">
        <f t="shared" si="7"/>
        <v>0</v>
      </c>
      <c r="H12" s="554">
        <f t="shared" si="0"/>
        <v>72</v>
      </c>
      <c r="I12" s="902">
        <f t="shared" si="1"/>
        <v>360</v>
      </c>
      <c r="K12" s="587">
        <f t="shared" si="2"/>
        <v>1.6999999999999999E-3</v>
      </c>
      <c r="L12" s="587">
        <f t="shared" si="3"/>
        <v>1.4E-3</v>
      </c>
      <c r="M12" s="587">
        <f t="shared" si="4"/>
        <v>2.9999999999999997E-4</v>
      </c>
    </row>
    <row r="13" spans="1:13" s="1163" customFormat="1" ht="27" customHeight="1">
      <c r="A13" s="305">
        <v>3359510</v>
      </c>
      <c r="B13" s="545">
        <f t="shared" si="5"/>
        <v>46.52</v>
      </c>
      <c r="C13" s="546" t="s">
        <v>137</v>
      </c>
      <c r="D13" s="547">
        <f>D14+D17</f>
        <v>3298898</v>
      </c>
      <c r="E13" s="545">
        <f t="shared" si="6"/>
        <v>48.75</v>
      </c>
      <c r="F13" s="547">
        <f>F14+F17</f>
        <v>3358886</v>
      </c>
      <c r="G13" s="545">
        <f t="shared" si="7"/>
        <v>48.31</v>
      </c>
      <c r="H13" s="548">
        <f t="shared" si="0"/>
        <v>-59988</v>
      </c>
      <c r="I13" s="320">
        <f t="shared" si="1"/>
        <v>-1.79</v>
      </c>
      <c r="K13" s="612">
        <f t="shared" si="2"/>
        <v>46.517200000000003</v>
      </c>
      <c r="L13" s="612">
        <f t="shared" si="3"/>
        <v>48.749099999999999</v>
      </c>
      <c r="M13" s="612">
        <f t="shared" si="4"/>
        <v>48.311300000000003</v>
      </c>
    </row>
    <row r="14" spans="1:13" s="1178" customFormat="1" ht="28.15" customHeight="1">
      <c r="A14" s="551">
        <v>3359510</v>
      </c>
      <c r="B14" s="552">
        <f t="shared" si="5"/>
        <v>46.52</v>
      </c>
      <c r="C14" s="553" t="s">
        <v>138</v>
      </c>
      <c r="D14" s="557">
        <f>+D15+D16</f>
        <v>3265722</v>
      </c>
      <c r="E14" s="552">
        <f t="shared" si="6"/>
        <v>48.26</v>
      </c>
      <c r="F14" s="557">
        <f>+F15+F16</f>
        <v>3358886</v>
      </c>
      <c r="G14" s="552">
        <f t="shared" si="7"/>
        <v>48.31</v>
      </c>
      <c r="H14" s="558">
        <f t="shared" si="0"/>
        <v>-93164</v>
      </c>
      <c r="I14" s="316">
        <f t="shared" si="1"/>
        <v>-2.77</v>
      </c>
      <c r="K14" s="587">
        <f t="shared" si="2"/>
        <v>46.517200000000003</v>
      </c>
      <c r="L14" s="587">
        <f t="shared" si="3"/>
        <v>48.258800000000001</v>
      </c>
      <c r="M14" s="587">
        <f t="shared" si="4"/>
        <v>48.311300000000003</v>
      </c>
    </row>
    <row r="15" spans="1:13" s="1178" customFormat="1" ht="27" customHeight="1">
      <c r="A15" s="551">
        <v>3281172</v>
      </c>
      <c r="B15" s="355">
        <f t="shared" si="5"/>
        <v>45.43</v>
      </c>
      <c r="C15" s="553" t="s">
        <v>696</v>
      </c>
      <c r="D15" s="557">
        <v>3169722</v>
      </c>
      <c r="E15" s="355">
        <f t="shared" si="6"/>
        <v>46.84</v>
      </c>
      <c r="F15" s="557">
        <v>3250886</v>
      </c>
      <c r="G15" s="552">
        <f t="shared" si="7"/>
        <v>46.76</v>
      </c>
      <c r="H15" s="558">
        <f t="shared" si="0"/>
        <v>-81164</v>
      </c>
      <c r="I15" s="316">
        <f t="shared" si="1"/>
        <v>-2.5</v>
      </c>
      <c r="K15" s="587">
        <f t="shared" si="2"/>
        <v>45.432499999999997</v>
      </c>
      <c r="L15" s="587">
        <f t="shared" si="3"/>
        <v>46.840200000000003</v>
      </c>
      <c r="M15" s="587">
        <f t="shared" si="4"/>
        <v>46.758000000000003</v>
      </c>
    </row>
    <row r="16" spans="1:13" s="1178" customFormat="1" ht="27" customHeight="1">
      <c r="A16" s="569">
        <v>78338</v>
      </c>
      <c r="B16" s="355">
        <f t="shared" si="5"/>
        <v>1.08</v>
      </c>
      <c r="C16" s="553" t="s">
        <v>738</v>
      </c>
      <c r="D16" s="557">
        <v>96000</v>
      </c>
      <c r="E16" s="355">
        <f t="shared" si="6"/>
        <v>1.42</v>
      </c>
      <c r="F16" s="554">
        <v>108000</v>
      </c>
      <c r="G16" s="355">
        <f t="shared" si="7"/>
        <v>1.55</v>
      </c>
      <c r="H16" s="558">
        <f t="shared" si="0"/>
        <v>-12000</v>
      </c>
      <c r="I16" s="316">
        <f t="shared" si="1"/>
        <v>-11.11</v>
      </c>
      <c r="K16" s="587">
        <f t="shared" si="2"/>
        <v>1.0847</v>
      </c>
      <c r="L16" s="587">
        <f t="shared" si="3"/>
        <v>1.4186000000000001</v>
      </c>
      <c r="M16" s="587">
        <f t="shared" si="4"/>
        <v>1.5533999999999999</v>
      </c>
    </row>
    <row r="17" spans="1:14" s="1178" customFormat="1" ht="27" customHeight="1">
      <c r="A17" s="569">
        <v>0</v>
      </c>
      <c r="B17" s="355">
        <f t="shared" si="5"/>
        <v>0</v>
      </c>
      <c r="C17" s="553" t="s">
        <v>941</v>
      </c>
      <c r="D17" s="557">
        <f>D18</f>
        <v>33176</v>
      </c>
      <c r="E17" s="355">
        <f t="shared" si="6"/>
        <v>0.49</v>
      </c>
      <c r="F17" s="554">
        <v>0</v>
      </c>
      <c r="G17" s="355">
        <f t="shared" si="7"/>
        <v>0</v>
      </c>
      <c r="H17" s="558">
        <f t="shared" si="0"/>
        <v>33176</v>
      </c>
      <c r="I17" s="555">
        <v>0</v>
      </c>
      <c r="K17" s="587"/>
      <c r="L17" s="587"/>
      <c r="M17" s="587"/>
    </row>
    <row r="18" spans="1:14" s="1178" customFormat="1" ht="27" customHeight="1">
      <c r="A18" s="569">
        <v>0</v>
      </c>
      <c r="B18" s="355">
        <f t="shared" si="5"/>
        <v>0</v>
      </c>
      <c r="C18" s="553" t="s">
        <v>738</v>
      </c>
      <c r="D18" s="557">
        <v>33176</v>
      </c>
      <c r="E18" s="355">
        <f t="shared" si="6"/>
        <v>0.49</v>
      </c>
      <c r="F18" s="554">
        <v>0</v>
      </c>
      <c r="G18" s="355">
        <f t="shared" si="7"/>
        <v>0</v>
      </c>
      <c r="H18" s="558">
        <f t="shared" si="0"/>
        <v>33176</v>
      </c>
      <c r="I18" s="555">
        <v>0</v>
      </c>
      <c r="K18" s="587"/>
      <c r="L18" s="587"/>
      <c r="M18" s="587"/>
    </row>
    <row r="19" spans="1:14" s="1163" customFormat="1" ht="30.6" customHeight="1">
      <c r="A19" s="305">
        <v>3862324</v>
      </c>
      <c r="B19" s="545">
        <f t="shared" si="5"/>
        <v>53.48</v>
      </c>
      <c r="C19" s="546" t="s">
        <v>139</v>
      </c>
      <c r="D19" s="547">
        <f>+D20</f>
        <v>3468014</v>
      </c>
      <c r="E19" s="545">
        <f t="shared" si="6"/>
        <v>51.25</v>
      </c>
      <c r="F19" s="547">
        <f>+F20</f>
        <v>3593493</v>
      </c>
      <c r="G19" s="545">
        <f t="shared" si="7"/>
        <v>51.69</v>
      </c>
      <c r="H19" s="613">
        <f t="shared" si="0"/>
        <v>-125479</v>
      </c>
      <c r="I19" s="320">
        <f t="shared" ref="I19:I27" si="8">ROUND(H19/F19*100,2)</f>
        <v>-3.49</v>
      </c>
      <c r="K19" s="612">
        <f t="shared" ref="K19:K27" si="9">ROUND(A19/$A$8*100,4)</f>
        <v>53.479399999999998</v>
      </c>
      <c r="L19" s="612">
        <f t="shared" ref="L19:L27" si="10">ROUND(D19/$D$8*100,4)</f>
        <v>51.248199999999997</v>
      </c>
      <c r="M19" s="612">
        <f t="shared" ref="M19:M27" si="11">ROUND(F19/$F$8*100,4)</f>
        <v>51.685699999999997</v>
      </c>
    </row>
    <row r="20" spans="1:14" s="1178" customFormat="1" ht="27" customHeight="1">
      <c r="A20" s="569">
        <v>3862324</v>
      </c>
      <c r="B20" s="552">
        <f t="shared" si="5"/>
        <v>53.48</v>
      </c>
      <c r="C20" s="571" t="s">
        <v>140</v>
      </c>
      <c r="D20" s="557">
        <f>+D21+D22</f>
        <v>3468014</v>
      </c>
      <c r="E20" s="552">
        <f t="shared" si="6"/>
        <v>51.25</v>
      </c>
      <c r="F20" s="557">
        <f>+F21+F22</f>
        <v>3593493</v>
      </c>
      <c r="G20" s="552">
        <f t="shared" si="7"/>
        <v>51.69</v>
      </c>
      <c r="H20" s="558">
        <f t="shared" si="0"/>
        <v>-125479</v>
      </c>
      <c r="I20" s="316">
        <f t="shared" si="8"/>
        <v>-3.49</v>
      </c>
      <c r="K20" s="587">
        <f t="shared" si="9"/>
        <v>53.479399999999998</v>
      </c>
      <c r="L20" s="587">
        <f t="shared" si="10"/>
        <v>51.248199999999997</v>
      </c>
      <c r="M20" s="587">
        <f t="shared" si="11"/>
        <v>51.685699999999997</v>
      </c>
    </row>
    <row r="21" spans="1:14" s="1178" customFormat="1" ht="27" customHeight="1">
      <c r="A21" s="551">
        <v>3662324</v>
      </c>
      <c r="B21" s="355">
        <f t="shared" si="5"/>
        <v>50.71</v>
      </c>
      <c r="C21" s="553" t="s">
        <v>696</v>
      </c>
      <c r="D21" s="557">
        <v>3468014</v>
      </c>
      <c r="E21" s="355">
        <f t="shared" si="6"/>
        <v>51.25</v>
      </c>
      <c r="F21" s="557">
        <v>3579664</v>
      </c>
      <c r="G21" s="552">
        <f t="shared" si="7"/>
        <v>51.49</v>
      </c>
      <c r="H21" s="558">
        <f t="shared" si="0"/>
        <v>-111650</v>
      </c>
      <c r="I21" s="316">
        <f t="shared" si="8"/>
        <v>-3.12</v>
      </c>
      <c r="K21" s="587">
        <f t="shared" si="9"/>
        <v>50.710099999999997</v>
      </c>
      <c r="L21" s="587">
        <f t="shared" si="10"/>
        <v>51.248199999999997</v>
      </c>
      <c r="M21" s="587">
        <f t="shared" si="11"/>
        <v>51.486800000000002</v>
      </c>
    </row>
    <row r="22" spans="1:14" s="1178" customFormat="1" ht="27" customHeight="1">
      <c r="A22" s="569">
        <v>200000</v>
      </c>
      <c r="B22" s="355">
        <f t="shared" si="5"/>
        <v>2.77</v>
      </c>
      <c r="C22" s="553" t="s">
        <v>738</v>
      </c>
      <c r="D22" s="554">
        <v>0</v>
      </c>
      <c r="E22" s="355">
        <f t="shared" si="6"/>
        <v>0</v>
      </c>
      <c r="F22" s="554">
        <v>13829</v>
      </c>
      <c r="G22" s="355">
        <f t="shared" si="7"/>
        <v>0.2</v>
      </c>
      <c r="H22" s="315">
        <f t="shared" si="0"/>
        <v>-13829</v>
      </c>
      <c r="I22" s="316">
        <f t="shared" si="8"/>
        <v>-100</v>
      </c>
      <c r="J22" s="313"/>
      <c r="K22" s="587">
        <f t="shared" si="9"/>
        <v>2.7692999999999999</v>
      </c>
      <c r="L22" s="587">
        <f t="shared" si="10"/>
        <v>0</v>
      </c>
      <c r="M22" s="587">
        <f t="shared" si="11"/>
        <v>0.19889999999999999</v>
      </c>
      <c r="N22" s="233"/>
    </row>
    <row r="23" spans="1:14" s="1163" customFormat="1" ht="29.95" customHeight="1">
      <c r="A23" s="305">
        <v>7228916</v>
      </c>
      <c r="B23" s="545">
        <f t="shared" si="5"/>
        <v>100.09</v>
      </c>
      <c r="C23" s="546" t="s">
        <v>141</v>
      </c>
      <c r="D23" s="547">
        <f>+D24+D32</f>
        <v>6773161</v>
      </c>
      <c r="E23" s="545">
        <f t="shared" si="6"/>
        <v>100.09</v>
      </c>
      <c r="F23" s="547">
        <f>+F24+F32</f>
        <v>6957871</v>
      </c>
      <c r="G23" s="545">
        <f t="shared" si="7"/>
        <v>100.08</v>
      </c>
      <c r="H23" s="548">
        <f t="shared" si="0"/>
        <v>-184710</v>
      </c>
      <c r="I23" s="320">
        <f t="shared" si="8"/>
        <v>-2.65</v>
      </c>
      <c r="K23" s="612">
        <f t="shared" si="9"/>
        <v>100.0946</v>
      </c>
      <c r="L23" s="612">
        <f t="shared" si="10"/>
        <v>100.0896</v>
      </c>
      <c r="M23" s="612">
        <f t="shared" si="11"/>
        <v>100.0761</v>
      </c>
    </row>
    <row r="24" spans="1:14" s="1163" customFormat="1" ht="29.95" customHeight="1">
      <c r="A24" s="305">
        <v>7152718</v>
      </c>
      <c r="B24" s="545">
        <f t="shared" si="5"/>
        <v>99.04</v>
      </c>
      <c r="C24" s="546" t="s">
        <v>142</v>
      </c>
      <c r="D24" s="547">
        <f>+D25+D30</f>
        <v>6759343</v>
      </c>
      <c r="E24" s="545">
        <f t="shared" si="6"/>
        <v>99.89</v>
      </c>
      <c r="F24" s="547">
        <f>+F25+F30</f>
        <v>6925121</v>
      </c>
      <c r="G24" s="545">
        <f t="shared" si="7"/>
        <v>99.61</v>
      </c>
      <c r="H24" s="548">
        <f t="shared" si="0"/>
        <v>-165778</v>
      </c>
      <c r="I24" s="320">
        <f t="shared" si="8"/>
        <v>-2.39</v>
      </c>
      <c r="K24" s="612">
        <f t="shared" si="9"/>
        <v>99.039599999999993</v>
      </c>
      <c r="L24" s="612">
        <f t="shared" si="10"/>
        <v>99.885400000000004</v>
      </c>
      <c r="M24" s="612">
        <f t="shared" si="11"/>
        <v>99.605000000000004</v>
      </c>
    </row>
    <row r="25" spans="1:14" s="1178" customFormat="1" ht="27" customHeight="1">
      <c r="A25" s="551">
        <v>6940840</v>
      </c>
      <c r="B25" s="552">
        <f t="shared" si="5"/>
        <v>96.11</v>
      </c>
      <c r="C25" s="553" t="s">
        <v>143</v>
      </c>
      <c r="D25" s="557">
        <f>+D26+D27</f>
        <v>6752689</v>
      </c>
      <c r="E25" s="552">
        <f t="shared" si="6"/>
        <v>99.79</v>
      </c>
      <c r="F25" s="557">
        <f>+F26+F27</f>
        <v>6916286</v>
      </c>
      <c r="G25" s="552">
        <f t="shared" si="7"/>
        <v>99.48</v>
      </c>
      <c r="H25" s="558">
        <f t="shared" si="0"/>
        <v>-163597</v>
      </c>
      <c r="I25" s="316">
        <f t="shared" si="8"/>
        <v>-2.37</v>
      </c>
      <c r="K25" s="587">
        <f t="shared" si="9"/>
        <v>96.105800000000002</v>
      </c>
      <c r="L25" s="587">
        <f t="shared" si="10"/>
        <v>99.787099999999995</v>
      </c>
      <c r="M25" s="587">
        <f t="shared" si="11"/>
        <v>99.477900000000005</v>
      </c>
    </row>
    <row r="26" spans="1:14" s="1178" customFormat="1" ht="27" customHeight="1">
      <c r="A26" s="551">
        <v>6868551</v>
      </c>
      <c r="B26" s="355">
        <f t="shared" si="5"/>
        <v>95.1</v>
      </c>
      <c r="C26" s="553" t="s">
        <v>696</v>
      </c>
      <c r="D26" s="557">
        <v>6623421</v>
      </c>
      <c r="E26" s="355">
        <f t="shared" si="6"/>
        <v>97.88</v>
      </c>
      <c r="F26" s="557">
        <v>6794437</v>
      </c>
      <c r="G26" s="552">
        <f t="shared" si="7"/>
        <v>97.73</v>
      </c>
      <c r="H26" s="558">
        <f t="shared" si="0"/>
        <v>-171016</v>
      </c>
      <c r="I26" s="316">
        <f t="shared" si="8"/>
        <v>-2.52</v>
      </c>
      <c r="K26" s="587">
        <f t="shared" si="9"/>
        <v>95.104900000000001</v>
      </c>
      <c r="L26" s="587">
        <f t="shared" si="10"/>
        <v>97.876900000000006</v>
      </c>
      <c r="M26" s="587">
        <f t="shared" si="11"/>
        <v>97.725399999999993</v>
      </c>
    </row>
    <row r="27" spans="1:14" s="1178" customFormat="1" ht="27" customHeight="1">
      <c r="A27" s="569">
        <v>72288</v>
      </c>
      <c r="B27" s="355">
        <f t="shared" si="5"/>
        <v>1</v>
      </c>
      <c r="C27" s="553" t="s">
        <v>738</v>
      </c>
      <c r="D27" s="557">
        <v>129268</v>
      </c>
      <c r="E27" s="355">
        <f t="shared" si="6"/>
        <v>1.91</v>
      </c>
      <c r="F27" s="554">
        <v>121849</v>
      </c>
      <c r="G27" s="552">
        <f t="shared" si="7"/>
        <v>1.75</v>
      </c>
      <c r="H27" s="558">
        <f t="shared" si="0"/>
        <v>7419</v>
      </c>
      <c r="I27" s="316">
        <f t="shared" si="8"/>
        <v>6.09</v>
      </c>
      <c r="K27" s="587">
        <f t="shared" si="9"/>
        <v>1.0008999999999999</v>
      </c>
      <c r="L27" s="587">
        <f t="shared" si="10"/>
        <v>1.9101999999999999</v>
      </c>
      <c r="M27" s="587">
        <f t="shared" si="11"/>
        <v>1.7525999999999999</v>
      </c>
    </row>
    <row r="28" spans="1:14" s="1178" customFormat="1" ht="27" customHeight="1">
      <c r="A28" s="569">
        <v>206173</v>
      </c>
      <c r="B28" s="355">
        <f t="shared" si="5"/>
        <v>2.85</v>
      </c>
      <c r="C28" s="553" t="s">
        <v>144</v>
      </c>
      <c r="D28" s="554">
        <v>0</v>
      </c>
      <c r="E28" s="355">
        <f t="shared" si="6"/>
        <v>0</v>
      </c>
      <c r="F28" s="554">
        <v>0</v>
      </c>
      <c r="G28" s="355">
        <f t="shared" si="7"/>
        <v>0</v>
      </c>
      <c r="H28" s="554">
        <f t="shared" si="0"/>
        <v>0</v>
      </c>
      <c r="I28" s="555">
        <v>0</v>
      </c>
      <c r="K28" s="587"/>
      <c r="L28" s="587"/>
      <c r="M28" s="587"/>
    </row>
    <row r="29" spans="1:14" s="1178" customFormat="1" ht="27" customHeight="1">
      <c r="A29" s="569">
        <v>206173</v>
      </c>
      <c r="B29" s="355">
        <f t="shared" si="5"/>
        <v>2.85</v>
      </c>
      <c r="C29" s="553" t="s">
        <v>738</v>
      </c>
      <c r="D29" s="554">
        <v>0</v>
      </c>
      <c r="E29" s="355">
        <f t="shared" si="6"/>
        <v>0</v>
      </c>
      <c r="F29" s="554">
        <v>0</v>
      </c>
      <c r="G29" s="355">
        <f t="shared" si="7"/>
        <v>0</v>
      </c>
      <c r="H29" s="554">
        <f t="shared" si="0"/>
        <v>0</v>
      </c>
      <c r="I29" s="555">
        <v>0</v>
      </c>
      <c r="K29" s="587"/>
      <c r="L29" s="587"/>
      <c r="M29" s="587"/>
    </row>
    <row r="30" spans="1:14" s="1178" customFormat="1" ht="27" customHeight="1" thickBot="1">
      <c r="A30" s="562">
        <v>5706</v>
      </c>
      <c r="B30" s="563">
        <f t="shared" si="5"/>
        <v>0.08</v>
      </c>
      <c r="C30" s="564" t="s">
        <v>145</v>
      </c>
      <c r="D30" s="565">
        <f>+D31</f>
        <v>6654</v>
      </c>
      <c r="E30" s="563">
        <f t="shared" si="6"/>
        <v>0.1</v>
      </c>
      <c r="F30" s="565">
        <f>+F31</f>
        <v>8835</v>
      </c>
      <c r="G30" s="563">
        <f t="shared" si="7"/>
        <v>0.13</v>
      </c>
      <c r="H30" s="566">
        <f t="shared" si="0"/>
        <v>-2181</v>
      </c>
      <c r="I30" s="332">
        <f t="shared" ref="I30:I36" si="12">ROUND(H30/F30*100,2)</f>
        <v>-24.69</v>
      </c>
      <c r="K30" s="587">
        <f t="shared" ref="K30:K47" si="13">ROUND(A30/$A$8*100,4)</f>
        <v>7.9000000000000001E-2</v>
      </c>
      <c r="L30" s="587">
        <f t="shared" ref="L30:L47" si="14">ROUND(D30/$D$8*100,4)</f>
        <v>9.8299999999999998E-2</v>
      </c>
      <c r="M30" s="587">
        <f t="shared" ref="M30:M47" si="15">ROUND(F30/$F$8*100,4)</f>
        <v>0.12709999999999999</v>
      </c>
    </row>
    <row r="31" spans="1:14" s="1178" customFormat="1" ht="29.95" customHeight="1">
      <c r="A31" s="551">
        <v>5706</v>
      </c>
      <c r="B31" s="355">
        <f t="shared" si="5"/>
        <v>0.08</v>
      </c>
      <c r="C31" s="553" t="s">
        <v>696</v>
      </c>
      <c r="D31" s="557">
        <v>6654</v>
      </c>
      <c r="E31" s="355">
        <f t="shared" si="6"/>
        <v>0.1</v>
      </c>
      <c r="F31" s="557">
        <v>8835</v>
      </c>
      <c r="G31" s="552">
        <f t="shared" si="7"/>
        <v>0.13</v>
      </c>
      <c r="H31" s="558">
        <f t="shared" si="0"/>
        <v>-2181</v>
      </c>
      <c r="I31" s="316">
        <f t="shared" si="12"/>
        <v>-24.69</v>
      </c>
      <c r="K31" s="587">
        <f t="shared" si="13"/>
        <v>7.9000000000000001E-2</v>
      </c>
      <c r="L31" s="587">
        <f t="shared" si="14"/>
        <v>9.8299999999999998E-2</v>
      </c>
      <c r="M31" s="587">
        <f t="shared" si="15"/>
        <v>0.12709999999999999</v>
      </c>
    </row>
    <row r="32" spans="1:14" s="1163" customFormat="1" ht="32.25" customHeight="1">
      <c r="A32" s="305">
        <v>76198</v>
      </c>
      <c r="B32" s="545">
        <f t="shared" si="5"/>
        <v>1.06</v>
      </c>
      <c r="C32" s="546" t="s">
        <v>146</v>
      </c>
      <c r="D32" s="547">
        <f>SUM(D33:D33)</f>
        <v>13818</v>
      </c>
      <c r="E32" s="545">
        <f t="shared" si="6"/>
        <v>0.2</v>
      </c>
      <c r="F32" s="547">
        <f>SUM(F33:F33)</f>
        <v>32750</v>
      </c>
      <c r="G32" s="545">
        <f t="shared" si="7"/>
        <v>0.47</v>
      </c>
      <c r="H32" s="319">
        <f t="shared" si="0"/>
        <v>-18932</v>
      </c>
      <c r="I32" s="320">
        <f t="shared" si="12"/>
        <v>-57.81</v>
      </c>
      <c r="K32" s="612">
        <f t="shared" si="13"/>
        <v>1.0550999999999999</v>
      </c>
      <c r="L32" s="612">
        <f t="shared" si="14"/>
        <v>0.20419999999999999</v>
      </c>
      <c r="M32" s="612">
        <f t="shared" si="15"/>
        <v>0.47099999999999997</v>
      </c>
    </row>
    <row r="33" spans="1:13" s="1178" customFormat="1" ht="31.6" customHeight="1">
      <c r="A33" s="551">
        <v>76198</v>
      </c>
      <c r="B33" s="552">
        <f t="shared" si="5"/>
        <v>1.06</v>
      </c>
      <c r="C33" s="553" t="s">
        <v>147</v>
      </c>
      <c r="D33" s="557">
        <f>+D34</f>
        <v>13818</v>
      </c>
      <c r="E33" s="552">
        <f t="shared" si="6"/>
        <v>0.2</v>
      </c>
      <c r="F33" s="557">
        <f>+F34</f>
        <v>32750</v>
      </c>
      <c r="G33" s="552">
        <f t="shared" si="7"/>
        <v>0.47</v>
      </c>
      <c r="H33" s="315">
        <f t="shared" si="0"/>
        <v>-18932</v>
      </c>
      <c r="I33" s="316">
        <f t="shared" si="12"/>
        <v>-57.81</v>
      </c>
      <c r="K33" s="587">
        <f t="shared" si="13"/>
        <v>1.0550999999999999</v>
      </c>
      <c r="L33" s="587">
        <f t="shared" si="14"/>
        <v>0.20419999999999999</v>
      </c>
      <c r="M33" s="587">
        <f t="shared" si="15"/>
        <v>0.47099999999999997</v>
      </c>
    </row>
    <row r="34" spans="1:13" s="1178" customFormat="1" ht="27" customHeight="1">
      <c r="A34" s="551">
        <v>76198</v>
      </c>
      <c r="B34" s="355">
        <f t="shared" si="5"/>
        <v>1.06</v>
      </c>
      <c r="C34" s="553" t="s">
        <v>696</v>
      </c>
      <c r="D34" s="557">
        <v>13818</v>
      </c>
      <c r="E34" s="355">
        <f t="shared" si="6"/>
        <v>0.2</v>
      </c>
      <c r="F34" s="557">
        <v>32750</v>
      </c>
      <c r="G34" s="552">
        <f t="shared" si="7"/>
        <v>0.47</v>
      </c>
      <c r="H34" s="315">
        <f t="shared" si="0"/>
        <v>-18932</v>
      </c>
      <c r="I34" s="316">
        <f t="shared" si="12"/>
        <v>-57.81</v>
      </c>
      <c r="K34" s="587">
        <f t="shared" si="13"/>
        <v>1.0550999999999999</v>
      </c>
      <c r="L34" s="587">
        <f t="shared" si="14"/>
        <v>0.20419999999999999</v>
      </c>
      <c r="M34" s="587">
        <f t="shared" si="15"/>
        <v>0.47099999999999997</v>
      </c>
    </row>
    <row r="35" spans="1:13" s="1163" customFormat="1" ht="29.45" customHeight="1">
      <c r="A35" s="574">
        <v>-6835</v>
      </c>
      <c r="B35" s="545">
        <f t="shared" si="5"/>
        <v>-0.09</v>
      </c>
      <c r="C35" s="546" t="s">
        <v>374</v>
      </c>
      <c r="D35" s="548">
        <f>+D36+D37</f>
        <v>-6065</v>
      </c>
      <c r="E35" s="545">
        <f t="shared" si="6"/>
        <v>-0.09</v>
      </c>
      <c r="F35" s="548">
        <f>+F36+F37</f>
        <v>-5288</v>
      </c>
      <c r="G35" s="545">
        <f t="shared" si="7"/>
        <v>-0.08</v>
      </c>
      <c r="H35" s="548">
        <f t="shared" si="0"/>
        <v>-777</v>
      </c>
      <c r="I35" s="320">
        <f t="shared" si="12"/>
        <v>14.69</v>
      </c>
      <c r="K35" s="612">
        <f t="shared" si="13"/>
        <v>-9.4600000000000004E-2</v>
      </c>
      <c r="L35" s="612">
        <f t="shared" si="14"/>
        <v>-8.9599999999999999E-2</v>
      </c>
      <c r="M35" s="612">
        <f t="shared" si="15"/>
        <v>-7.6100000000000001E-2</v>
      </c>
    </row>
    <row r="36" spans="1:13" s="1178" customFormat="1" ht="27" customHeight="1">
      <c r="A36" s="551">
        <v>-6835</v>
      </c>
      <c r="B36" s="552">
        <f t="shared" si="5"/>
        <v>-0.09</v>
      </c>
      <c r="C36" s="553" t="s">
        <v>696</v>
      </c>
      <c r="D36" s="315">
        <f>+D11+D15+D21-D26-D31-D34</f>
        <v>-6065</v>
      </c>
      <c r="E36" s="552">
        <f t="shared" si="6"/>
        <v>-0.09</v>
      </c>
      <c r="F36" s="315">
        <f>+F11+F15+F21-F26-F31-F34</f>
        <v>-5288</v>
      </c>
      <c r="G36" s="552">
        <f t="shared" si="7"/>
        <v>-0.08</v>
      </c>
      <c r="H36" s="558">
        <f t="shared" si="0"/>
        <v>-777</v>
      </c>
      <c r="I36" s="316">
        <f t="shared" si="12"/>
        <v>14.69</v>
      </c>
      <c r="K36" s="587">
        <f t="shared" si="13"/>
        <v>-9.4600000000000004E-2</v>
      </c>
      <c r="L36" s="587">
        <f t="shared" si="14"/>
        <v>-8.9599999999999999E-2</v>
      </c>
      <c r="M36" s="587">
        <f t="shared" si="15"/>
        <v>-7.6100000000000001E-2</v>
      </c>
    </row>
    <row r="37" spans="1:13" s="1178" customFormat="1" ht="27" hidden="1" customHeight="1">
      <c r="A37" s="569">
        <v>0</v>
      </c>
      <c r="B37" s="355">
        <f t="shared" si="5"/>
        <v>0</v>
      </c>
      <c r="C37" s="553" t="s">
        <v>738</v>
      </c>
      <c r="D37" s="554">
        <f>+D12+D16+D22-D27+D18</f>
        <v>0</v>
      </c>
      <c r="E37" s="355">
        <f t="shared" si="6"/>
        <v>0</v>
      </c>
      <c r="F37" s="554">
        <f>+F12+F16+F22-F27</f>
        <v>0</v>
      </c>
      <c r="G37" s="554">
        <f t="shared" si="7"/>
        <v>0</v>
      </c>
      <c r="H37" s="355">
        <f t="shared" si="0"/>
        <v>0</v>
      </c>
      <c r="I37" s="314">
        <v>0</v>
      </c>
      <c r="K37" s="587">
        <f t="shared" si="13"/>
        <v>0</v>
      </c>
      <c r="L37" s="587">
        <f t="shared" si="14"/>
        <v>0</v>
      </c>
      <c r="M37" s="587">
        <f t="shared" si="15"/>
        <v>0</v>
      </c>
    </row>
    <row r="38" spans="1:13" s="1163" customFormat="1" ht="27" customHeight="1">
      <c r="A38" s="307">
        <v>6835</v>
      </c>
      <c r="B38" s="545">
        <f t="shared" si="5"/>
        <v>0.09</v>
      </c>
      <c r="C38" s="546" t="s">
        <v>148</v>
      </c>
      <c r="D38" s="323">
        <f>+D41+D44</f>
        <v>6065</v>
      </c>
      <c r="E38" s="545">
        <f t="shared" si="6"/>
        <v>0.09</v>
      </c>
      <c r="F38" s="323">
        <f>+F41+F44</f>
        <v>5288</v>
      </c>
      <c r="G38" s="545">
        <f t="shared" si="7"/>
        <v>0.08</v>
      </c>
      <c r="H38" s="601">
        <f t="shared" si="0"/>
        <v>777</v>
      </c>
      <c r="I38" s="320">
        <f t="shared" ref="I38:I46" si="16">ROUND(H38/F38*100,2)</f>
        <v>14.69</v>
      </c>
      <c r="K38" s="612">
        <f t="shared" si="13"/>
        <v>9.4600000000000004E-2</v>
      </c>
      <c r="L38" s="612">
        <f t="shared" si="14"/>
        <v>8.9599999999999999E-2</v>
      </c>
      <c r="M38" s="612">
        <f t="shared" si="15"/>
        <v>7.6100000000000001E-2</v>
      </c>
    </row>
    <row r="39" spans="1:13" s="1163" customFormat="1" ht="31.25" customHeight="1">
      <c r="A39" s="305">
        <v>7</v>
      </c>
      <c r="B39" s="309">
        <f t="shared" si="5"/>
        <v>0</v>
      </c>
      <c r="C39" s="546" t="s">
        <v>149</v>
      </c>
      <c r="D39" s="559">
        <f>+D40</f>
        <v>3</v>
      </c>
      <c r="E39" s="309">
        <f t="shared" si="6"/>
        <v>0</v>
      </c>
      <c r="F39" s="559">
        <f>+F40</f>
        <v>4</v>
      </c>
      <c r="G39" s="550">
        <f t="shared" si="7"/>
        <v>0</v>
      </c>
      <c r="H39" s="319">
        <f t="shared" si="0"/>
        <v>-1</v>
      </c>
      <c r="I39" s="320">
        <f t="shared" si="16"/>
        <v>-25</v>
      </c>
      <c r="K39" s="612">
        <f t="shared" si="13"/>
        <v>1E-4</v>
      </c>
      <c r="L39" s="612">
        <f t="shared" si="14"/>
        <v>0</v>
      </c>
      <c r="M39" s="612">
        <f t="shared" si="15"/>
        <v>1E-4</v>
      </c>
    </row>
    <row r="40" spans="1:13" s="1178" customFormat="1" ht="27" customHeight="1">
      <c r="A40" s="551">
        <v>7</v>
      </c>
      <c r="B40" s="309">
        <f t="shared" si="5"/>
        <v>0</v>
      </c>
      <c r="C40" s="553" t="s">
        <v>150</v>
      </c>
      <c r="D40" s="554">
        <f>+D41</f>
        <v>3</v>
      </c>
      <c r="E40" s="312">
        <f t="shared" si="6"/>
        <v>0</v>
      </c>
      <c r="F40" s="554">
        <f>+F41</f>
        <v>4</v>
      </c>
      <c r="G40" s="312">
        <f t="shared" si="7"/>
        <v>0</v>
      </c>
      <c r="H40" s="315">
        <f t="shared" si="0"/>
        <v>-1</v>
      </c>
      <c r="I40" s="316">
        <f t="shared" si="16"/>
        <v>-25</v>
      </c>
      <c r="K40" s="587">
        <f t="shared" si="13"/>
        <v>1E-4</v>
      </c>
      <c r="L40" s="587">
        <f t="shared" si="14"/>
        <v>0</v>
      </c>
      <c r="M40" s="587">
        <f t="shared" si="15"/>
        <v>1E-4</v>
      </c>
    </row>
    <row r="41" spans="1:13" s="1178" customFormat="1" ht="27" customHeight="1">
      <c r="A41" s="551">
        <v>7</v>
      </c>
      <c r="B41" s="355">
        <f t="shared" si="5"/>
        <v>0</v>
      </c>
      <c r="C41" s="553" t="s">
        <v>696</v>
      </c>
      <c r="D41" s="557">
        <v>3</v>
      </c>
      <c r="E41" s="355">
        <f t="shared" si="6"/>
        <v>0</v>
      </c>
      <c r="F41" s="557">
        <v>4</v>
      </c>
      <c r="G41" s="312">
        <f t="shared" si="7"/>
        <v>0</v>
      </c>
      <c r="H41" s="315">
        <f t="shared" si="0"/>
        <v>-1</v>
      </c>
      <c r="I41" s="316">
        <f t="shared" si="16"/>
        <v>-25</v>
      </c>
      <c r="K41" s="587">
        <f t="shared" si="13"/>
        <v>1E-4</v>
      </c>
      <c r="L41" s="587">
        <f t="shared" si="14"/>
        <v>0</v>
      </c>
      <c r="M41" s="587">
        <f t="shared" si="15"/>
        <v>1E-4</v>
      </c>
    </row>
    <row r="42" spans="1:13" s="1163" customFormat="1" ht="29.95" customHeight="1">
      <c r="A42" s="305">
        <v>6828</v>
      </c>
      <c r="B42" s="545">
        <f t="shared" si="5"/>
        <v>0.09</v>
      </c>
      <c r="C42" s="546" t="s">
        <v>151</v>
      </c>
      <c r="D42" s="547">
        <f>+D43</f>
        <v>6062</v>
      </c>
      <c r="E42" s="545">
        <f t="shared" si="6"/>
        <v>0.09</v>
      </c>
      <c r="F42" s="547">
        <f>+F43</f>
        <v>5284</v>
      </c>
      <c r="G42" s="545">
        <f t="shared" si="7"/>
        <v>0.08</v>
      </c>
      <c r="H42" s="319">
        <f t="shared" si="0"/>
        <v>778</v>
      </c>
      <c r="I42" s="320">
        <f t="shared" si="16"/>
        <v>14.72</v>
      </c>
      <c r="K42" s="612">
        <f t="shared" si="13"/>
        <v>9.4500000000000001E-2</v>
      </c>
      <c r="L42" s="612">
        <f t="shared" si="14"/>
        <v>8.9599999999999999E-2</v>
      </c>
      <c r="M42" s="612">
        <f t="shared" si="15"/>
        <v>7.5999999999999998E-2</v>
      </c>
    </row>
    <row r="43" spans="1:13" s="1178" customFormat="1" ht="27" customHeight="1">
      <c r="A43" s="551">
        <v>6828</v>
      </c>
      <c r="B43" s="552">
        <f t="shared" si="5"/>
        <v>0.09</v>
      </c>
      <c r="C43" s="553" t="s">
        <v>152</v>
      </c>
      <c r="D43" s="557">
        <f>+D44</f>
        <v>6062</v>
      </c>
      <c r="E43" s="552">
        <f t="shared" si="6"/>
        <v>0.09</v>
      </c>
      <c r="F43" s="557">
        <f>+F44</f>
        <v>5284</v>
      </c>
      <c r="G43" s="552">
        <f t="shared" si="7"/>
        <v>0.08</v>
      </c>
      <c r="H43" s="315">
        <f t="shared" si="0"/>
        <v>778</v>
      </c>
      <c r="I43" s="316">
        <f t="shared" si="16"/>
        <v>14.72</v>
      </c>
      <c r="K43" s="587">
        <f t="shared" si="13"/>
        <v>9.4500000000000001E-2</v>
      </c>
      <c r="L43" s="587">
        <f t="shared" si="14"/>
        <v>8.9599999999999999E-2</v>
      </c>
      <c r="M43" s="587">
        <f t="shared" si="15"/>
        <v>7.5999999999999998E-2</v>
      </c>
    </row>
    <row r="44" spans="1:13" s="1178" customFormat="1" ht="27" customHeight="1">
      <c r="A44" s="551">
        <v>6828</v>
      </c>
      <c r="B44" s="355">
        <f t="shared" si="5"/>
        <v>0.09</v>
      </c>
      <c r="C44" s="553" t="s">
        <v>696</v>
      </c>
      <c r="D44" s="557">
        <v>6062</v>
      </c>
      <c r="E44" s="355">
        <f t="shared" si="6"/>
        <v>0.09</v>
      </c>
      <c r="F44" s="557">
        <v>5284</v>
      </c>
      <c r="G44" s="552">
        <f t="shared" si="7"/>
        <v>0.08</v>
      </c>
      <c r="H44" s="315">
        <f t="shared" si="0"/>
        <v>778</v>
      </c>
      <c r="I44" s="316">
        <f t="shared" si="16"/>
        <v>14.72</v>
      </c>
      <c r="K44" s="587">
        <f t="shared" si="13"/>
        <v>9.4500000000000001E-2</v>
      </c>
      <c r="L44" s="587">
        <f t="shared" si="14"/>
        <v>8.9599999999999999E-2</v>
      </c>
      <c r="M44" s="587">
        <f t="shared" si="15"/>
        <v>7.5999999999999998E-2</v>
      </c>
    </row>
    <row r="45" spans="1:13" s="1163" customFormat="1" ht="31.25" customHeight="1">
      <c r="A45" s="307">
        <v>6835</v>
      </c>
      <c r="B45" s="545">
        <f t="shared" si="5"/>
        <v>0.09</v>
      </c>
      <c r="C45" s="546" t="s">
        <v>375</v>
      </c>
      <c r="D45" s="323">
        <f>+D46</f>
        <v>6065</v>
      </c>
      <c r="E45" s="545">
        <f t="shared" si="6"/>
        <v>0.09</v>
      </c>
      <c r="F45" s="323">
        <f>+F46</f>
        <v>5288</v>
      </c>
      <c r="G45" s="545">
        <f t="shared" si="7"/>
        <v>0.08</v>
      </c>
      <c r="H45" s="319">
        <f t="shared" si="0"/>
        <v>777</v>
      </c>
      <c r="I45" s="320">
        <f t="shared" si="16"/>
        <v>14.69</v>
      </c>
      <c r="K45" s="612">
        <f t="shared" si="13"/>
        <v>9.4600000000000004E-2</v>
      </c>
      <c r="L45" s="612">
        <f t="shared" si="14"/>
        <v>8.9599999999999999E-2</v>
      </c>
      <c r="M45" s="612">
        <f t="shared" si="15"/>
        <v>7.6100000000000001E-2</v>
      </c>
    </row>
    <row r="46" spans="1:13" s="1178" customFormat="1" ht="27" customHeight="1">
      <c r="A46" s="551">
        <v>6835</v>
      </c>
      <c r="B46" s="355">
        <f t="shared" si="5"/>
        <v>0.09</v>
      </c>
      <c r="C46" s="553" t="s">
        <v>696</v>
      </c>
      <c r="D46" s="557">
        <f>+D41+D44</f>
        <v>6065</v>
      </c>
      <c r="E46" s="355">
        <f t="shared" si="6"/>
        <v>0.09</v>
      </c>
      <c r="F46" s="557">
        <f>+F41+F44</f>
        <v>5288</v>
      </c>
      <c r="G46" s="552">
        <f t="shared" si="7"/>
        <v>0.08</v>
      </c>
      <c r="H46" s="315">
        <f t="shared" si="0"/>
        <v>777</v>
      </c>
      <c r="I46" s="316">
        <f t="shared" si="16"/>
        <v>14.69</v>
      </c>
      <c r="K46" s="587">
        <f t="shared" si="13"/>
        <v>9.4600000000000004E-2</v>
      </c>
      <c r="L46" s="587">
        <f t="shared" si="14"/>
        <v>8.9599999999999999E-2</v>
      </c>
      <c r="M46" s="587">
        <f t="shared" si="15"/>
        <v>7.6100000000000001E-2</v>
      </c>
    </row>
    <row r="47" spans="1:13" s="1163" customFormat="1" ht="24.55" customHeight="1">
      <c r="A47" s="580">
        <f>+A35+A45</f>
        <v>0</v>
      </c>
      <c r="B47" s="309">
        <f t="shared" si="5"/>
        <v>0</v>
      </c>
      <c r="C47" s="546" t="s">
        <v>376</v>
      </c>
      <c r="D47" s="581">
        <f>+D35+D45</f>
        <v>0</v>
      </c>
      <c r="E47" s="309">
        <f t="shared" si="6"/>
        <v>0</v>
      </c>
      <c r="F47" s="581">
        <f>+F35+F45</f>
        <v>0</v>
      </c>
      <c r="G47" s="581">
        <f t="shared" si="7"/>
        <v>0</v>
      </c>
      <c r="H47" s="581">
        <f t="shared" si="0"/>
        <v>0</v>
      </c>
      <c r="I47" s="570">
        <v>0</v>
      </c>
      <c r="K47" s="612">
        <f t="shared" si="13"/>
        <v>0</v>
      </c>
      <c r="L47" s="612">
        <f t="shared" si="14"/>
        <v>0</v>
      </c>
      <c r="M47" s="612">
        <f t="shared" si="15"/>
        <v>0</v>
      </c>
    </row>
    <row r="48" spans="1:13" s="1163" customFormat="1" ht="24.55" customHeight="1">
      <c r="A48" s="580"/>
      <c r="B48" s="309"/>
      <c r="C48" s="546"/>
      <c r="D48" s="581"/>
      <c r="E48" s="309"/>
      <c r="F48" s="581"/>
      <c r="G48" s="545"/>
      <c r="H48" s="581"/>
      <c r="I48" s="570"/>
      <c r="K48" s="612"/>
      <c r="L48" s="612"/>
      <c r="M48" s="612"/>
    </row>
    <row r="49" spans="1:13" s="1163" customFormat="1" ht="24.55" customHeight="1">
      <c r="A49" s="580"/>
      <c r="B49" s="309"/>
      <c r="C49" s="546"/>
      <c r="D49" s="581"/>
      <c r="E49" s="309"/>
      <c r="F49" s="581"/>
      <c r="G49" s="545"/>
      <c r="H49" s="581"/>
      <c r="I49" s="570"/>
      <c r="K49" s="612"/>
      <c r="L49" s="612"/>
      <c r="M49" s="612"/>
    </row>
    <row r="50" spans="1:13" s="1163" customFormat="1" ht="30.6" customHeight="1">
      <c r="A50" s="580"/>
      <c r="B50" s="309"/>
      <c r="C50" s="546"/>
      <c r="D50" s="581"/>
      <c r="E50" s="309"/>
      <c r="F50" s="581"/>
      <c r="G50" s="545"/>
      <c r="H50" s="581"/>
      <c r="I50" s="570"/>
      <c r="K50" s="612"/>
      <c r="L50" s="612"/>
      <c r="M50" s="612"/>
    </row>
    <row r="51" spans="1:13" s="1163" customFormat="1" ht="17.350000000000001" customHeight="1">
      <c r="A51" s="580"/>
      <c r="B51" s="309"/>
      <c r="C51" s="546"/>
      <c r="D51" s="581"/>
      <c r="E51" s="309"/>
      <c r="F51" s="581"/>
      <c r="G51" s="545"/>
      <c r="H51" s="581"/>
      <c r="I51" s="570"/>
      <c r="K51" s="612"/>
      <c r="L51" s="612"/>
      <c r="M51" s="612"/>
    </row>
    <row r="52" spans="1:13" s="1163" customFormat="1" ht="33.549999999999997" customHeight="1">
      <c r="A52" s="580"/>
      <c r="B52" s="309"/>
      <c r="C52" s="546"/>
      <c r="D52" s="581"/>
      <c r="E52" s="309"/>
      <c r="F52" s="581"/>
      <c r="G52" s="545"/>
      <c r="H52" s="581"/>
      <c r="I52" s="570"/>
      <c r="K52" s="612"/>
      <c r="L52" s="612"/>
      <c r="M52" s="612"/>
    </row>
    <row r="53" spans="1:13" s="1163" customFormat="1" ht="24.55" customHeight="1">
      <c r="A53" s="580"/>
      <c r="B53" s="309"/>
      <c r="C53" s="546"/>
      <c r="D53" s="581"/>
      <c r="E53" s="309"/>
      <c r="F53" s="581"/>
      <c r="G53" s="545"/>
      <c r="H53" s="581"/>
      <c r="I53" s="570"/>
      <c r="K53" s="612"/>
      <c r="L53" s="612"/>
      <c r="M53" s="612"/>
    </row>
    <row r="54" spans="1:13" s="1178" customFormat="1" ht="6.05" customHeight="1" thickBot="1">
      <c r="A54" s="562"/>
      <c r="B54" s="563"/>
      <c r="C54" s="564"/>
      <c r="D54" s="565"/>
      <c r="E54" s="563"/>
      <c r="F54" s="565"/>
      <c r="G54" s="563"/>
      <c r="H54" s="614"/>
      <c r="I54" s="332"/>
      <c r="K54" s="587"/>
      <c r="L54" s="587"/>
      <c r="M54" s="587"/>
    </row>
    <row r="55" spans="1:13" ht="21.6" customHeight="1">
      <c r="A55" s="1259" t="s">
        <v>703</v>
      </c>
      <c r="B55" s="1260"/>
      <c r="C55" s="1260"/>
      <c r="D55" s="1260"/>
      <c r="E55" s="1260"/>
      <c r="F55" s="1260"/>
      <c r="G55" s="1260"/>
      <c r="H55" s="1260"/>
      <c r="I55" s="1260"/>
    </row>
    <row r="56" spans="1:13" ht="15.05">
      <c r="A56" s="607"/>
      <c r="B56" s="608"/>
      <c r="C56" s="609"/>
      <c r="D56" s="608"/>
      <c r="E56" s="610"/>
      <c r="F56" s="608"/>
      <c r="G56" s="608"/>
      <c r="H56" s="608"/>
      <c r="I56" s="608"/>
    </row>
    <row r="57" spans="1:13" ht="15.05">
      <c r="C57" s="611"/>
    </row>
    <row r="58" spans="1:13" ht="15.05">
      <c r="C58" s="611"/>
    </row>
    <row r="59" spans="1:13" ht="15.05">
      <c r="C59" s="611"/>
    </row>
    <row r="60" spans="1:13" ht="15.05">
      <c r="C60" s="611"/>
    </row>
    <row r="61" spans="1:13" ht="15.05">
      <c r="C61" s="611"/>
    </row>
    <row r="62" spans="1:13" ht="15.05">
      <c r="C62" s="611"/>
    </row>
    <row r="63" spans="1:13" ht="15.05">
      <c r="C63" s="611"/>
    </row>
    <row r="64" spans="1:13" ht="15.05">
      <c r="C64" s="611"/>
    </row>
  </sheetData>
  <mergeCells count="10">
    <mergeCell ref="A55:I55"/>
    <mergeCell ref="A1:I1"/>
    <mergeCell ref="A2:I2"/>
    <mergeCell ref="A3:I3"/>
    <mergeCell ref="A4:I4"/>
    <mergeCell ref="A5:B5"/>
    <mergeCell ref="C5:C6"/>
    <mergeCell ref="D5:E5"/>
    <mergeCell ref="F5:G5"/>
    <mergeCell ref="H5:I5"/>
  </mergeCells>
  <phoneticPr fontId="5" type="noConversion"/>
  <printOptions horizontalCentered="1"/>
  <pageMargins left="0.59055118110236227" right="0.59055118110236227" top="0.59055118110236227" bottom="0.78740157480314965" header="0.51181102362204722" footer="0.51181102362204722"/>
  <pageSetup paperSize="9" orientation="portrait" useFirstPageNumber="1" r:id="rId1"/>
  <headerFooter alignWithMargins="0">
    <oddFooter>&amp;C&amp;"細明體,標準"附&amp;"Times New Roman,標準"3-&amp;P</odd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A1:H37"/>
  <sheetViews>
    <sheetView view="pageBreakPreview" zoomScaleNormal="100" zoomScaleSheetLayoutView="100" workbookViewId="0">
      <selection activeCell="L13" sqref="L13"/>
    </sheetView>
  </sheetViews>
  <sheetFormatPr defaultColWidth="9" defaultRowHeight="15.05"/>
  <cols>
    <col min="1" max="1" width="41.875" style="6" customWidth="1"/>
    <col min="2" max="2" width="14.125" style="6" customWidth="1"/>
    <col min="3" max="3" width="15.625" style="6" customWidth="1"/>
    <col min="4" max="4" width="12.625" style="6" customWidth="1"/>
    <col min="5" max="5" width="5.625" style="6" customWidth="1"/>
    <col min="6" max="6" width="39" style="6" customWidth="1"/>
    <col min="7" max="7" width="9" style="6"/>
    <col min="8" max="8" width="26.375" style="6" customWidth="1"/>
    <col min="9" max="9" width="19.875" style="6" customWidth="1"/>
    <col min="10" max="16384" width="9" style="6"/>
  </cols>
  <sheetData>
    <row r="1" spans="1:8" s="2" customFormat="1" ht="22.25">
      <c r="A1" s="1266" t="s">
        <v>59</v>
      </c>
      <c r="B1" s="1266"/>
      <c r="C1" s="1266"/>
      <c r="D1" s="1266"/>
      <c r="E1" s="1266"/>
      <c r="F1" s="1"/>
      <c r="G1" s="1"/>
      <c r="H1" s="1"/>
    </row>
    <row r="2" spans="1:8" s="2" customFormat="1" ht="22.25">
      <c r="A2" s="1266" t="s">
        <v>60</v>
      </c>
      <c r="B2" s="1266"/>
      <c r="C2" s="1266"/>
      <c r="D2" s="1266"/>
      <c r="E2" s="1266"/>
      <c r="F2" s="1"/>
      <c r="G2" s="1"/>
      <c r="H2" s="1"/>
    </row>
    <row r="3" spans="1:8" s="2" customFormat="1" ht="24.75" customHeight="1">
      <c r="A3" s="1267" t="s">
        <v>1731</v>
      </c>
      <c r="B3" s="1268"/>
      <c r="C3" s="1268"/>
      <c r="D3" s="1268"/>
      <c r="E3" s="1268"/>
      <c r="F3" s="3"/>
      <c r="G3" s="3"/>
      <c r="H3" s="3"/>
    </row>
    <row r="4" spans="1:8" s="2" customFormat="1" ht="24.9" customHeight="1" thickBot="1">
      <c r="A4" s="1316" t="s">
        <v>1767</v>
      </c>
      <c r="B4" s="1287"/>
      <c r="C4" s="1287"/>
      <c r="D4" s="1287"/>
      <c r="E4" s="1287"/>
      <c r="F4" s="4"/>
      <c r="G4" s="4"/>
      <c r="H4" s="4"/>
    </row>
    <row r="5" spans="1:8">
      <c r="A5" s="1310" t="s">
        <v>61</v>
      </c>
      <c r="B5" s="1313" t="s">
        <v>62</v>
      </c>
      <c r="C5" s="1613" t="s">
        <v>352</v>
      </c>
      <c r="D5" s="1318"/>
      <c r="E5" s="1319"/>
      <c r="F5" s="4"/>
      <c r="G5" s="4"/>
      <c r="H5" s="4"/>
    </row>
    <row r="6" spans="1:8">
      <c r="A6" s="1311"/>
      <c r="B6" s="1314"/>
      <c r="C6" s="1320"/>
      <c r="D6" s="1321"/>
      <c r="E6" s="1322"/>
      <c r="F6" s="4"/>
      <c r="G6" s="4"/>
      <c r="H6" s="4"/>
    </row>
    <row r="7" spans="1:8" ht="12.8" customHeight="1">
      <c r="A7" s="1312"/>
      <c r="B7" s="1315"/>
      <c r="C7" s="1323"/>
      <c r="D7" s="1324"/>
      <c r="E7" s="1325"/>
    </row>
    <row r="8" spans="1:8" ht="5.25" customHeight="1">
      <c r="A8" s="1180"/>
      <c r="B8" s="1181"/>
      <c r="C8" s="84"/>
      <c r="D8" s="133"/>
      <c r="E8" s="87"/>
    </row>
    <row r="9" spans="1:8" s="1178" customFormat="1" ht="26.35" customHeight="1">
      <c r="A9" s="359" t="s">
        <v>64</v>
      </c>
      <c r="B9" s="135"/>
      <c r="C9" s="136"/>
      <c r="D9" s="137"/>
      <c r="E9" s="138"/>
    </row>
    <row r="10" spans="1:8" s="1163" customFormat="1" ht="24.75" customHeight="1">
      <c r="A10" s="139" t="s">
        <v>377</v>
      </c>
      <c r="B10" s="186">
        <v>0</v>
      </c>
      <c r="C10" s="140"/>
      <c r="D10" s="141"/>
      <c r="E10" s="138"/>
    </row>
    <row r="11" spans="1:8" s="1163" customFormat="1" ht="29.95" customHeight="1">
      <c r="A11" s="68" t="s">
        <v>339</v>
      </c>
      <c r="B11" s="66">
        <f>-D11+D12</f>
        <v>13631</v>
      </c>
      <c r="C11" s="1182" t="s">
        <v>431</v>
      </c>
      <c r="D11" s="1179">
        <v>187</v>
      </c>
      <c r="E11" s="1185" t="s">
        <v>65</v>
      </c>
    </row>
    <row r="12" spans="1:8" s="1163" customFormat="1" ht="26.35" customHeight="1">
      <c r="A12" s="68"/>
      <c r="B12" s="67"/>
      <c r="C12" s="1182" t="s">
        <v>329</v>
      </c>
      <c r="D12" s="1179">
        <v>13818</v>
      </c>
      <c r="E12" s="1185" t="s">
        <v>65</v>
      </c>
    </row>
    <row r="13" spans="1:8" s="1163" customFormat="1" ht="27.65" customHeight="1">
      <c r="A13" s="68" t="s">
        <v>378</v>
      </c>
      <c r="B13" s="66">
        <f>+B10+B11</f>
        <v>13631</v>
      </c>
      <c r="C13" s="140"/>
      <c r="D13" s="141"/>
      <c r="E13" s="138"/>
    </row>
    <row r="14" spans="1:8" s="1163" customFormat="1" ht="27" customHeight="1">
      <c r="A14" s="139" t="s">
        <v>538</v>
      </c>
      <c r="B14" s="142">
        <f>D14+D15+D16+D17+D18+D19</f>
        <v>316905</v>
      </c>
      <c r="C14" s="1182" t="s">
        <v>330</v>
      </c>
      <c r="D14" s="1179">
        <v>6654</v>
      </c>
      <c r="E14" s="1185" t="s">
        <v>65</v>
      </c>
      <c r="F14" s="1164"/>
    </row>
    <row r="15" spans="1:8" s="1163" customFormat="1" ht="20.95" hidden="1" customHeight="1">
      <c r="A15" s="68"/>
      <c r="B15" s="142"/>
      <c r="C15" s="1182" t="s">
        <v>331</v>
      </c>
      <c r="D15" s="1179">
        <v>0</v>
      </c>
      <c r="E15" s="1185" t="s">
        <v>65</v>
      </c>
      <c r="F15" s="1164"/>
    </row>
    <row r="16" spans="1:8" s="1178" customFormat="1" ht="21.8" hidden="1" customHeight="1">
      <c r="A16" s="68"/>
      <c r="B16" s="142"/>
      <c r="C16" s="1182" t="s">
        <v>332</v>
      </c>
      <c r="D16" s="1179">
        <v>0</v>
      </c>
      <c r="E16" s="1185" t="s">
        <v>65</v>
      </c>
    </row>
    <row r="17" spans="1:8" s="1178" customFormat="1" ht="27" customHeight="1">
      <c r="A17" s="68"/>
      <c r="B17" s="142"/>
      <c r="C17" s="1182" t="s">
        <v>365</v>
      </c>
      <c r="D17" s="1179">
        <v>-33176</v>
      </c>
      <c r="E17" s="1185" t="s">
        <v>65</v>
      </c>
    </row>
    <row r="18" spans="1:8" s="1163" customFormat="1" ht="27" customHeight="1">
      <c r="A18" s="68" t="s">
        <v>66</v>
      </c>
      <c r="B18" s="31"/>
      <c r="C18" s="1182" t="s">
        <v>557</v>
      </c>
      <c r="D18" s="1179">
        <v>343427</v>
      </c>
      <c r="E18" s="1185" t="s">
        <v>65</v>
      </c>
      <c r="F18" s="36"/>
      <c r="H18" s="10"/>
    </row>
    <row r="19" spans="1:8" s="1178" customFormat="1" ht="27" hidden="1" customHeight="1">
      <c r="A19" s="68" t="s">
        <v>66</v>
      </c>
      <c r="B19" s="31"/>
      <c r="C19" s="1182" t="s">
        <v>354</v>
      </c>
      <c r="D19" s="1179">
        <v>0</v>
      </c>
      <c r="E19" s="1185" t="s">
        <v>65</v>
      </c>
    </row>
    <row r="20" spans="1:8" s="1163" customFormat="1" ht="29.95" customHeight="1">
      <c r="A20" s="68" t="s">
        <v>379</v>
      </c>
      <c r="B20" s="31">
        <f>+B13+B14</f>
        <v>330536</v>
      </c>
      <c r="C20" s="140"/>
      <c r="D20" s="141"/>
      <c r="E20" s="138"/>
    </row>
    <row r="21" spans="1:8" s="1163" customFormat="1" ht="29.95" customHeight="1">
      <c r="A21" s="139" t="s">
        <v>338</v>
      </c>
      <c r="B21" s="31">
        <v>3</v>
      </c>
      <c r="C21" s="1326" t="s">
        <v>942</v>
      </c>
      <c r="D21" s="1327"/>
      <c r="E21" s="1328"/>
    </row>
    <row r="22" spans="1:8" s="1178" customFormat="1" ht="27" customHeight="1">
      <c r="A22" s="134" t="s">
        <v>369</v>
      </c>
      <c r="B22" s="27">
        <f>+B20+B21</f>
        <v>330539</v>
      </c>
      <c r="C22" s="360"/>
      <c r="D22" s="361"/>
      <c r="E22" s="1185"/>
    </row>
    <row r="23" spans="1:8" s="1178" customFormat="1" ht="27.65" customHeight="1">
      <c r="A23" s="359" t="s">
        <v>67</v>
      </c>
      <c r="B23" s="27"/>
      <c r="C23" s="362"/>
      <c r="D23" s="363"/>
      <c r="E23" s="364"/>
    </row>
    <row r="24" spans="1:8" s="1178" customFormat="1" ht="29.95" hidden="1" customHeight="1">
      <c r="A24" s="68" t="s">
        <v>68</v>
      </c>
      <c r="B24" s="31">
        <v>0</v>
      </c>
      <c r="C24" s="1309"/>
      <c r="D24" s="1307"/>
      <c r="E24" s="1308"/>
    </row>
    <row r="25" spans="1:8" s="1178" customFormat="1" ht="27.85" customHeight="1">
      <c r="A25" s="139" t="s">
        <v>338</v>
      </c>
      <c r="B25" s="31">
        <v>184</v>
      </c>
      <c r="C25" s="1326" t="s">
        <v>943</v>
      </c>
      <c r="D25" s="1327"/>
      <c r="E25" s="1328"/>
    </row>
    <row r="26" spans="1:8" s="1178" customFormat="1" ht="42.05" hidden="1" customHeight="1">
      <c r="A26" s="68" t="s">
        <v>69</v>
      </c>
      <c r="B26" s="31">
        <v>0</v>
      </c>
      <c r="C26" s="1309" t="s">
        <v>356</v>
      </c>
      <c r="D26" s="1307"/>
      <c r="E26" s="1308"/>
    </row>
    <row r="27" spans="1:8" s="1178" customFormat="1" ht="45" hidden="1" customHeight="1">
      <c r="A27" s="68" t="s">
        <v>70</v>
      </c>
      <c r="B27" s="31">
        <v>0</v>
      </c>
      <c r="C27" s="1334" t="s">
        <v>355</v>
      </c>
      <c r="D27" s="1327"/>
      <c r="E27" s="1328"/>
    </row>
    <row r="28" spans="1:8" s="1178" customFormat="1" ht="29.95" hidden="1" customHeight="1">
      <c r="A28" s="68" t="s">
        <v>71</v>
      </c>
      <c r="B28" s="31">
        <v>0</v>
      </c>
      <c r="C28" s="1309" t="s">
        <v>72</v>
      </c>
      <c r="D28" s="1307"/>
      <c r="E28" s="1308"/>
    </row>
    <row r="29" spans="1:8" s="1178" customFormat="1" ht="27.65" customHeight="1">
      <c r="A29" s="134" t="s">
        <v>370</v>
      </c>
      <c r="B29" s="27">
        <f>SUM(B24:B28)</f>
        <v>184</v>
      </c>
      <c r="C29" s="360"/>
      <c r="D29" s="361"/>
      <c r="E29" s="364"/>
    </row>
    <row r="30" spans="1:8" s="1178" customFormat="1" ht="27.85" customHeight="1">
      <c r="A30" s="134" t="s">
        <v>334</v>
      </c>
      <c r="B30" s="143"/>
      <c r="C30" s="365"/>
      <c r="D30" s="366"/>
      <c r="E30" s="364"/>
    </row>
    <row r="31" spans="1:8" s="378" customFormat="1" ht="30.6" hidden="1" customHeight="1">
      <c r="A31" s="68" t="s">
        <v>335</v>
      </c>
      <c r="B31" s="31"/>
      <c r="C31" s="1326" t="s">
        <v>786</v>
      </c>
      <c r="D31" s="1327"/>
      <c r="E31" s="1328"/>
    </row>
    <row r="32" spans="1:8" s="378" customFormat="1" ht="39.799999999999997" customHeight="1">
      <c r="A32" s="68" t="s">
        <v>336</v>
      </c>
      <c r="B32" s="31">
        <v>-347000</v>
      </c>
      <c r="C32" s="1334" t="s">
        <v>945</v>
      </c>
      <c r="D32" s="1327"/>
      <c r="E32" s="1328"/>
    </row>
    <row r="33" spans="1:5" s="378" customFormat="1" ht="29.45" customHeight="1">
      <c r="A33" s="139" t="s">
        <v>552</v>
      </c>
      <c r="B33" s="31">
        <v>-13818</v>
      </c>
      <c r="C33" s="1334" t="s">
        <v>944</v>
      </c>
      <c r="D33" s="1327"/>
      <c r="E33" s="1328"/>
    </row>
    <row r="34" spans="1:5" s="1178" customFormat="1" ht="36" customHeight="1">
      <c r="A34" s="134" t="s">
        <v>553</v>
      </c>
      <c r="B34" s="77">
        <f>SUM(B31:B33)</f>
        <v>-360818</v>
      </c>
      <c r="C34" s="367"/>
      <c r="D34" s="368"/>
      <c r="E34" s="369"/>
    </row>
    <row r="35" spans="1:5" s="1178" customFormat="1" ht="38.950000000000003" customHeight="1">
      <c r="A35" s="134" t="s">
        <v>372</v>
      </c>
      <c r="B35" s="77">
        <f>B22+B29+B34</f>
        <v>-30095</v>
      </c>
      <c r="C35" s="370"/>
      <c r="D35" s="371"/>
      <c r="E35" s="372"/>
    </row>
    <row r="36" spans="1:5" s="1178" customFormat="1" ht="34.549999999999997" customHeight="1">
      <c r="A36" s="359" t="s">
        <v>73</v>
      </c>
      <c r="B36" s="77">
        <v>468106</v>
      </c>
      <c r="C36" s="370"/>
      <c r="D36" s="371"/>
      <c r="E36" s="372"/>
    </row>
    <row r="37" spans="1:5" s="1178" customFormat="1" ht="40.25" customHeight="1" thickBot="1">
      <c r="A37" s="373" t="s">
        <v>74</v>
      </c>
      <c r="B37" s="144">
        <f>B36+B35</f>
        <v>438011</v>
      </c>
      <c r="C37" s="374"/>
      <c r="D37" s="375"/>
      <c r="E37" s="376"/>
    </row>
  </sheetData>
  <mergeCells count="16">
    <mergeCell ref="A1:E1"/>
    <mergeCell ref="A2:E2"/>
    <mergeCell ref="A3:E3"/>
    <mergeCell ref="A4:E4"/>
    <mergeCell ref="A5:A7"/>
    <mergeCell ref="B5:B7"/>
    <mergeCell ref="C5:E7"/>
    <mergeCell ref="C21:E21"/>
    <mergeCell ref="C32:E32"/>
    <mergeCell ref="C33:E33"/>
    <mergeCell ref="C24:E24"/>
    <mergeCell ref="C25:E25"/>
    <mergeCell ref="C26:E26"/>
    <mergeCell ref="C27:E27"/>
    <mergeCell ref="C28:E28"/>
    <mergeCell ref="C31:E31"/>
  </mergeCells>
  <phoneticPr fontId="5" type="noConversion"/>
  <printOptions horizontalCentered="1"/>
  <pageMargins left="0.59055118110236227" right="0.59055118110236227" top="0.59055118110236227" bottom="0.78740157480314965" header="0.51181102362204722" footer="0.51181102362204722"/>
  <pageSetup paperSize="9" firstPageNumber="3" orientation="portrait" useFirstPageNumber="1" r:id="rId1"/>
  <headerFooter alignWithMargins="0">
    <oddFooter>&amp;C&amp;"細明體,標準"附&amp;"Times New Roman,標準"3-&amp;P</oddFoot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A1:E53"/>
  <sheetViews>
    <sheetView view="pageBreakPreview" zoomScaleNormal="100" zoomScaleSheetLayoutView="100" workbookViewId="0">
      <selection activeCell="L13" sqref="L13"/>
    </sheetView>
  </sheetViews>
  <sheetFormatPr defaultColWidth="9" defaultRowHeight="16.399999999999999"/>
  <cols>
    <col min="1" max="1" width="15.5" style="6" customWidth="1"/>
    <col min="2" max="2" width="30" style="462" customWidth="1"/>
    <col min="3" max="3" width="15.875" style="6" customWidth="1"/>
    <col min="4" max="4" width="15.75" style="19" customWidth="1"/>
    <col min="5" max="5" width="13.125" style="6" customWidth="1"/>
    <col min="6" max="16384" width="9" style="6"/>
  </cols>
  <sheetData>
    <row r="1" spans="1:5" ht="22.25">
      <c r="A1" s="1266" t="s">
        <v>59</v>
      </c>
      <c r="B1" s="1266"/>
      <c r="C1" s="1266"/>
      <c r="D1" s="1266"/>
      <c r="E1" s="1266"/>
    </row>
    <row r="2" spans="1:5" ht="22.25">
      <c r="A2" s="1421" t="s">
        <v>60</v>
      </c>
      <c r="B2" s="1266"/>
      <c r="C2" s="1266"/>
      <c r="D2" s="1266"/>
      <c r="E2" s="1266"/>
    </row>
    <row r="3" spans="1:5" ht="24.75" customHeight="1">
      <c r="A3" s="1509" t="s">
        <v>1732</v>
      </c>
      <c r="B3" s="1268"/>
      <c r="C3" s="1268"/>
      <c r="D3" s="1268"/>
      <c r="E3" s="1268"/>
    </row>
    <row r="4" spans="1:5" ht="24.75" customHeight="1" thickBot="1">
      <c r="A4" s="1336" t="s">
        <v>1757</v>
      </c>
      <c r="B4" s="1270"/>
      <c r="C4" s="1270"/>
      <c r="D4" s="1270"/>
      <c r="E4" s="1270"/>
    </row>
    <row r="5" spans="1:5" ht="15.75" customHeight="1">
      <c r="A5" s="1471" t="s">
        <v>906</v>
      </c>
      <c r="B5" s="1609" t="s">
        <v>297</v>
      </c>
      <c r="C5" s="1480" t="s">
        <v>907</v>
      </c>
      <c r="D5" s="1480" t="s">
        <v>908</v>
      </c>
      <c r="E5" s="1477" t="s">
        <v>681</v>
      </c>
    </row>
    <row r="6" spans="1:5" ht="15.75" customHeight="1">
      <c r="A6" s="1472"/>
      <c r="B6" s="1610"/>
      <c r="C6" s="1481"/>
      <c r="D6" s="1481"/>
      <c r="E6" s="1478"/>
    </row>
    <row r="7" spans="1:5" ht="15.75" customHeight="1">
      <c r="A7" s="1473"/>
      <c r="B7" s="1611"/>
      <c r="C7" s="1482"/>
      <c r="D7" s="1482"/>
      <c r="E7" s="1479"/>
    </row>
    <row r="8" spans="1:5" ht="9" customHeight="1">
      <c r="A8" s="24"/>
      <c r="B8" s="595"/>
      <c r="C8" s="1183"/>
      <c r="D8" s="1184"/>
      <c r="E8" s="112"/>
    </row>
    <row r="9" spans="1:5" s="1163" customFormat="1" ht="24.75" customHeight="1">
      <c r="A9" s="113">
        <v>4416815</v>
      </c>
      <c r="B9" s="114" t="s">
        <v>298</v>
      </c>
      <c r="C9" s="115">
        <f>C10+C13</f>
        <v>2948625</v>
      </c>
      <c r="D9" s="115">
        <f>D10+D13</f>
        <v>3328801</v>
      </c>
      <c r="E9" s="116">
        <f>E10+E13</f>
        <v>-380176</v>
      </c>
    </row>
    <row r="10" spans="1:5" s="1163" customFormat="1" ht="29.95" customHeight="1">
      <c r="A10" s="113">
        <v>4401390</v>
      </c>
      <c r="B10" s="117" t="s">
        <v>299</v>
      </c>
      <c r="C10" s="115">
        <f>SUM(C11:C12)</f>
        <v>2933301</v>
      </c>
      <c r="D10" s="115">
        <f>SUM(D11:D12)</f>
        <v>3312760</v>
      </c>
      <c r="E10" s="116">
        <f>SUM(E11:E12)</f>
        <v>-379459</v>
      </c>
    </row>
    <row r="11" spans="1:5" s="1178" customFormat="1" ht="29.95" customHeight="1">
      <c r="A11" s="118">
        <v>480314</v>
      </c>
      <c r="B11" s="119" t="s">
        <v>300</v>
      </c>
      <c r="C11" s="931">
        <v>438011</v>
      </c>
      <c r="D11" s="931">
        <v>468106</v>
      </c>
      <c r="E11" s="121">
        <f>C11-D11</f>
        <v>-30095</v>
      </c>
    </row>
    <row r="12" spans="1:5" s="1178" customFormat="1" ht="29.95" customHeight="1">
      <c r="A12" s="118">
        <v>3921076</v>
      </c>
      <c r="B12" s="119" t="s">
        <v>302</v>
      </c>
      <c r="C12" s="931">
        <v>2495290</v>
      </c>
      <c r="D12" s="931">
        <v>2844654</v>
      </c>
      <c r="E12" s="121">
        <f>C12-D12</f>
        <v>-349364</v>
      </c>
    </row>
    <row r="13" spans="1:5" s="1163" customFormat="1" ht="29.95" customHeight="1">
      <c r="A13" s="113">
        <v>15425</v>
      </c>
      <c r="B13" s="117" t="s">
        <v>307</v>
      </c>
      <c r="C13" s="115">
        <f>SUM(C14:C14)</f>
        <v>15324</v>
      </c>
      <c r="D13" s="115">
        <f>SUM(D14:D14)</f>
        <v>16041</v>
      </c>
      <c r="E13" s="116">
        <f>SUM(E14:E14)</f>
        <v>-717</v>
      </c>
    </row>
    <row r="14" spans="1:5" s="1178" customFormat="1" ht="29.95" customHeight="1">
      <c r="A14" s="118">
        <v>15425</v>
      </c>
      <c r="B14" s="119" t="s">
        <v>308</v>
      </c>
      <c r="C14" s="931">
        <v>15324</v>
      </c>
      <c r="D14" s="931">
        <v>16041</v>
      </c>
      <c r="E14" s="121">
        <f>C14-D14</f>
        <v>-717</v>
      </c>
    </row>
    <row r="15" spans="1:5" s="1178" customFormat="1" ht="29.95" hidden="1" customHeight="1">
      <c r="A15" s="118"/>
      <c r="B15" s="119"/>
      <c r="C15" s="931"/>
      <c r="D15" s="931"/>
      <c r="E15" s="121"/>
    </row>
    <row r="16" spans="1:5" s="1178" customFormat="1" ht="29.95" hidden="1" customHeight="1">
      <c r="A16" s="118"/>
      <c r="B16" s="119"/>
      <c r="C16" s="931"/>
      <c r="D16" s="931"/>
      <c r="E16" s="121"/>
    </row>
    <row r="17" spans="1:5" s="1178" customFormat="1" ht="29.95" hidden="1" customHeight="1">
      <c r="A17" s="118"/>
      <c r="B17" s="119"/>
      <c r="C17" s="931"/>
      <c r="D17" s="931"/>
      <c r="E17" s="121"/>
    </row>
    <row r="18" spans="1:5" s="1178" customFormat="1" ht="29.95" hidden="1" customHeight="1">
      <c r="A18" s="118"/>
      <c r="B18" s="119"/>
      <c r="C18" s="931"/>
      <c r="D18" s="931"/>
      <c r="E18" s="121"/>
    </row>
    <row r="19" spans="1:5" s="1178" customFormat="1" ht="29.95" hidden="1" customHeight="1">
      <c r="A19" s="118"/>
      <c r="B19" s="119"/>
      <c r="C19" s="931"/>
      <c r="D19" s="931"/>
      <c r="E19" s="121"/>
    </row>
    <row r="20" spans="1:5" s="1178" customFormat="1" ht="29.95" hidden="1" customHeight="1">
      <c r="A20" s="118"/>
      <c r="B20" s="119"/>
      <c r="C20" s="931"/>
      <c r="D20" s="931"/>
      <c r="E20" s="121"/>
    </row>
    <row r="21" spans="1:5" s="1178" customFormat="1" ht="29.95" hidden="1" customHeight="1">
      <c r="A21" s="118"/>
      <c r="B21" s="119"/>
      <c r="C21" s="931"/>
      <c r="D21" s="931"/>
      <c r="E21" s="121"/>
    </row>
    <row r="22" spans="1:5" s="1178" customFormat="1" ht="29.95" hidden="1" customHeight="1">
      <c r="A22" s="118"/>
      <c r="B22" s="119"/>
      <c r="C22" s="931"/>
      <c r="D22" s="931"/>
      <c r="E22" s="121"/>
    </row>
    <row r="23" spans="1:5" s="1178" customFormat="1" ht="29.95" hidden="1" customHeight="1">
      <c r="A23" s="118"/>
      <c r="B23" s="119"/>
      <c r="C23" s="931"/>
      <c r="D23" s="931"/>
      <c r="E23" s="121"/>
    </row>
    <row r="24" spans="1:5" s="1178" customFormat="1" ht="29.95" hidden="1" customHeight="1">
      <c r="A24" s="118"/>
      <c r="B24" s="119"/>
      <c r="C24" s="931"/>
      <c r="D24" s="931"/>
      <c r="E24" s="121"/>
    </row>
    <row r="25" spans="1:5" s="1178" customFormat="1" ht="29.95" hidden="1" customHeight="1">
      <c r="A25" s="118"/>
      <c r="B25" s="119"/>
      <c r="C25" s="931"/>
      <c r="D25" s="931"/>
      <c r="E25" s="121"/>
    </row>
    <row r="26" spans="1:5" s="1178" customFormat="1" ht="29.95" hidden="1" customHeight="1">
      <c r="A26" s="118"/>
      <c r="B26" s="119"/>
      <c r="C26" s="931"/>
      <c r="D26" s="931"/>
      <c r="E26" s="121"/>
    </row>
    <row r="27" spans="1:5" s="1178" customFormat="1" ht="23.4" hidden="1" customHeight="1">
      <c r="A27" s="118"/>
      <c r="B27" s="119"/>
      <c r="C27" s="931"/>
      <c r="D27" s="931"/>
      <c r="E27" s="121"/>
    </row>
    <row r="28" spans="1:5" s="1178" customFormat="1" ht="29.3" hidden="1" customHeight="1">
      <c r="A28" s="118"/>
      <c r="B28" s="119"/>
      <c r="C28" s="931"/>
      <c r="D28" s="931"/>
      <c r="E28" s="121"/>
    </row>
    <row r="29" spans="1:5" s="1178" customFormat="1" ht="15.75" customHeight="1">
      <c r="A29" s="118"/>
      <c r="B29" s="119"/>
      <c r="C29" s="931"/>
      <c r="D29" s="931"/>
      <c r="E29" s="121"/>
    </row>
    <row r="30" spans="1:5" s="1163" customFormat="1" ht="27.85" customHeight="1">
      <c r="A30" s="113">
        <v>4416815</v>
      </c>
      <c r="B30" s="114" t="s">
        <v>309</v>
      </c>
      <c r="C30" s="115">
        <f>C9</f>
        <v>2948625</v>
      </c>
      <c r="D30" s="115">
        <f>D9</f>
        <v>3328801</v>
      </c>
      <c r="E30" s="116">
        <f>E9</f>
        <v>-380176</v>
      </c>
    </row>
    <row r="31" spans="1:5" s="1163" customFormat="1" ht="15.05" customHeight="1">
      <c r="A31" s="113"/>
      <c r="B31" s="114"/>
      <c r="C31" s="115"/>
      <c r="D31" s="115"/>
      <c r="E31" s="116"/>
    </row>
    <row r="32" spans="1:5" s="1163" customFormat="1" ht="29.3" customHeight="1">
      <c r="A32" s="113">
        <v>4416815</v>
      </c>
      <c r="B32" s="114" t="s">
        <v>310</v>
      </c>
      <c r="C32" s="115">
        <f>C33+C37</f>
        <v>2948625</v>
      </c>
      <c r="D32" s="115">
        <f>D33+D37</f>
        <v>3328801</v>
      </c>
      <c r="E32" s="116">
        <f>E33+E37</f>
        <v>-380176</v>
      </c>
    </row>
    <row r="33" spans="1:5" s="1163" customFormat="1" ht="28.5" customHeight="1">
      <c r="A33" s="113">
        <v>4191646</v>
      </c>
      <c r="B33" s="117" t="s">
        <v>311</v>
      </c>
      <c r="C33" s="115">
        <f>SUM(C34:C36)</f>
        <v>2770461</v>
      </c>
      <c r="D33" s="115">
        <f>SUM(D34:D36)</f>
        <v>3117461</v>
      </c>
      <c r="E33" s="116">
        <f>SUM(E34:E36)</f>
        <v>-347000</v>
      </c>
    </row>
    <row r="34" spans="1:5" s="1178" customFormat="1" ht="29.95" customHeight="1">
      <c r="A34" s="118">
        <v>3840000</v>
      </c>
      <c r="B34" s="119" t="s">
        <v>326</v>
      </c>
      <c r="C34" s="931">
        <v>2380000</v>
      </c>
      <c r="D34" s="931">
        <v>2727000</v>
      </c>
      <c r="E34" s="121">
        <f>C34-D34</f>
        <v>-347000</v>
      </c>
    </row>
    <row r="35" spans="1:5" s="1178" customFormat="1" ht="29.95" customHeight="1">
      <c r="A35" s="118">
        <v>125158</v>
      </c>
      <c r="B35" s="119" t="s">
        <v>312</v>
      </c>
      <c r="C35" s="931">
        <v>125158</v>
      </c>
      <c r="D35" s="931">
        <v>125158</v>
      </c>
      <c r="E35" s="131">
        <f>C35-D35</f>
        <v>0</v>
      </c>
    </row>
    <row r="36" spans="1:5" s="1178" customFormat="1" ht="29.95" customHeight="1">
      <c r="A36" s="118">
        <v>226488</v>
      </c>
      <c r="B36" s="119" t="s">
        <v>313</v>
      </c>
      <c r="C36" s="931">
        <v>265303</v>
      </c>
      <c r="D36" s="931">
        <v>265303</v>
      </c>
      <c r="E36" s="131">
        <f>C36-D36</f>
        <v>0</v>
      </c>
    </row>
    <row r="37" spans="1:5" s="1163" customFormat="1" ht="29.95" customHeight="1">
      <c r="A37" s="129">
        <v>225169</v>
      </c>
      <c r="B37" s="122" t="s">
        <v>315</v>
      </c>
      <c r="C37" s="130">
        <f>SUM(C38:C38)</f>
        <v>178164</v>
      </c>
      <c r="D37" s="130">
        <f>SUM(D38:D38)</f>
        <v>211340</v>
      </c>
      <c r="E37" s="116">
        <f>SUM(E38:E38)</f>
        <v>-33176</v>
      </c>
    </row>
    <row r="38" spans="1:5" s="1178" customFormat="1" ht="29.95" customHeight="1">
      <c r="A38" s="132">
        <v>225169</v>
      </c>
      <c r="B38" s="119" t="s">
        <v>316</v>
      </c>
      <c r="C38" s="128">
        <v>178164</v>
      </c>
      <c r="D38" s="128">
        <v>211340</v>
      </c>
      <c r="E38" s="121">
        <f>C38-D38</f>
        <v>-33176</v>
      </c>
    </row>
    <row r="39" spans="1:5" s="1163" customFormat="1" ht="22.6" customHeight="1">
      <c r="A39" s="129">
        <f>A40</f>
        <v>0</v>
      </c>
      <c r="B39" s="114" t="s">
        <v>318</v>
      </c>
      <c r="C39" s="130">
        <f t="shared" ref="C39:E40" si="0">C40</f>
        <v>0</v>
      </c>
      <c r="D39" s="130">
        <f t="shared" si="0"/>
        <v>0</v>
      </c>
      <c r="E39" s="131">
        <f t="shared" si="0"/>
        <v>0</v>
      </c>
    </row>
    <row r="40" spans="1:5" s="1163" customFormat="1" ht="29.95" customHeight="1">
      <c r="A40" s="129">
        <f>A41</f>
        <v>0</v>
      </c>
      <c r="B40" s="117" t="s">
        <v>373</v>
      </c>
      <c r="C40" s="130">
        <f t="shared" si="0"/>
        <v>0</v>
      </c>
      <c r="D40" s="130">
        <f t="shared" si="0"/>
        <v>0</v>
      </c>
      <c r="E40" s="131">
        <f t="shared" si="0"/>
        <v>0</v>
      </c>
    </row>
    <row r="41" spans="1:5" s="1178" customFormat="1" ht="49.25" customHeight="1">
      <c r="A41" s="132">
        <v>0</v>
      </c>
      <c r="B41" s="119" t="s">
        <v>321</v>
      </c>
      <c r="C41" s="128">
        <v>0</v>
      </c>
      <c r="D41" s="128">
        <v>0</v>
      </c>
      <c r="E41" s="123">
        <v>0</v>
      </c>
    </row>
    <row r="42" spans="1:5" s="1178" customFormat="1" ht="29.95" hidden="1" customHeight="1">
      <c r="A42" s="132"/>
      <c r="B42" s="119"/>
      <c r="C42" s="128"/>
      <c r="D42" s="128"/>
      <c r="E42" s="123"/>
    </row>
    <row r="43" spans="1:5" s="1178" customFormat="1" ht="29.95" hidden="1" customHeight="1">
      <c r="A43" s="132"/>
      <c r="B43" s="119"/>
      <c r="C43" s="128"/>
      <c r="D43" s="128"/>
      <c r="E43" s="123"/>
    </row>
    <row r="44" spans="1:5" s="1178" customFormat="1" ht="29.95" hidden="1" customHeight="1">
      <c r="A44" s="132"/>
      <c r="B44" s="119"/>
      <c r="C44" s="128"/>
      <c r="D44" s="128"/>
      <c r="E44" s="123"/>
    </row>
    <row r="45" spans="1:5" s="1178" customFormat="1" ht="29.95" hidden="1" customHeight="1">
      <c r="A45" s="132"/>
      <c r="B45" s="119"/>
      <c r="C45" s="128"/>
      <c r="D45" s="128"/>
      <c r="E45" s="123"/>
    </row>
    <row r="46" spans="1:5" s="1178" customFormat="1" ht="29.95" hidden="1" customHeight="1">
      <c r="A46" s="132"/>
      <c r="B46" s="119"/>
      <c r="C46" s="128"/>
      <c r="D46" s="128"/>
      <c r="E46" s="123"/>
    </row>
    <row r="47" spans="1:5" s="1178" customFormat="1" ht="29.95" hidden="1" customHeight="1">
      <c r="A47" s="132"/>
      <c r="B47" s="119"/>
      <c r="C47" s="128"/>
      <c r="D47" s="128"/>
      <c r="E47" s="123"/>
    </row>
    <row r="48" spans="1:5" s="1178" customFormat="1" ht="29.95" hidden="1" customHeight="1">
      <c r="A48" s="132"/>
      <c r="B48" s="119"/>
      <c r="C48" s="128"/>
      <c r="D48" s="128"/>
      <c r="E48" s="123"/>
    </row>
    <row r="49" spans="1:5" s="1178" customFormat="1" ht="2.95" hidden="1" customHeight="1">
      <c r="A49" s="132"/>
      <c r="B49" s="119"/>
      <c r="C49" s="128"/>
      <c r="D49" s="128"/>
      <c r="E49" s="123"/>
    </row>
    <row r="50" spans="1:5" s="1178" customFormat="1" ht="33.549999999999997" customHeight="1">
      <c r="A50" s="132"/>
      <c r="B50" s="119"/>
      <c r="C50" s="128"/>
      <c r="D50" s="128"/>
      <c r="E50" s="123"/>
    </row>
    <row r="51" spans="1:5" s="1178" customFormat="1" ht="20" customHeight="1">
      <c r="A51" s="132"/>
      <c r="B51" s="119"/>
      <c r="C51" s="128"/>
      <c r="D51" s="128"/>
      <c r="E51" s="123"/>
    </row>
    <row r="52" spans="1:5" s="1178" customFormat="1" ht="22.95" customHeight="1" thickBot="1">
      <c r="A52" s="124">
        <v>4416815</v>
      </c>
      <c r="B52" s="125" t="s">
        <v>309</v>
      </c>
      <c r="C52" s="126">
        <f>C32+C39</f>
        <v>2948625</v>
      </c>
      <c r="D52" s="126">
        <f>D32+D39</f>
        <v>3328801</v>
      </c>
      <c r="E52" s="127">
        <f>E32+E39</f>
        <v>-380176</v>
      </c>
    </row>
    <row r="53" spans="1:5">
      <c r="A53" s="6" t="s">
        <v>778</v>
      </c>
    </row>
  </sheetData>
  <mergeCells count="9">
    <mergeCell ref="A1:E1"/>
    <mergeCell ref="A2:E2"/>
    <mergeCell ref="A3:E3"/>
    <mergeCell ref="A4:E4"/>
    <mergeCell ref="A5:A7"/>
    <mergeCell ref="B5:B7"/>
    <mergeCell ref="C5:C7"/>
    <mergeCell ref="D5:D7"/>
    <mergeCell ref="E5:E7"/>
  </mergeCells>
  <phoneticPr fontId="5" type="noConversion"/>
  <printOptions horizontalCentered="1"/>
  <pageMargins left="0.59055118110236227" right="0.59055118110236227" top="0.59055118110236227" bottom="0.78740157480314965" header="0.51181102362204722" footer="0.51181102362204722"/>
  <pageSetup paperSize="9" firstPageNumber="4" orientation="portrait" useFirstPageNumber="1" r:id="rId1"/>
  <headerFooter alignWithMargins="0">
    <oddFooter>&amp;C&amp;"細明體,標準"附&amp;"Times New Roman,標準"3-&amp;P</odd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A1:O73"/>
  <sheetViews>
    <sheetView view="pageBreakPreview" zoomScaleNormal="100" zoomScaleSheetLayoutView="100" workbookViewId="0">
      <pane xSplit="3" ySplit="7" topLeftCell="D17" activePane="bottomRight" state="frozen"/>
      <selection activeCell="L13" sqref="L13"/>
      <selection pane="topRight" activeCell="L13" sqref="L13"/>
      <selection pane="bottomLeft" activeCell="L13" sqref="L13"/>
      <selection pane="bottomRight" activeCell="F31" sqref="F31"/>
    </sheetView>
  </sheetViews>
  <sheetFormatPr defaultColWidth="9" defaultRowHeight="16.399999999999999"/>
  <cols>
    <col min="1" max="1" width="10.5" style="2" customWidth="1"/>
    <col min="2" max="2" width="6.625" style="2" customWidth="1"/>
    <col min="3" max="3" width="20.75" style="594" customWidth="1"/>
    <col min="4" max="4" width="10.5" style="156" customWidth="1"/>
    <col min="5" max="5" width="7.375" style="282" customWidth="1"/>
    <col min="6" max="6" width="9.75" style="2" customWidth="1"/>
    <col min="7" max="7" width="7.625" style="2" customWidth="1"/>
    <col min="8" max="8" width="10.5" style="2" customWidth="1"/>
    <col min="9" max="9" width="6.625" style="2" customWidth="1"/>
    <col min="10" max="10" width="9" style="615"/>
    <col min="11" max="13" width="9.625" style="2" hidden="1" customWidth="1"/>
    <col min="14" max="16384" width="9" style="2"/>
  </cols>
  <sheetData>
    <row r="1" spans="1:15" ht="20.95" customHeight="1">
      <c r="A1" s="1266" t="s">
        <v>1295</v>
      </c>
      <c r="B1" s="1266"/>
      <c r="C1" s="1266"/>
      <c r="D1" s="1266"/>
      <c r="E1" s="1266"/>
      <c r="F1" s="1266"/>
      <c r="G1" s="1266"/>
      <c r="H1" s="1266"/>
      <c r="I1" s="1266"/>
    </row>
    <row r="2" spans="1:15" ht="20.95" customHeight="1">
      <c r="A2" s="1266" t="s">
        <v>1294</v>
      </c>
      <c r="B2" s="1266"/>
      <c r="C2" s="1266"/>
      <c r="D2" s="1266"/>
      <c r="E2" s="1266"/>
      <c r="F2" s="1266"/>
      <c r="G2" s="1266"/>
      <c r="H2" s="1266"/>
      <c r="I2" s="1266"/>
    </row>
    <row r="3" spans="1:15" ht="24.75" customHeight="1">
      <c r="A3" s="1509" t="s">
        <v>1733</v>
      </c>
      <c r="B3" s="1268"/>
      <c r="C3" s="1268"/>
      <c r="D3" s="1268"/>
      <c r="E3" s="1268"/>
      <c r="F3" s="1268"/>
      <c r="G3" s="1268"/>
      <c r="H3" s="1268"/>
      <c r="I3" s="1268"/>
    </row>
    <row r="4" spans="1:15" ht="24.9" customHeight="1" thickBot="1">
      <c r="A4" s="1336" t="s">
        <v>1758</v>
      </c>
      <c r="B4" s="1270"/>
      <c r="C4" s="1270"/>
      <c r="D4" s="1270"/>
      <c r="E4" s="1270"/>
      <c r="F4" s="1270"/>
      <c r="G4" s="1270"/>
      <c r="H4" s="1270"/>
      <c r="I4" s="1270"/>
      <c r="J4" s="615" t="s">
        <v>1425</v>
      </c>
    </row>
    <row r="5" spans="1:15" ht="20.95" customHeight="1">
      <c r="A5" s="1597" t="s">
        <v>292</v>
      </c>
      <c r="B5" s="1272"/>
      <c r="C5" s="1273" t="s">
        <v>15</v>
      </c>
      <c r="D5" s="1272" t="s">
        <v>293</v>
      </c>
      <c r="E5" s="1272"/>
      <c r="F5" s="1272" t="s">
        <v>294</v>
      </c>
      <c r="G5" s="1272"/>
      <c r="H5" s="1273" t="s">
        <v>1601</v>
      </c>
      <c r="I5" s="1599"/>
    </row>
    <row r="6" spans="1:15" ht="19.5" customHeight="1">
      <c r="A6" s="537" t="s">
        <v>1293</v>
      </c>
      <c r="B6" s="1177" t="s">
        <v>296</v>
      </c>
      <c r="C6" s="1598"/>
      <c r="D6" s="538" t="s">
        <v>1293</v>
      </c>
      <c r="E6" s="539" t="s">
        <v>296</v>
      </c>
      <c r="F6" s="1177" t="s">
        <v>1293</v>
      </c>
      <c r="G6" s="1177" t="s">
        <v>296</v>
      </c>
      <c r="H6" s="1177" t="s">
        <v>1293</v>
      </c>
      <c r="I6" s="540" t="s">
        <v>296</v>
      </c>
    </row>
    <row r="7" spans="1:15" ht="6.55" customHeight="1">
      <c r="A7" s="541"/>
      <c r="B7" s="166"/>
      <c r="C7" s="165"/>
      <c r="D7" s="542"/>
      <c r="E7" s="543"/>
      <c r="F7" s="166"/>
      <c r="G7" s="166"/>
      <c r="H7" s="166"/>
      <c r="I7" s="544"/>
    </row>
    <row r="8" spans="1:15" s="1163" customFormat="1" ht="26.05" customHeight="1">
      <c r="A8" s="305">
        <v>563283</v>
      </c>
      <c r="B8" s="545">
        <v>100</v>
      </c>
      <c r="C8" s="546" t="s">
        <v>16</v>
      </c>
      <c r="D8" s="547">
        <f>D13+D9+D17</f>
        <v>202325</v>
      </c>
      <c r="E8" s="545">
        <v>100</v>
      </c>
      <c r="F8" s="547">
        <f>F13+F9+F17</f>
        <v>675637</v>
      </c>
      <c r="G8" s="545">
        <v>100</v>
      </c>
      <c r="H8" s="548">
        <f t="shared" ref="H8:H39" si="0">D8-F8</f>
        <v>-473312</v>
      </c>
      <c r="I8" s="320">
        <f t="shared" ref="I8:I20" si="1">ROUND(H8/F8*100,2)</f>
        <v>-70.05</v>
      </c>
      <c r="J8" s="620"/>
      <c r="K8" s="612">
        <f t="shared" ref="K8:K39" si="2">ROUND(A8/$A$8*100,4)</f>
        <v>100</v>
      </c>
      <c r="L8" s="612">
        <f t="shared" ref="L8:L39" si="3">ROUND(D8/$D$8*100,4)</f>
        <v>100</v>
      </c>
      <c r="M8" s="612">
        <f t="shared" ref="M8:M39" si="4">ROUND(F8/$F$8*100,4)</f>
        <v>100</v>
      </c>
    </row>
    <row r="9" spans="1:15" s="1163" customFormat="1" ht="26.35" customHeight="1">
      <c r="A9" s="305">
        <v>87985</v>
      </c>
      <c r="B9" s="545">
        <f t="shared" ref="B9:B40" si="5">ROUND(A9/$A$8*100,2)</f>
        <v>15.62</v>
      </c>
      <c r="C9" s="546" t="s">
        <v>1290</v>
      </c>
      <c r="D9" s="547">
        <f>D10</f>
        <v>20600</v>
      </c>
      <c r="E9" s="550">
        <f t="shared" ref="E9:E40" si="6">ROUND(D9/$D$8*100,2)</f>
        <v>10.18</v>
      </c>
      <c r="F9" s="547">
        <f>F10</f>
        <v>72525</v>
      </c>
      <c r="G9" s="550">
        <f t="shared" ref="G9:G40" si="7">ROUND(F9/$F$8*100,2)</f>
        <v>10.73</v>
      </c>
      <c r="H9" s="548">
        <f t="shared" si="0"/>
        <v>-51925</v>
      </c>
      <c r="I9" s="320">
        <f t="shared" si="1"/>
        <v>-71.599999999999994</v>
      </c>
      <c r="J9" s="620"/>
      <c r="K9" s="612">
        <f t="shared" si="2"/>
        <v>15.62</v>
      </c>
      <c r="L9" s="612">
        <f t="shared" si="3"/>
        <v>10.1816</v>
      </c>
      <c r="M9" s="612">
        <f t="shared" si="4"/>
        <v>10.734299999999999</v>
      </c>
    </row>
    <row r="10" spans="1:15" s="1178" customFormat="1" ht="28.15" customHeight="1">
      <c r="A10" s="551">
        <v>87985</v>
      </c>
      <c r="B10" s="552">
        <f t="shared" si="5"/>
        <v>15.62</v>
      </c>
      <c r="C10" s="553" t="s">
        <v>1424</v>
      </c>
      <c r="D10" s="557">
        <f>SUM(D11:D12)</f>
        <v>20600</v>
      </c>
      <c r="E10" s="355">
        <f t="shared" si="6"/>
        <v>10.18</v>
      </c>
      <c r="F10" s="557">
        <f>SUM(F11:F12)</f>
        <v>72525</v>
      </c>
      <c r="G10" s="355">
        <f t="shared" si="7"/>
        <v>10.73</v>
      </c>
      <c r="H10" s="558">
        <f t="shared" si="0"/>
        <v>-51925</v>
      </c>
      <c r="I10" s="316">
        <f t="shared" si="1"/>
        <v>-71.599999999999994</v>
      </c>
      <c r="J10" s="617"/>
      <c r="K10" s="587">
        <f t="shared" si="2"/>
        <v>15.62</v>
      </c>
      <c r="L10" s="587">
        <f t="shared" si="3"/>
        <v>10.1816</v>
      </c>
      <c r="M10" s="587">
        <f t="shared" si="4"/>
        <v>10.734299999999999</v>
      </c>
    </row>
    <row r="11" spans="1:15" s="1178" customFormat="1" ht="28.15" customHeight="1">
      <c r="A11" s="551">
        <v>87353</v>
      </c>
      <c r="B11" s="552">
        <f t="shared" si="5"/>
        <v>15.51</v>
      </c>
      <c r="C11" s="553" t="s">
        <v>1417</v>
      </c>
      <c r="D11" s="557">
        <v>20484</v>
      </c>
      <c r="E11" s="355">
        <f t="shared" si="6"/>
        <v>10.119999999999999</v>
      </c>
      <c r="F11" s="557">
        <v>72194</v>
      </c>
      <c r="G11" s="355">
        <f t="shared" si="7"/>
        <v>10.69</v>
      </c>
      <c r="H11" s="558">
        <f t="shared" si="0"/>
        <v>-51710</v>
      </c>
      <c r="I11" s="316">
        <f t="shared" si="1"/>
        <v>-71.63</v>
      </c>
      <c r="J11" s="617"/>
      <c r="K11" s="587">
        <f t="shared" si="2"/>
        <v>15.5078</v>
      </c>
      <c r="L11" s="587">
        <f t="shared" si="3"/>
        <v>10.1243</v>
      </c>
      <c r="M11" s="587">
        <f t="shared" si="4"/>
        <v>10.6853</v>
      </c>
      <c r="O11" s="624"/>
    </row>
    <row r="12" spans="1:15" s="1178" customFormat="1" ht="28.15" customHeight="1">
      <c r="A12" s="551">
        <v>632</v>
      </c>
      <c r="B12" s="552">
        <f t="shared" si="5"/>
        <v>0.11</v>
      </c>
      <c r="C12" s="553" t="s">
        <v>1416</v>
      </c>
      <c r="D12" s="557">
        <v>116</v>
      </c>
      <c r="E12" s="355">
        <f t="shared" si="6"/>
        <v>0.06</v>
      </c>
      <c r="F12" s="557">
        <v>331</v>
      </c>
      <c r="G12" s="355">
        <f t="shared" si="7"/>
        <v>0.05</v>
      </c>
      <c r="H12" s="558">
        <f t="shared" si="0"/>
        <v>-215</v>
      </c>
      <c r="I12" s="316">
        <f t="shared" si="1"/>
        <v>-64.95</v>
      </c>
      <c r="J12" s="617"/>
      <c r="K12" s="587">
        <f t="shared" si="2"/>
        <v>0.11219999999999999</v>
      </c>
      <c r="L12" s="587">
        <f t="shared" si="3"/>
        <v>5.7299999999999997E-2</v>
      </c>
      <c r="M12" s="587">
        <f t="shared" si="4"/>
        <v>4.9000000000000002E-2</v>
      </c>
      <c r="O12" s="623"/>
    </row>
    <row r="13" spans="1:15" s="1163" customFormat="1" ht="26.05" customHeight="1">
      <c r="A13" s="305">
        <v>455298</v>
      </c>
      <c r="B13" s="545">
        <f t="shared" si="5"/>
        <v>80.83</v>
      </c>
      <c r="C13" s="546" t="s">
        <v>1423</v>
      </c>
      <c r="D13" s="547">
        <f>D14</f>
        <v>150725</v>
      </c>
      <c r="E13" s="550">
        <f t="shared" si="6"/>
        <v>74.5</v>
      </c>
      <c r="F13" s="547">
        <f>F14</f>
        <v>563112</v>
      </c>
      <c r="G13" s="550">
        <f t="shared" si="7"/>
        <v>83.35</v>
      </c>
      <c r="H13" s="548">
        <f t="shared" si="0"/>
        <v>-412387</v>
      </c>
      <c r="I13" s="320">
        <f t="shared" si="1"/>
        <v>-73.23</v>
      </c>
      <c r="J13" s="620"/>
      <c r="K13" s="612">
        <f t="shared" si="2"/>
        <v>80.829400000000007</v>
      </c>
      <c r="L13" s="612">
        <f t="shared" si="3"/>
        <v>74.496499999999997</v>
      </c>
      <c r="M13" s="612">
        <f t="shared" si="4"/>
        <v>83.345299999999995</v>
      </c>
    </row>
    <row r="14" spans="1:15" s="1178" customFormat="1" ht="28.15" customHeight="1">
      <c r="A14" s="551">
        <v>455298</v>
      </c>
      <c r="B14" s="552">
        <f t="shared" si="5"/>
        <v>80.83</v>
      </c>
      <c r="C14" s="568" t="s">
        <v>1282</v>
      </c>
      <c r="D14" s="557">
        <f>SUM(D15:D16)</f>
        <v>150725</v>
      </c>
      <c r="E14" s="355">
        <f t="shared" si="6"/>
        <v>74.5</v>
      </c>
      <c r="F14" s="557">
        <f>SUM(F15:F16)</f>
        <v>563112</v>
      </c>
      <c r="G14" s="355">
        <f t="shared" si="7"/>
        <v>83.35</v>
      </c>
      <c r="H14" s="558">
        <f t="shared" si="0"/>
        <v>-412387</v>
      </c>
      <c r="I14" s="316">
        <f t="shared" si="1"/>
        <v>-73.23</v>
      </c>
      <c r="J14" s="617"/>
      <c r="K14" s="587">
        <f t="shared" si="2"/>
        <v>80.829400000000007</v>
      </c>
      <c r="L14" s="587">
        <f t="shared" si="3"/>
        <v>74.496499999999997</v>
      </c>
      <c r="M14" s="587">
        <f t="shared" si="4"/>
        <v>83.345299999999995</v>
      </c>
    </row>
    <row r="15" spans="1:15" s="1178" customFormat="1" ht="28.15" customHeight="1">
      <c r="A15" s="551">
        <v>437779</v>
      </c>
      <c r="B15" s="552">
        <f t="shared" si="5"/>
        <v>77.72</v>
      </c>
      <c r="C15" s="553" t="s">
        <v>1417</v>
      </c>
      <c r="D15" s="557">
        <v>150725</v>
      </c>
      <c r="E15" s="355">
        <f t="shared" si="6"/>
        <v>74.5</v>
      </c>
      <c r="F15" s="557">
        <v>555233</v>
      </c>
      <c r="G15" s="355">
        <f t="shared" si="7"/>
        <v>82.18</v>
      </c>
      <c r="H15" s="558">
        <f t="shared" si="0"/>
        <v>-404508</v>
      </c>
      <c r="I15" s="316">
        <f t="shared" si="1"/>
        <v>-72.849999999999994</v>
      </c>
      <c r="J15" s="617"/>
      <c r="K15" s="587">
        <f t="shared" si="2"/>
        <v>77.719200000000001</v>
      </c>
      <c r="L15" s="587">
        <f t="shared" si="3"/>
        <v>74.496499999999997</v>
      </c>
      <c r="M15" s="587">
        <f t="shared" si="4"/>
        <v>82.179199999999994</v>
      </c>
    </row>
    <row r="16" spans="1:15" s="1178" customFormat="1" ht="28.15" customHeight="1">
      <c r="A16" s="569">
        <v>17519</v>
      </c>
      <c r="B16" s="552">
        <f t="shared" si="5"/>
        <v>3.11</v>
      </c>
      <c r="C16" s="553" t="s">
        <v>1416</v>
      </c>
      <c r="D16" s="554">
        <v>0</v>
      </c>
      <c r="E16" s="355">
        <f t="shared" si="6"/>
        <v>0</v>
      </c>
      <c r="F16" s="554">
        <v>7879</v>
      </c>
      <c r="G16" s="355">
        <f t="shared" si="7"/>
        <v>1.17</v>
      </c>
      <c r="H16" s="315">
        <f t="shared" si="0"/>
        <v>-7879</v>
      </c>
      <c r="I16" s="316">
        <f t="shared" si="1"/>
        <v>-100</v>
      </c>
      <c r="J16" s="617"/>
      <c r="K16" s="587">
        <f t="shared" si="2"/>
        <v>3.1101999999999999</v>
      </c>
      <c r="L16" s="587">
        <f t="shared" si="3"/>
        <v>0</v>
      </c>
      <c r="M16" s="587">
        <f t="shared" si="4"/>
        <v>1.1661999999999999</v>
      </c>
    </row>
    <row r="17" spans="1:13" s="1163" customFormat="1" ht="26.35" customHeight="1">
      <c r="A17" s="305">
        <v>20000</v>
      </c>
      <c r="B17" s="545">
        <f t="shared" si="5"/>
        <v>3.55</v>
      </c>
      <c r="C17" s="546" t="s">
        <v>1281</v>
      </c>
      <c r="D17" s="547">
        <f>+D20+D18</f>
        <v>31000</v>
      </c>
      <c r="E17" s="550">
        <f t="shared" si="6"/>
        <v>15.32</v>
      </c>
      <c r="F17" s="547">
        <f>+F20+F18</f>
        <v>40000</v>
      </c>
      <c r="G17" s="550">
        <f t="shared" si="7"/>
        <v>5.92</v>
      </c>
      <c r="H17" s="548">
        <f t="shared" si="0"/>
        <v>-9000</v>
      </c>
      <c r="I17" s="320">
        <f t="shared" si="1"/>
        <v>-22.5</v>
      </c>
      <c r="J17" s="620"/>
      <c r="K17" s="612">
        <f t="shared" si="2"/>
        <v>3.5506000000000002</v>
      </c>
      <c r="L17" s="612">
        <f t="shared" si="3"/>
        <v>15.321899999999999</v>
      </c>
      <c r="M17" s="612">
        <f t="shared" si="4"/>
        <v>5.9203000000000001</v>
      </c>
    </row>
    <row r="18" spans="1:13" s="1178" customFormat="1" ht="28.15" customHeight="1">
      <c r="A18" s="569">
        <v>20000</v>
      </c>
      <c r="B18" s="552">
        <f t="shared" si="5"/>
        <v>3.55</v>
      </c>
      <c r="C18" s="571" t="s">
        <v>1280</v>
      </c>
      <c r="D18" s="557">
        <f>D19</f>
        <v>31000</v>
      </c>
      <c r="E18" s="355">
        <f t="shared" si="6"/>
        <v>15.32</v>
      </c>
      <c r="F18" s="557">
        <f>F19</f>
        <v>40000</v>
      </c>
      <c r="G18" s="355">
        <f t="shared" si="7"/>
        <v>5.92</v>
      </c>
      <c r="H18" s="558">
        <f t="shared" si="0"/>
        <v>-9000</v>
      </c>
      <c r="I18" s="316">
        <f t="shared" si="1"/>
        <v>-22.5</v>
      </c>
      <c r="J18" s="617"/>
      <c r="K18" s="587">
        <f t="shared" si="2"/>
        <v>3.5506000000000002</v>
      </c>
      <c r="L18" s="587">
        <f t="shared" si="3"/>
        <v>15.321899999999999</v>
      </c>
      <c r="M18" s="587">
        <f t="shared" si="4"/>
        <v>5.9203000000000001</v>
      </c>
    </row>
    <row r="19" spans="1:13" s="1178" customFormat="1" ht="28.15" customHeight="1">
      <c r="A19" s="551">
        <v>20000</v>
      </c>
      <c r="B19" s="552">
        <f t="shared" si="5"/>
        <v>3.55</v>
      </c>
      <c r="C19" s="553" t="s">
        <v>1416</v>
      </c>
      <c r="D19" s="557">
        <v>31000</v>
      </c>
      <c r="E19" s="355">
        <f t="shared" si="6"/>
        <v>15.32</v>
      </c>
      <c r="F19" s="557">
        <v>40000</v>
      </c>
      <c r="G19" s="355">
        <f t="shared" si="7"/>
        <v>5.92</v>
      </c>
      <c r="H19" s="558">
        <f t="shared" si="0"/>
        <v>-9000</v>
      </c>
      <c r="I19" s="316">
        <f t="shared" si="1"/>
        <v>-22.5</v>
      </c>
      <c r="J19" s="617"/>
      <c r="K19" s="587">
        <f t="shared" si="2"/>
        <v>3.5506000000000002</v>
      </c>
      <c r="L19" s="587">
        <f t="shared" si="3"/>
        <v>15.321899999999999</v>
      </c>
      <c r="M19" s="587">
        <f t="shared" si="4"/>
        <v>5.9203000000000001</v>
      </c>
    </row>
    <row r="20" spans="1:13" s="1178" customFormat="1" ht="28.15" hidden="1" customHeight="1">
      <c r="A20" s="569">
        <v>0</v>
      </c>
      <c r="B20" s="552">
        <f t="shared" si="5"/>
        <v>0</v>
      </c>
      <c r="C20" s="571" t="s">
        <v>1279</v>
      </c>
      <c r="D20" s="554">
        <f>D22</f>
        <v>0</v>
      </c>
      <c r="E20" s="355">
        <f t="shared" si="6"/>
        <v>0</v>
      </c>
      <c r="F20" s="557">
        <f>F22</f>
        <v>0</v>
      </c>
      <c r="G20" s="355">
        <f t="shared" si="7"/>
        <v>0</v>
      </c>
      <c r="H20" s="558">
        <f t="shared" si="0"/>
        <v>0</v>
      </c>
      <c r="I20" s="316" t="e">
        <f t="shared" si="1"/>
        <v>#DIV/0!</v>
      </c>
      <c r="J20" s="617"/>
      <c r="K20" s="587">
        <f t="shared" si="2"/>
        <v>0</v>
      </c>
      <c r="L20" s="587">
        <f t="shared" si="3"/>
        <v>0</v>
      </c>
      <c r="M20" s="587">
        <f t="shared" si="4"/>
        <v>0</v>
      </c>
    </row>
    <row r="21" spans="1:13" s="1178" customFormat="1" ht="28.15" hidden="1" customHeight="1">
      <c r="A21" s="868">
        <v>0</v>
      </c>
      <c r="B21" s="355">
        <f t="shared" si="5"/>
        <v>0</v>
      </c>
      <c r="C21" s="553" t="s">
        <v>1417</v>
      </c>
      <c r="D21" s="355">
        <v>0</v>
      </c>
      <c r="E21" s="355">
        <f t="shared" si="6"/>
        <v>0</v>
      </c>
      <c r="F21" s="355">
        <v>0</v>
      </c>
      <c r="G21" s="355">
        <f t="shared" si="7"/>
        <v>0</v>
      </c>
      <c r="H21" s="355">
        <f t="shared" si="0"/>
        <v>0</v>
      </c>
      <c r="I21" s="314">
        <v>0</v>
      </c>
      <c r="J21" s="617"/>
      <c r="K21" s="587">
        <f t="shared" si="2"/>
        <v>0</v>
      </c>
      <c r="L21" s="587">
        <f t="shared" si="3"/>
        <v>0</v>
      </c>
      <c r="M21" s="587">
        <f t="shared" si="4"/>
        <v>0</v>
      </c>
    </row>
    <row r="22" spans="1:13" s="1178" customFormat="1" ht="28.15" hidden="1" customHeight="1">
      <c r="A22" s="551">
        <v>0</v>
      </c>
      <c r="B22" s="552">
        <f t="shared" si="5"/>
        <v>0</v>
      </c>
      <c r="C22" s="553" t="s">
        <v>1416</v>
      </c>
      <c r="D22" s="355">
        <v>0</v>
      </c>
      <c r="E22" s="355">
        <f t="shared" si="6"/>
        <v>0</v>
      </c>
      <c r="F22" s="557">
        <v>0</v>
      </c>
      <c r="G22" s="355">
        <f t="shared" si="7"/>
        <v>0</v>
      </c>
      <c r="H22" s="558">
        <f t="shared" si="0"/>
        <v>0</v>
      </c>
      <c r="I22" s="316" t="e">
        <f>ROUND(H22/F22*100,2)</f>
        <v>#DIV/0!</v>
      </c>
      <c r="J22" s="617"/>
      <c r="K22" s="587">
        <f t="shared" si="2"/>
        <v>0</v>
      </c>
      <c r="L22" s="587">
        <f t="shared" si="3"/>
        <v>0</v>
      </c>
      <c r="M22" s="587">
        <f t="shared" si="4"/>
        <v>0</v>
      </c>
    </row>
    <row r="23" spans="1:13" s="1163" customFormat="1" ht="26.35" customHeight="1">
      <c r="A23" s="305">
        <v>567477</v>
      </c>
      <c r="B23" s="545">
        <f t="shared" si="5"/>
        <v>100.74</v>
      </c>
      <c r="C23" s="546" t="s">
        <v>1278</v>
      </c>
      <c r="D23" s="547">
        <f>D28+D36+D24</f>
        <v>203105</v>
      </c>
      <c r="E23" s="550">
        <f t="shared" si="6"/>
        <v>100.39</v>
      </c>
      <c r="F23" s="547">
        <f>F28+F36+F24</f>
        <v>679387</v>
      </c>
      <c r="G23" s="550">
        <f t="shared" si="7"/>
        <v>100.56</v>
      </c>
      <c r="H23" s="548">
        <f t="shared" si="0"/>
        <v>-476282</v>
      </c>
      <c r="I23" s="320">
        <f>ROUND(H23/F23*100,2)</f>
        <v>-70.099999999999994</v>
      </c>
      <c r="J23" s="620"/>
      <c r="K23" s="612">
        <f t="shared" si="2"/>
        <v>100.74460000000001</v>
      </c>
      <c r="L23" s="612">
        <f t="shared" si="3"/>
        <v>100.38549999999999</v>
      </c>
      <c r="M23" s="612">
        <f t="shared" si="4"/>
        <v>100.55500000000001</v>
      </c>
    </row>
    <row r="24" spans="1:13" s="1163" customFormat="1" ht="26.35" customHeight="1">
      <c r="A24" s="305">
        <v>25</v>
      </c>
      <c r="B24" s="309">
        <f t="shared" si="5"/>
        <v>0</v>
      </c>
      <c r="C24" s="546" t="s">
        <v>1275</v>
      </c>
      <c r="D24" s="547">
        <f>+D25</f>
        <v>2</v>
      </c>
      <c r="E24" s="550">
        <f t="shared" si="6"/>
        <v>0</v>
      </c>
      <c r="F24" s="547">
        <f>+F25</f>
        <v>30</v>
      </c>
      <c r="G24" s="550">
        <f t="shared" si="7"/>
        <v>0</v>
      </c>
      <c r="H24" s="548">
        <f t="shared" si="0"/>
        <v>-28</v>
      </c>
      <c r="I24" s="311">
        <f>ROUND(H24/F24*100,2)</f>
        <v>-93.33</v>
      </c>
      <c r="J24" s="620"/>
      <c r="K24" s="612">
        <f t="shared" si="2"/>
        <v>4.4000000000000003E-3</v>
      </c>
      <c r="L24" s="612">
        <f t="shared" si="3"/>
        <v>1E-3</v>
      </c>
      <c r="M24" s="612">
        <f t="shared" si="4"/>
        <v>4.4000000000000003E-3</v>
      </c>
    </row>
    <row r="25" spans="1:13" s="1178" customFormat="1" ht="28.15" customHeight="1">
      <c r="A25" s="551">
        <v>25</v>
      </c>
      <c r="B25" s="312">
        <f t="shared" si="5"/>
        <v>0</v>
      </c>
      <c r="C25" s="553" t="s">
        <v>1274</v>
      </c>
      <c r="D25" s="557">
        <f>+D26+D27</f>
        <v>2</v>
      </c>
      <c r="E25" s="355">
        <f t="shared" si="6"/>
        <v>0</v>
      </c>
      <c r="F25" s="557">
        <f>+F26+F27</f>
        <v>30</v>
      </c>
      <c r="G25" s="355">
        <f t="shared" si="7"/>
        <v>0</v>
      </c>
      <c r="H25" s="315">
        <f t="shared" si="0"/>
        <v>-28</v>
      </c>
      <c r="I25" s="314">
        <f>ROUND(H25/F25*100,2)</f>
        <v>-93.33</v>
      </c>
      <c r="J25" s="617"/>
      <c r="K25" s="587">
        <f t="shared" si="2"/>
        <v>4.4000000000000003E-3</v>
      </c>
      <c r="L25" s="587">
        <f t="shared" si="3"/>
        <v>1E-3</v>
      </c>
      <c r="M25" s="587">
        <f t="shared" si="4"/>
        <v>4.4000000000000003E-3</v>
      </c>
    </row>
    <row r="26" spans="1:13" s="1178" customFormat="1" ht="28.15" customHeight="1">
      <c r="A26" s="551">
        <v>25</v>
      </c>
      <c r="B26" s="312">
        <f t="shared" si="5"/>
        <v>0</v>
      </c>
      <c r="C26" s="553" t="s">
        <v>1417</v>
      </c>
      <c r="D26" s="557">
        <v>2</v>
      </c>
      <c r="E26" s="355">
        <f t="shared" si="6"/>
        <v>0</v>
      </c>
      <c r="F26" s="557">
        <v>30</v>
      </c>
      <c r="G26" s="355">
        <f t="shared" si="7"/>
        <v>0</v>
      </c>
      <c r="H26" s="315">
        <f t="shared" si="0"/>
        <v>-28</v>
      </c>
      <c r="I26" s="314">
        <f>ROUND(H26/F26*100,2)</f>
        <v>-93.33</v>
      </c>
      <c r="J26" s="617"/>
      <c r="K26" s="587">
        <f t="shared" si="2"/>
        <v>4.4000000000000003E-3</v>
      </c>
      <c r="L26" s="587">
        <f t="shared" si="3"/>
        <v>1E-3</v>
      </c>
      <c r="M26" s="587">
        <f t="shared" si="4"/>
        <v>4.4000000000000003E-3</v>
      </c>
    </row>
    <row r="27" spans="1:13" s="1178" customFormat="1" ht="28.15" hidden="1" customHeight="1">
      <c r="A27" s="569">
        <v>0</v>
      </c>
      <c r="B27" s="312">
        <f t="shared" si="5"/>
        <v>0</v>
      </c>
      <c r="C27" s="553" t="s">
        <v>1416</v>
      </c>
      <c r="D27" s="355">
        <v>0</v>
      </c>
      <c r="E27" s="355">
        <f t="shared" si="6"/>
        <v>0</v>
      </c>
      <c r="F27" s="355">
        <v>0</v>
      </c>
      <c r="G27" s="355">
        <f t="shared" si="7"/>
        <v>0</v>
      </c>
      <c r="H27" s="554">
        <f t="shared" si="0"/>
        <v>0</v>
      </c>
      <c r="I27" s="314">
        <v>0</v>
      </c>
      <c r="J27" s="617"/>
      <c r="K27" s="587">
        <f t="shared" si="2"/>
        <v>0</v>
      </c>
      <c r="L27" s="587">
        <f t="shared" si="3"/>
        <v>0</v>
      </c>
      <c r="M27" s="587">
        <f t="shared" si="4"/>
        <v>0</v>
      </c>
    </row>
    <row r="28" spans="1:13" s="1178" customFormat="1" ht="26.35" customHeight="1">
      <c r="A28" s="305">
        <v>527184</v>
      </c>
      <c r="B28" s="545">
        <f t="shared" si="5"/>
        <v>93.59</v>
      </c>
      <c r="C28" s="546" t="s">
        <v>1422</v>
      </c>
      <c r="D28" s="547">
        <f>+D29+D33+D31</f>
        <v>187217</v>
      </c>
      <c r="E28" s="550">
        <f t="shared" si="6"/>
        <v>92.53</v>
      </c>
      <c r="F28" s="547">
        <f>+F29+F33</f>
        <v>627397</v>
      </c>
      <c r="G28" s="550">
        <f t="shared" si="7"/>
        <v>92.86</v>
      </c>
      <c r="H28" s="319">
        <f t="shared" si="0"/>
        <v>-440180</v>
      </c>
      <c r="I28" s="320">
        <f>ROUND(H28/F28*100,2)</f>
        <v>-70.16</v>
      </c>
      <c r="J28" s="617"/>
      <c r="K28" s="587">
        <f t="shared" si="2"/>
        <v>93.591300000000004</v>
      </c>
      <c r="L28" s="587">
        <f t="shared" si="3"/>
        <v>92.532799999999995</v>
      </c>
      <c r="M28" s="587">
        <f t="shared" si="4"/>
        <v>92.860100000000003</v>
      </c>
    </row>
    <row r="29" spans="1:13" s="1178" customFormat="1" ht="28.15" customHeight="1">
      <c r="A29" s="551">
        <v>526300</v>
      </c>
      <c r="B29" s="552">
        <f t="shared" si="5"/>
        <v>93.43</v>
      </c>
      <c r="C29" s="553" t="s">
        <v>1421</v>
      </c>
      <c r="D29" s="557">
        <f>+D30</f>
        <v>171207</v>
      </c>
      <c r="E29" s="355">
        <f t="shared" si="6"/>
        <v>84.62</v>
      </c>
      <c r="F29" s="557">
        <f>+F30</f>
        <v>627397</v>
      </c>
      <c r="G29" s="355">
        <f t="shared" si="7"/>
        <v>92.86</v>
      </c>
      <c r="H29" s="315">
        <f t="shared" si="0"/>
        <v>-456190</v>
      </c>
      <c r="I29" s="316">
        <f>ROUND(H29/F29*100,2)</f>
        <v>-72.709999999999994</v>
      </c>
      <c r="J29" s="617"/>
      <c r="K29" s="587">
        <f t="shared" si="2"/>
        <v>93.434399999999997</v>
      </c>
      <c r="L29" s="587">
        <f t="shared" si="3"/>
        <v>84.619799999999998</v>
      </c>
      <c r="M29" s="587">
        <f t="shared" si="4"/>
        <v>92.860100000000003</v>
      </c>
    </row>
    <row r="30" spans="1:13" s="1178" customFormat="1" ht="27" customHeight="1">
      <c r="A30" s="551">
        <v>526300</v>
      </c>
      <c r="B30" s="552">
        <f t="shared" si="5"/>
        <v>93.43</v>
      </c>
      <c r="C30" s="553" t="s">
        <v>1420</v>
      </c>
      <c r="D30" s="557">
        <v>171207</v>
      </c>
      <c r="E30" s="355">
        <f t="shared" si="6"/>
        <v>84.62</v>
      </c>
      <c r="F30" s="557">
        <v>627397</v>
      </c>
      <c r="G30" s="355">
        <f t="shared" si="7"/>
        <v>92.86</v>
      </c>
      <c r="H30" s="558">
        <f t="shared" si="0"/>
        <v>-456190</v>
      </c>
      <c r="I30" s="316">
        <f>ROUND(H30/F30*100,2)</f>
        <v>-72.709999999999994</v>
      </c>
      <c r="J30" s="617"/>
      <c r="K30" s="587">
        <f t="shared" si="2"/>
        <v>93.434399999999997</v>
      </c>
      <c r="L30" s="587">
        <f t="shared" si="3"/>
        <v>84.619799999999998</v>
      </c>
      <c r="M30" s="587">
        <f t="shared" si="4"/>
        <v>92.860100000000003</v>
      </c>
    </row>
    <row r="31" spans="1:13" s="1178" customFormat="1" ht="28.15" customHeight="1">
      <c r="A31" s="569">
        <v>0</v>
      </c>
      <c r="B31" s="312">
        <f t="shared" si="5"/>
        <v>0</v>
      </c>
      <c r="C31" s="553" t="s">
        <v>1269</v>
      </c>
      <c r="D31" s="554">
        <f>SUM(D32:D32)</f>
        <v>16010</v>
      </c>
      <c r="E31" s="355">
        <f t="shared" si="6"/>
        <v>7.91</v>
      </c>
      <c r="F31" s="554">
        <f>SUM(F32:F32)</f>
        <v>0</v>
      </c>
      <c r="G31" s="355">
        <f t="shared" si="7"/>
        <v>0</v>
      </c>
      <c r="H31" s="554">
        <f t="shared" si="0"/>
        <v>16010</v>
      </c>
      <c r="I31" s="555">
        <v>0</v>
      </c>
      <c r="J31" s="617"/>
      <c r="K31" s="587">
        <f t="shared" si="2"/>
        <v>0</v>
      </c>
      <c r="L31" s="587">
        <f t="shared" si="3"/>
        <v>7.9130000000000003</v>
      </c>
      <c r="M31" s="587">
        <f t="shared" si="4"/>
        <v>0</v>
      </c>
    </row>
    <row r="32" spans="1:13" s="1178" customFormat="1" ht="28.15" customHeight="1">
      <c r="A32" s="569">
        <v>0</v>
      </c>
      <c r="B32" s="312">
        <f t="shared" si="5"/>
        <v>0</v>
      </c>
      <c r="C32" s="553" t="s">
        <v>1416</v>
      </c>
      <c r="D32" s="554">
        <v>16010</v>
      </c>
      <c r="E32" s="355">
        <f t="shared" si="6"/>
        <v>7.91</v>
      </c>
      <c r="F32" s="554">
        <v>0</v>
      </c>
      <c r="G32" s="355">
        <f t="shared" si="7"/>
        <v>0</v>
      </c>
      <c r="H32" s="554">
        <f t="shared" si="0"/>
        <v>16010</v>
      </c>
      <c r="I32" s="555">
        <v>0</v>
      </c>
      <c r="J32" s="617"/>
      <c r="K32" s="587">
        <f t="shared" si="2"/>
        <v>0</v>
      </c>
      <c r="L32" s="587">
        <f t="shared" si="3"/>
        <v>7.9130000000000003</v>
      </c>
      <c r="M32" s="587">
        <f t="shared" si="4"/>
        <v>0</v>
      </c>
    </row>
    <row r="33" spans="1:13" s="1178" customFormat="1" ht="26.35" customHeight="1">
      <c r="A33" s="569">
        <v>884</v>
      </c>
      <c r="B33" s="552">
        <f t="shared" si="5"/>
        <v>0.16</v>
      </c>
      <c r="C33" s="553" t="s">
        <v>1419</v>
      </c>
      <c r="D33" s="554">
        <f>SUM(D34:D35)</f>
        <v>0</v>
      </c>
      <c r="E33" s="355">
        <f t="shared" si="6"/>
        <v>0</v>
      </c>
      <c r="F33" s="554">
        <f>SUM(F34:F35)</f>
        <v>0</v>
      </c>
      <c r="G33" s="355">
        <f t="shared" si="7"/>
        <v>0</v>
      </c>
      <c r="H33" s="355">
        <f t="shared" si="0"/>
        <v>0</v>
      </c>
      <c r="I33" s="314">
        <v>0</v>
      </c>
      <c r="J33" s="870"/>
      <c r="K33" s="587">
        <f t="shared" si="2"/>
        <v>0.15690000000000001</v>
      </c>
      <c r="L33" s="587">
        <f t="shared" si="3"/>
        <v>0</v>
      </c>
      <c r="M33" s="587">
        <f t="shared" si="4"/>
        <v>0</v>
      </c>
    </row>
    <row r="34" spans="1:13" s="1178" customFormat="1" ht="28.15" customHeight="1" thickBot="1">
      <c r="A34" s="622">
        <v>140</v>
      </c>
      <c r="B34" s="563">
        <f t="shared" si="5"/>
        <v>0.02</v>
      </c>
      <c r="C34" s="564" t="s">
        <v>1417</v>
      </c>
      <c r="D34" s="606">
        <v>0</v>
      </c>
      <c r="E34" s="377">
        <f t="shared" si="6"/>
        <v>0</v>
      </c>
      <c r="F34" s="606">
        <v>0</v>
      </c>
      <c r="G34" s="377">
        <f t="shared" si="7"/>
        <v>0</v>
      </c>
      <c r="H34" s="377">
        <f t="shared" si="0"/>
        <v>0</v>
      </c>
      <c r="I34" s="981">
        <v>0</v>
      </c>
      <c r="J34" s="870"/>
      <c r="K34" s="587">
        <f t="shared" si="2"/>
        <v>2.4899999999999999E-2</v>
      </c>
      <c r="L34" s="587">
        <f t="shared" si="3"/>
        <v>0</v>
      </c>
      <c r="M34" s="587">
        <f t="shared" si="4"/>
        <v>0</v>
      </c>
    </row>
    <row r="35" spans="1:13" s="1178" customFormat="1" ht="27" customHeight="1">
      <c r="A35" s="569">
        <v>743</v>
      </c>
      <c r="B35" s="552">
        <f t="shared" si="5"/>
        <v>0.13</v>
      </c>
      <c r="C35" s="553" t="s">
        <v>1416</v>
      </c>
      <c r="D35" s="554">
        <v>0</v>
      </c>
      <c r="E35" s="355">
        <f t="shared" si="6"/>
        <v>0</v>
      </c>
      <c r="F35" s="554">
        <v>0</v>
      </c>
      <c r="G35" s="355">
        <f t="shared" si="7"/>
        <v>0</v>
      </c>
      <c r="H35" s="355">
        <f t="shared" si="0"/>
        <v>0</v>
      </c>
      <c r="I35" s="314">
        <v>0</v>
      </c>
      <c r="J35" s="870"/>
      <c r="K35" s="587">
        <f t="shared" si="2"/>
        <v>0.13189999999999999</v>
      </c>
      <c r="L35" s="587">
        <f t="shared" si="3"/>
        <v>0</v>
      </c>
      <c r="M35" s="587">
        <f t="shared" si="4"/>
        <v>0</v>
      </c>
    </row>
    <row r="36" spans="1:13" s="1163" customFormat="1" ht="26.35" customHeight="1">
      <c r="A36" s="305">
        <v>40268</v>
      </c>
      <c r="B36" s="545">
        <f t="shared" si="5"/>
        <v>7.15</v>
      </c>
      <c r="C36" s="546" t="s">
        <v>1267</v>
      </c>
      <c r="D36" s="547">
        <f>SUM(D37:D37)</f>
        <v>15886</v>
      </c>
      <c r="E36" s="550">
        <f t="shared" si="6"/>
        <v>7.85</v>
      </c>
      <c r="F36" s="547">
        <f>SUM(F37:F37)</f>
        <v>51960</v>
      </c>
      <c r="G36" s="550">
        <f t="shared" si="7"/>
        <v>7.69</v>
      </c>
      <c r="H36" s="319">
        <f t="shared" si="0"/>
        <v>-36074</v>
      </c>
      <c r="I36" s="320">
        <f>ROUND(H36/F36*100,2)</f>
        <v>-69.430000000000007</v>
      </c>
      <c r="J36" s="871"/>
      <c r="K36" s="612">
        <f t="shared" si="2"/>
        <v>7.1487999999999996</v>
      </c>
      <c r="L36" s="612">
        <f t="shared" si="3"/>
        <v>7.8517000000000001</v>
      </c>
      <c r="M36" s="612">
        <f t="shared" si="4"/>
        <v>7.6905000000000001</v>
      </c>
    </row>
    <row r="37" spans="1:13" s="1178" customFormat="1" ht="30.6" customHeight="1">
      <c r="A37" s="551">
        <v>40268</v>
      </c>
      <c r="B37" s="552">
        <f t="shared" si="5"/>
        <v>7.15</v>
      </c>
      <c r="C37" s="553" t="s">
        <v>1418</v>
      </c>
      <c r="D37" s="557">
        <f>SUM(D38:D38)</f>
        <v>15886</v>
      </c>
      <c r="E37" s="355">
        <f t="shared" si="6"/>
        <v>7.85</v>
      </c>
      <c r="F37" s="557">
        <f>SUM(F38:F38)</f>
        <v>51960</v>
      </c>
      <c r="G37" s="355">
        <f t="shared" si="7"/>
        <v>7.69</v>
      </c>
      <c r="H37" s="315">
        <f t="shared" si="0"/>
        <v>-36074</v>
      </c>
      <c r="I37" s="316">
        <f>ROUND(H37/F37*100,2)</f>
        <v>-69.430000000000007</v>
      </c>
      <c r="J37" s="870"/>
      <c r="K37" s="587">
        <f t="shared" si="2"/>
        <v>7.1487999999999996</v>
      </c>
      <c r="L37" s="587">
        <f t="shared" si="3"/>
        <v>7.8517000000000001</v>
      </c>
      <c r="M37" s="587">
        <f t="shared" si="4"/>
        <v>7.6905000000000001</v>
      </c>
    </row>
    <row r="38" spans="1:13" s="1178" customFormat="1" ht="29.95" customHeight="1">
      <c r="A38" s="551">
        <v>40268</v>
      </c>
      <c r="B38" s="552">
        <f t="shared" si="5"/>
        <v>7.15</v>
      </c>
      <c r="C38" s="553" t="s">
        <v>1416</v>
      </c>
      <c r="D38" s="557">
        <v>15886</v>
      </c>
      <c r="E38" s="355">
        <f t="shared" si="6"/>
        <v>7.85</v>
      </c>
      <c r="F38" s="557">
        <v>51960</v>
      </c>
      <c r="G38" s="355">
        <f t="shared" si="7"/>
        <v>7.69</v>
      </c>
      <c r="H38" s="315">
        <f t="shared" si="0"/>
        <v>-36074</v>
      </c>
      <c r="I38" s="316">
        <f>ROUND(H38/F38*100,2)</f>
        <v>-69.430000000000007</v>
      </c>
      <c r="J38" s="870"/>
      <c r="K38" s="587">
        <f t="shared" si="2"/>
        <v>7.1487999999999996</v>
      </c>
      <c r="L38" s="587">
        <f t="shared" si="3"/>
        <v>7.8517000000000001</v>
      </c>
      <c r="M38" s="587">
        <f t="shared" si="4"/>
        <v>7.6905000000000001</v>
      </c>
    </row>
    <row r="39" spans="1:13" s="1163" customFormat="1" ht="25.2" customHeight="1">
      <c r="A39" s="305">
        <v>-4194</v>
      </c>
      <c r="B39" s="545">
        <f t="shared" si="5"/>
        <v>-0.74</v>
      </c>
      <c r="C39" s="742" t="s">
        <v>1265</v>
      </c>
      <c r="D39" s="319">
        <f>SUM(D40:D41)</f>
        <v>-780</v>
      </c>
      <c r="E39" s="545">
        <f t="shared" si="6"/>
        <v>-0.39</v>
      </c>
      <c r="F39" s="601">
        <f>SUM(F40:F41)</f>
        <v>-3750</v>
      </c>
      <c r="G39" s="545">
        <f t="shared" si="7"/>
        <v>-0.56000000000000005</v>
      </c>
      <c r="H39" s="319">
        <f t="shared" si="0"/>
        <v>2970</v>
      </c>
      <c r="I39" s="320">
        <f>ROUND(H39/F39*100,2)</f>
        <v>-79.2</v>
      </c>
      <c r="J39" s="871"/>
      <c r="K39" s="612">
        <f t="shared" si="2"/>
        <v>-0.74460000000000004</v>
      </c>
      <c r="L39" s="612">
        <f t="shared" si="3"/>
        <v>-0.38550000000000001</v>
      </c>
      <c r="M39" s="612">
        <f t="shared" si="4"/>
        <v>-0.55500000000000005</v>
      </c>
    </row>
    <row r="40" spans="1:13" s="1178" customFormat="1" ht="24.55" customHeight="1">
      <c r="A40" s="621">
        <v>-1334</v>
      </c>
      <c r="B40" s="552">
        <f t="shared" si="5"/>
        <v>-0.24</v>
      </c>
      <c r="C40" s="743" t="s">
        <v>1417</v>
      </c>
      <c r="D40" s="554">
        <f>D11+D15+D21-D30-D34-D26</f>
        <v>0</v>
      </c>
      <c r="E40" s="355">
        <f t="shared" si="6"/>
        <v>0</v>
      </c>
      <c r="F40" s="554">
        <f>F11+F15+F21-F30-F34-F26</f>
        <v>0</v>
      </c>
      <c r="G40" s="741">
        <f t="shared" si="7"/>
        <v>0</v>
      </c>
      <c r="H40" s="554">
        <f t="shared" ref="H40:H59" si="8">D40-F40</f>
        <v>0</v>
      </c>
      <c r="I40" s="555">
        <v>0</v>
      </c>
      <c r="J40" s="870"/>
      <c r="K40" s="587">
        <f t="shared" ref="K40:K59" si="9">ROUND(A40/$A$8*100,4)</f>
        <v>-0.23680000000000001</v>
      </c>
      <c r="L40" s="587">
        <f t="shared" ref="L40:L59" si="10">ROUND(D40/$D$8*100,4)</f>
        <v>0</v>
      </c>
      <c r="M40" s="587">
        <f t="shared" ref="M40:M59" si="11">ROUND(F40/$F$8*100,4)</f>
        <v>0</v>
      </c>
    </row>
    <row r="41" spans="1:13" s="1178" customFormat="1" ht="27" customHeight="1">
      <c r="A41" s="551">
        <v>-2860</v>
      </c>
      <c r="B41" s="552">
        <f t="shared" ref="B41:B59" si="12">ROUND(A41/$A$8*100,2)</f>
        <v>-0.51</v>
      </c>
      <c r="C41" s="743" t="s">
        <v>1416</v>
      </c>
      <c r="D41" s="315">
        <f>D12+D19+D22-D32-D35-D38+D16</f>
        <v>-780</v>
      </c>
      <c r="E41" s="552">
        <f t="shared" ref="E41:E59" si="13">ROUND(D41/$D$8*100,2)</f>
        <v>-0.39</v>
      </c>
      <c r="F41" s="315">
        <f>F12+F19+F22-F32-F35-F38+F16</f>
        <v>-3750</v>
      </c>
      <c r="G41" s="552">
        <f t="shared" ref="G41:G59" si="14">ROUND(F41/$F$8*100,2)</f>
        <v>-0.56000000000000005</v>
      </c>
      <c r="H41" s="315">
        <f t="shared" si="8"/>
        <v>2970</v>
      </c>
      <c r="I41" s="316">
        <f>ROUND(H41/F41*100,2)</f>
        <v>-79.2</v>
      </c>
      <c r="J41" s="872"/>
      <c r="K41" s="587">
        <f t="shared" si="9"/>
        <v>-0.50770000000000004</v>
      </c>
      <c r="L41" s="587">
        <f t="shared" si="10"/>
        <v>-0.38550000000000001</v>
      </c>
      <c r="M41" s="587">
        <f t="shared" si="11"/>
        <v>-0.55500000000000005</v>
      </c>
    </row>
    <row r="42" spans="1:13" s="1163" customFormat="1" ht="23.4" customHeight="1">
      <c r="A42" s="298">
        <v>4194</v>
      </c>
      <c r="B42" s="545">
        <f t="shared" si="12"/>
        <v>0.74</v>
      </c>
      <c r="C42" s="546" t="s">
        <v>1264</v>
      </c>
      <c r="D42" s="581">
        <f>+D43</f>
        <v>780</v>
      </c>
      <c r="E42" s="550">
        <f t="shared" si="13"/>
        <v>0.39</v>
      </c>
      <c r="F42" s="581">
        <f>+F43</f>
        <v>3750</v>
      </c>
      <c r="G42" s="550">
        <f t="shared" si="14"/>
        <v>0.56000000000000005</v>
      </c>
      <c r="H42" s="319">
        <f t="shared" si="8"/>
        <v>-2970</v>
      </c>
      <c r="I42" s="320">
        <f>ROUND(H42/F42*100,2)</f>
        <v>-79.2</v>
      </c>
      <c r="J42" s="871"/>
      <c r="K42" s="612">
        <f t="shared" si="9"/>
        <v>0.74460000000000004</v>
      </c>
      <c r="L42" s="612">
        <f t="shared" si="10"/>
        <v>0.38550000000000001</v>
      </c>
      <c r="M42" s="612">
        <f t="shared" si="11"/>
        <v>0.55500000000000005</v>
      </c>
    </row>
    <row r="43" spans="1:13" s="1163" customFormat="1" ht="26.05" customHeight="1">
      <c r="A43" s="298">
        <v>4194</v>
      </c>
      <c r="B43" s="545">
        <f t="shared" si="12"/>
        <v>0.74</v>
      </c>
      <c r="C43" s="546" t="s">
        <v>1415</v>
      </c>
      <c r="D43" s="581">
        <f>+D44+D47+D49</f>
        <v>780</v>
      </c>
      <c r="E43" s="550">
        <f t="shared" si="13"/>
        <v>0.39</v>
      </c>
      <c r="F43" s="581">
        <f>+F44+F47+F49</f>
        <v>3750</v>
      </c>
      <c r="G43" s="550">
        <f t="shared" si="14"/>
        <v>0.56000000000000005</v>
      </c>
      <c r="H43" s="319">
        <f t="shared" si="8"/>
        <v>-2970</v>
      </c>
      <c r="I43" s="320">
        <f>ROUND(H43/F43*100,2)</f>
        <v>-79.2</v>
      </c>
      <c r="J43" s="871"/>
      <c r="K43" s="612">
        <f t="shared" si="9"/>
        <v>0.74460000000000004</v>
      </c>
      <c r="L43" s="612">
        <f t="shared" si="10"/>
        <v>0.38550000000000001</v>
      </c>
      <c r="M43" s="612">
        <f t="shared" si="11"/>
        <v>0.55500000000000005</v>
      </c>
    </row>
    <row r="44" spans="1:13" s="1163" customFormat="1" ht="24.55" customHeight="1">
      <c r="A44" s="300">
        <v>2453</v>
      </c>
      <c r="B44" s="552">
        <f t="shared" si="12"/>
        <v>0.44</v>
      </c>
      <c r="C44" s="553" t="s">
        <v>1414</v>
      </c>
      <c r="D44" s="572">
        <f>+D45+D46</f>
        <v>780</v>
      </c>
      <c r="E44" s="355">
        <f t="shared" si="13"/>
        <v>0.39</v>
      </c>
      <c r="F44" s="572">
        <f>+F45+F46</f>
        <v>3750</v>
      </c>
      <c r="G44" s="355">
        <f t="shared" si="14"/>
        <v>0.56000000000000005</v>
      </c>
      <c r="H44" s="315">
        <f t="shared" si="8"/>
        <v>-2970</v>
      </c>
      <c r="I44" s="316">
        <f>ROUND(H44/F44*100,2)</f>
        <v>-79.2</v>
      </c>
      <c r="J44" s="871"/>
      <c r="K44" s="612">
        <f t="shared" si="9"/>
        <v>0.4355</v>
      </c>
      <c r="L44" s="612">
        <f t="shared" si="10"/>
        <v>0.38550000000000001</v>
      </c>
      <c r="M44" s="612">
        <f t="shared" si="11"/>
        <v>0.55500000000000005</v>
      </c>
    </row>
    <row r="45" spans="1:13" s="1178" customFormat="1" ht="26.05" customHeight="1">
      <c r="A45" s="618">
        <v>233</v>
      </c>
      <c r="B45" s="552">
        <f t="shared" si="12"/>
        <v>0.04</v>
      </c>
      <c r="C45" s="553" t="s">
        <v>1406</v>
      </c>
      <c r="D45" s="554">
        <v>0</v>
      </c>
      <c r="E45" s="355">
        <f t="shared" si="13"/>
        <v>0</v>
      </c>
      <c r="F45" s="554">
        <v>0</v>
      </c>
      <c r="G45" s="355">
        <f t="shared" si="14"/>
        <v>0</v>
      </c>
      <c r="H45" s="554">
        <f t="shared" si="8"/>
        <v>0</v>
      </c>
      <c r="I45" s="555">
        <v>0</v>
      </c>
      <c r="J45" s="870"/>
      <c r="K45" s="587">
        <f t="shared" si="9"/>
        <v>4.1399999999999999E-2</v>
      </c>
      <c r="L45" s="587">
        <f t="shared" si="10"/>
        <v>0</v>
      </c>
      <c r="M45" s="587">
        <f t="shared" si="11"/>
        <v>0</v>
      </c>
    </row>
    <row r="46" spans="1:13" s="1178" customFormat="1" ht="26.05" customHeight="1">
      <c r="A46" s="618">
        <v>2220</v>
      </c>
      <c r="B46" s="552">
        <f t="shared" si="12"/>
        <v>0.39</v>
      </c>
      <c r="C46" s="553" t="s">
        <v>1408</v>
      </c>
      <c r="D46" s="554">
        <v>780</v>
      </c>
      <c r="E46" s="355">
        <f t="shared" si="13"/>
        <v>0.39</v>
      </c>
      <c r="F46" s="554">
        <v>3750</v>
      </c>
      <c r="G46" s="355">
        <f t="shared" si="14"/>
        <v>0.56000000000000005</v>
      </c>
      <c r="H46" s="315">
        <f t="shared" si="8"/>
        <v>-2970</v>
      </c>
      <c r="I46" s="316">
        <f>ROUND(H46/F46*100,2)</f>
        <v>-79.2</v>
      </c>
      <c r="J46" s="870"/>
      <c r="K46" s="587">
        <f t="shared" si="9"/>
        <v>0.39410000000000001</v>
      </c>
      <c r="L46" s="587">
        <f t="shared" si="10"/>
        <v>0.38550000000000001</v>
      </c>
      <c r="M46" s="587">
        <f t="shared" si="11"/>
        <v>0.55500000000000005</v>
      </c>
    </row>
    <row r="47" spans="1:13" s="1163" customFormat="1" ht="29.95" customHeight="1">
      <c r="A47" s="300">
        <v>12</v>
      </c>
      <c r="B47" s="312">
        <f t="shared" si="12"/>
        <v>0</v>
      </c>
      <c r="C47" s="553" t="s">
        <v>1413</v>
      </c>
      <c r="D47" s="581">
        <f>+D48</f>
        <v>0</v>
      </c>
      <c r="E47" s="550">
        <f t="shared" si="13"/>
        <v>0</v>
      </c>
      <c r="F47" s="581">
        <f>+F48</f>
        <v>0</v>
      </c>
      <c r="G47" s="550">
        <f t="shared" si="14"/>
        <v>0</v>
      </c>
      <c r="H47" s="581">
        <f t="shared" si="8"/>
        <v>0</v>
      </c>
      <c r="I47" s="873">
        <v>0</v>
      </c>
      <c r="J47" s="871"/>
      <c r="K47" s="612">
        <f t="shared" si="9"/>
        <v>2.0999999999999999E-3</v>
      </c>
      <c r="L47" s="612">
        <f t="shared" si="10"/>
        <v>0</v>
      </c>
      <c r="M47" s="612">
        <f t="shared" si="11"/>
        <v>0</v>
      </c>
    </row>
    <row r="48" spans="1:13" s="1178" customFormat="1" ht="27" customHeight="1">
      <c r="A48" s="618">
        <v>12</v>
      </c>
      <c r="B48" s="312">
        <f t="shared" si="12"/>
        <v>0</v>
      </c>
      <c r="C48" s="553" t="s">
        <v>1408</v>
      </c>
      <c r="D48" s="554">
        <v>0</v>
      </c>
      <c r="E48" s="355">
        <f t="shared" si="13"/>
        <v>0</v>
      </c>
      <c r="F48" s="554">
        <v>0</v>
      </c>
      <c r="G48" s="355">
        <f t="shared" si="14"/>
        <v>0</v>
      </c>
      <c r="H48" s="554">
        <f t="shared" si="8"/>
        <v>0</v>
      </c>
      <c r="I48" s="873">
        <v>0</v>
      </c>
      <c r="J48" s="870"/>
      <c r="K48" s="587">
        <f t="shared" si="9"/>
        <v>2.0999999999999999E-3</v>
      </c>
      <c r="L48" s="587">
        <f t="shared" si="10"/>
        <v>0</v>
      </c>
      <c r="M48" s="587">
        <f t="shared" si="11"/>
        <v>0</v>
      </c>
    </row>
    <row r="49" spans="1:13" s="1163" customFormat="1" ht="26.2" customHeight="1">
      <c r="A49" s="300">
        <v>1729</v>
      </c>
      <c r="B49" s="552">
        <f t="shared" si="12"/>
        <v>0.31</v>
      </c>
      <c r="C49" s="553" t="s">
        <v>1412</v>
      </c>
      <c r="D49" s="581">
        <f>+D50+D51</f>
        <v>0</v>
      </c>
      <c r="E49" s="550">
        <f t="shared" si="13"/>
        <v>0</v>
      </c>
      <c r="F49" s="581">
        <f>+F50+F51</f>
        <v>0</v>
      </c>
      <c r="G49" s="550">
        <f t="shared" si="14"/>
        <v>0</v>
      </c>
      <c r="H49" s="581">
        <f t="shared" si="8"/>
        <v>0</v>
      </c>
      <c r="I49" s="873">
        <v>0</v>
      </c>
      <c r="J49" s="871"/>
      <c r="K49" s="612">
        <f t="shared" si="9"/>
        <v>0.307</v>
      </c>
      <c r="L49" s="612">
        <f t="shared" si="10"/>
        <v>0</v>
      </c>
      <c r="M49" s="612">
        <f t="shared" si="11"/>
        <v>0</v>
      </c>
    </row>
    <row r="50" spans="1:13" s="1178" customFormat="1" ht="26.05" customHeight="1">
      <c r="A50" s="618">
        <v>1101</v>
      </c>
      <c r="B50" s="552">
        <f t="shared" si="12"/>
        <v>0.2</v>
      </c>
      <c r="C50" s="553" t="s">
        <v>1406</v>
      </c>
      <c r="D50" s="554">
        <v>0</v>
      </c>
      <c r="E50" s="355">
        <f t="shared" si="13"/>
        <v>0</v>
      </c>
      <c r="F50" s="554">
        <v>0</v>
      </c>
      <c r="G50" s="355">
        <f t="shared" si="14"/>
        <v>0</v>
      </c>
      <c r="H50" s="554">
        <f t="shared" si="8"/>
        <v>0</v>
      </c>
      <c r="I50" s="555">
        <v>0</v>
      </c>
      <c r="J50" s="870"/>
      <c r="K50" s="587">
        <f t="shared" si="9"/>
        <v>0.19550000000000001</v>
      </c>
      <c r="L50" s="587">
        <f t="shared" si="10"/>
        <v>0</v>
      </c>
      <c r="M50" s="587">
        <f t="shared" si="11"/>
        <v>0</v>
      </c>
    </row>
    <row r="51" spans="1:13" s="1178" customFormat="1" ht="23.4" customHeight="1">
      <c r="A51" s="569">
        <v>628</v>
      </c>
      <c r="B51" s="552">
        <f t="shared" si="12"/>
        <v>0.11</v>
      </c>
      <c r="C51" s="553" t="s">
        <v>1408</v>
      </c>
      <c r="D51" s="554">
        <v>0</v>
      </c>
      <c r="E51" s="355">
        <f t="shared" si="13"/>
        <v>0</v>
      </c>
      <c r="F51" s="554">
        <v>0</v>
      </c>
      <c r="G51" s="355">
        <f t="shared" si="14"/>
        <v>0</v>
      </c>
      <c r="H51" s="554">
        <f t="shared" si="8"/>
        <v>0</v>
      </c>
      <c r="I51" s="555">
        <v>0</v>
      </c>
      <c r="J51" s="872"/>
      <c r="K51" s="587">
        <f t="shared" si="9"/>
        <v>0.1115</v>
      </c>
      <c r="L51" s="587">
        <f t="shared" si="10"/>
        <v>0</v>
      </c>
      <c r="M51" s="587">
        <f t="shared" si="11"/>
        <v>0</v>
      </c>
    </row>
    <row r="52" spans="1:13" s="1163" customFormat="1" ht="23.4" hidden="1" customHeight="1">
      <c r="A52" s="298">
        <v>0</v>
      </c>
      <c r="B52" s="545">
        <f t="shared" si="12"/>
        <v>0</v>
      </c>
      <c r="C52" s="742" t="s">
        <v>1411</v>
      </c>
      <c r="D52" s="572">
        <f>+D53</f>
        <v>0</v>
      </c>
      <c r="E52" s="355">
        <f t="shared" si="13"/>
        <v>0</v>
      </c>
      <c r="F52" s="572">
        <f>+F53</f>
        <v>0</v>
      </c>
      <c r="G52" s="355">
        <f t="shared" si="14"/>
        <v>0</v>
      </c>
      <c r="H52" s="572">
        <f t="shared" si="8"/>
        <v>0</v>
      </c>
      <c r="I52" s="555">
        <f>+I53</f>
        <v>0</v>
      </c>
      <c r="J52" s="871"/>
      <c r="K52" s="612">
        <f t="shared" si="9"/>
        <v>0</v>
      </c>
      <c r="L52" s="612">
        <f t="shared" si="10"/>
        <v>0</v>
      </c>
      <c r="M52" s="612">
        <f t="shared" si="11"/>
        <v>0</v>
      </c>
    </row>
    <row r="53" spans="1:13" s="1163" customFormat="1" ht="26.05" hidden="1" customHeight="1">
      <c r="A53" s="298">
        <v>0</v>
      </c>
      <c r="B53" s="545">
        <f t="shared" si="12"/>
        <v>0</v>
      </c>
      <c r="C53" s="742" t="s">
        <v>1410</v>
      </c>
      <c r="D53" s="572">
        <f>+D54</f>
        <v>0</v>
      </c>
      <c r="E53" s="355">
        <f t="shared" si="13"/>
        <v>0</v>
      </c>
      <c r="F53" s="572">
        <f>+F54</f>
        <v>0</v>
      </c>
      <c r="G53" s="355">
        <f t="shared" si="14"/>
        <v>0</v>
      </c>
      <c r="H53" s="572">
        <f t="shared" si="8"/>
        <v>0</v>
      </c>
      <c r="I53" s="555">
        <f>+I54</f>
        <v>0</v>
      </c>
      <c r="J53" s="871"/>
      <c r="K53" s="612">
        <f t="shared" si="9"/>
        <v>0</v>
      </c>
      <c r="L53" s="612">
        <f t="shared" si="10"/>
        <v>0</v>
      </c>
      <c r="M53" s="612">
        <f t="shared" si="11"/>
        <v>0</v>
      </c>
    </row>
    <row r="54" spans="1:13" s="1163" customFormat="1" ht="24.55" hidden="1" customHeight="1">
      <c r="A54" s="300">
        <v>0</v>
      </c>
      <c r="B54" s="552">
        <f t="shared" si="12"/>
        <v>0</v>
      </c>
      <c r="C54" s="743" t="s">
        <v>1409</v>
      </c>
      <c r="D54" s="572">
        <f>+D55</f>
        <v>0</v>
      </c>
      <c r="E54" s="355">
        <f t="shared" si="13"/>
        <v>0</v>
      </c>
      <c r="F54" s="572">
        <f>+F55</f>
        <v>0</v>
      </c>
      <c r="G54" s="355">
        <f t="shared" si="14"/>
        <v>0</v>
      </c>
      <c r="H54" s="572">
        <f t="shared" si="8"/>
        <v>0</v>
      </c>
      <c r="I54" s="555">
        <f>+I55</f>
        <v>0</v>
      </c>
      <c r="J54" s="871"/>
      <c r="K54" s="612">
        <f t="shared" si="9"/>
        <v>0</v>
      </c>
      <c r="L54" s="612">
        <f t="shared" si="10"/>
        <v>0</v>
      </c>
      <c r="M54" s="612">
        <f t="shared" si="11"/>
        <v>0</v>
      </c>
    </row>
    <row r="55" spans="1:13" s="1178" customFormat="1" ht="28.15" hidden="1" customHeight="1">
      <c r="A55" s="618">
        <v>0</v>
      </c>
      <c r="B55" s="552">
        <f t="shared" si="12"/>
        <v>0</v>
      </c>
      <c r="C55" s="743" t="s">
        <v>1408</v>
      </c>
      <c r="D55" s="554">
        <v>0</v>
      </c>
      <c r="E55" s="355">
        <f t="shared" si="13"/>
        <v>0</v>
      </c>
      <c r="F55" s="554">
        <v>0</v>
      </c>
      <c r="G55" s="355">
        <f t="shared" si="14"/>
        <v>0</v>
      </c>
      <c r="H55" s="554">
        <f t="shared" si="8"/>
        <v>0</v>
      </c>
      <c r="I55" s="555">
        <v>0</v>
      </c>
      <c r="J55" s="870"/>
      <c r="K55" s="587">
        <f t="shared" si="9"/>
        <v>0</v>
      </c>
      <c r="L55" s="587">
        <f t="shared" si="10"/>
        <v>0</v>
      </c>
      <c r="M55" s="587">
        <f t="shared" si="11"/>
        <v>0</v>
      </c>
    </row>
    <row r="56" spans="1:13" s="1163" customFormat="1" ht="29.95" customHeight="1">
      <c r="A56" s="567">
        <v>4194</v>
      </c>
      <c r="B56" s="812">
        <f t="shared" si="12"/>
        <v>0.74</v>
      </c>
      <c r="C56" s="546" t="s">
        <v>1407</v>
      </c>
      <c r="D56" s="581">
        <f>+D57+D58</f>
        <v>780</v>
      </c>
      <c r="E56" s="550">
        <f t="shared" si="13"/>
        <v>0.39</v>
      </c>
      <c r="F56" s="581">
        <f>+F57+F58</f>
        <v>3750</v>
      </c>
      <c r="G56" s="550">
        <f t="shared" si="14"/>
        <v>0.56000000000000005</v>
      </c>
      <c r="H56" s="319">
        <f t="shared" si="8"/>
        <v>-2970</v>
      </c>
      <c r="I56" s="320">
        <f>ROUND(H56/F56*100,2)</f>
        <v>-79.2</v>
      </c>
      <c r="J56" s="32"/>
      <c r="K56" s="612">
        <f t="shared" si="9"/>
        <v>0.74460000000000004</v>
      </c>
      <c r="L56" s="612">
        <f t="shared" si="10"/>
        <v>0.38550000000000001</v>
      </c>
      <c r="M56" s="612">
        <f t="shared" si="11"/>
        <v>0.55500000000000005</v>
      </c>
    </row>
    <row r="57" spans="1:13" s="1178" customFormat="1" ht="29.95" customHeight="1">
      <c r="A57" s="618">
        <v>1334</v>
      </c>
      <c r="B57" s="552">
        <f t="shared" si="12"/>
        <v>0.24</v>
      </c>
      <c r="C57" s="553" t="s">
        <v>1406</v>
      </c>
      <c r="D57" s="554">
        <f>+D45+D50</f>
        <v>0</v>
      </c>
      <c r="E57" s="355">
        <f t="shared" si="13"/>
        <v>0</v>
      </c>
      <c r="F57" s="554">
        <f>+F45+F50</f>
        <v>0</v>
      </c>
      <c r="G57" s="355">
        <f t="shared" si="14"/>
        <v>0</v>
      </c>
      <c r="H57" s="554">
        <f t="shared" si="8"/>
        <v>0</v>
      </c>
      <c r="I57" s="555">
        <v>0</v>
      </c>
      <c r="J57" s="870"/>
      <c r="K57" s="587">
        <f t="shared" si="9"/>
        <v>0.23680000000000001</v>
      </c>
      <c r="L57" s="587">
        <f t="shared" si="10"/>
        <v>0</v>
      </c>
      <c r="M57" s="587">
        <f t="shared" si="11"/>
        <v>0</v>
      </c>
    </row>
    <row r="58" spans="1:13" s="1178" customFormat="1" ht="26.85" customHeight="1">
      <c r="A58" s="569">
        <v>2860</v>
      </c>
      <c r="B58" s="552">
        <f t="shared" si="12"/>
        <v>0.51</v>
      </c>
      <c r="C58" s="553" t="s">
        <v>327</v>
      </c>
      <c r="D58" s="554">
        <f>+D46+D48+D51-D55</f>
        <v>780</v>
      </c>
      <c r="E58" s="355">
        <f t="shared" si="13"/>
        <v>0.39</v>
      </c>
      <c r="F58" s="554">
        <f>+F46+F48+F51-F55</f>
        <v>3750</v>
      </c>
      <c r="G58" s="355">
        <f t="shared" si="14"/>
        <v>0.56000000000000005</v>
      </c>
      <c r="H58" s="315">
        <f t="shared" si="8"/>
        <v>-2970</v>
      </c>
      <c r="I58" s="316">
        <f>ROUND(H58/F58*100,2)</f>
        <v>-79.2</v>
      </c>
      <c r="J58" s="872"/>
      <c r="K58" s="587">
        <f t="shared" si="9"/>
        <v>0.50770000000000004</v>
      </c>
      <c r="L58" s="587">
        <f t="shared" si="10"/>
        <v>0.38550000000000001</v>
      </c>
      <c r="M58" s="587">
        <f t="shared" si="11"/>
        <v>0.55500000000000005</v>
      </c>
    </row>
    <row r="59" spans="1:13" s="1163" customFormat="1" ht="68.400000000000006" customHeight="1" thickBot="1">
      <c r="A59" s="874">
        <v>0</v>
      </c>
      <c r="B59" s="578">
        <f t="shared" si="12"/>
        <v>0</v>
      </c>
      <c r="C59" s="583" t="s">
        <v>376</v>
      </c>
      <c r="D59" s="866">
        <f>+D56+D39</f>
        <v>0</v>
      </c>
      <c r="E59" s="822">
        <f t="shared" si="13"/>
        <v>0</v>
      </c>
      <c r="F59" s="866">
        <f>+F56+F39</f>
        <v>0</v>
      </c>
      <c r="G59" s="822">
        <f t="shared" si="14"/>
        <v>0</v>
      </c>
      <c r="H59" s="875">
        <f t="shared" si="8"/>
        <v>0</v>
      </c>
      <c r="I59" s="876">
        <v>0</v>
      </c>
      <c r="J59" s="32"/>
      <c r="K59" s="612">
        <f t="shared" si="9"/>
        <v>0</v>
      </c>
      <c r="L59" s="612">
        <f t="shared" si="10"/>
        <v>0</v>
      </c>
      <c r="M59" s="612">
        <f t="shared" si="11"/>
        <v>0</v>
      </c>
    </row>
    <row r="60" spans="1:13" s="1163" customFormat="1" ht="11.45" hidden="1" customHeight="1">
      <c r="A60" s="567"/>
      <c r="B60" s="559"/>
      <c r="C60" s="546"/>
      <c r="D60" s="581"/>
      <c r="E60" s="559"/>
      <c r="F60" s="581"/>
      <c r="G60" s="559"/>
      <c r="H60" s="581"/>
      <c r="I60" s="570"/>
      <c r="J60" s="32"/>
      <c r="K60" s="612"/>
      <c r="L60" s="612"/>
      <c r="M60" s="612"/>
    </row>
    <row r="61" spans="1:13" s="1163" customFormat="1" ht="13.25" hidden="1" customHeight="1">
      <c r="A61" s="567"/>
      <c r="B61" s="559"/>
      <c r="C61" s="546"/>
      <c r="D61" s="581"/>
      <c r="E61" s="559"/>
      <c r="F61" s="581"/>
      <c r="G61" s="559"/>
      <c r="H61" s="581"/>
      <c r="I61" s="570"/>
      <c r="J61" s="32"/>
      <c r="K61" s="612"/>
      <c r="L61" s="612"/>
      <c r="M61" s="612"/>
    </row>
    <row r="62" spans="1:13" s="1163" customFormat="1" ht="14.25" hidden="1" customHeight="1">
      <c r="A62" s="567"/>
      <c r="B62" s="559"/>
      <c r="C62" s="546"/>
      <c r="D62" s="581"/>
      <c r="E62" s="559"/>
      <c r="F62" s="581"/>
      <c r="G62" s="559"/>
      <c r="H62" s="581"/>
      <c r="I62" s="570"/>
      <c r="J62" s="32"/>
      <c r="K62" s="612"/>
      <c r="L62" s="612"/>
      <c r="M62" s="612"/>
    </row>
    <row r="63" spans="1:13" s="1163" customFormat="1" ht="6.75" hidden="1" customHeight="1">
      <c r="A63" s="567"/>
      <c r="B63" s="559"/>
      <c r="C63" s="546"/>
      <c r="D63" s="581"/>
      <c r="E63" s="559"/>
      <c r="F63" s="581"/>
      <c r="G63" s="559"/>
      <c r="H63" s="581"/>
      <c r="I63" s="570"/>
      <c r="J63" s="32"/>
      <c r="K63" s="612"/>
      <c r="L63" s="612"/>
      <c r="M63" s="612"/>
    </row>
    <row r="64" spans="1:13" ht="35.35" customHeight="1">
      <c r="A64" s="1259" t="s">
        <v>1686</v>
      </c>
      <c r="B64" s="1260"/>
      <c r="C64" s="1260"/>
      <c r="D64" s="1260"/>
      <c r="E64" s="1260"/>
      <c r="F64" s="1260"/>
      <c r="G64" s="1260"/>
      <c r="H64" s="1260"/>
      <c r="I64" s="1260"/>
      <c r="J64" s="2"/>
    </row>
    <row r="65" spans="1:9" ht="15.05">
      <c r="A65" s="607" t="s">
        <v>675</v>
      </c>
      <c r="B65" s="608"/>
      <c r="C65" s="609"/>
      <c r="D65" s="616"/>
      <c r="E65" s="610"/>
      <c r="F65" s="608"/>
      <c r="G65" s="608"/>
      <c r="H65" s="608"/>
      <c r="I65" s="608"/>
    </row>
    <row r="66" spans="1:9" ht="15.05">
      <c r="C66" s="611"/>
    </row>
    <row r="67" spans="1:9" ht="15.05">
      <c r="C67" s="611"/>
    </row>
    <row r="68" spans="1:9" ht="15.05">
      <c r="C68" s="611"/>
    </row>
    <row r="69" spans="1:9" ht="15.05">
      <c r="C69" s="611"/>
    </row>
    <row r="70" spans="1:9" ht="15.05">
      <c r="C70" s="611"/>
    </row>
    <row r="71" spans="1:9" ht="15.05">
      <c r="C71" s="611"/>
    </row>
    <row r="72" spans="1:9" ht="15.05">
      <c r="C72" s="611"/>
    </row>
    <row r="73" spans="1:9" ht="15.05">
      <c r="C73" s="611"/>
    </row>
  </sheetData>
  <mergeCells count="10">
    <mergeCell ref="A64:I64"/>
    <mergeCell ref="A4:I4"/>
    <mergeCell ref="A1:I1"/>
    <mergeCell ref="A2:I2"/>
    <mergeCell ref="A3:I3"/>
    <mergeCell ref="H5:I5"/>
    <mergeCell ref="A5:B5"/>
    <mergeCell ref="C5:C6"/>
    <mergeCell ref="D5:E5"/>
    <mergeCell ref="F5:G5"/>
  </mergeCells>
  <phoneticPr fontId="5" type="noConversion"/>
  <printOptions horizontalCentered="1"/>
  <pageMargins left="0.59055118110236227" right="0.59055118110236227" top="0.59055118110236227" bottom="0.78740157480314965" header="0.51181102362204722" footer="0.51181102362204722"/>
  <pageSetup paperSize="9" orientation="portrait" useFirstPageNumber="1" r:id="rId1"/>
  <headerFooter alignWithMargins="0">
    <oddFooter>&amp;C&amp;"細明體,標準"附&amp;"Times New Roman,標準"4-&amp;P</oddFooter>
  </headerFooter>
  <rowBreaks count="1" manualBreakCount="1">
    <brk id="34" max="8" man="1"/>
  </row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A1:H38"/>
  <sheetViews>
    <sheetView view="pageBreakPreview" topLeftCell="A21" zoomScaleNormal="100" zoomScaleSheetLayoutView="100" workbookViewId="0">
      <selection activeCell="F31" sqref="F31"/>
    </sheetView>
  </sheetViews>
  <sheetFormatPr defaultColWidth="9" defaultRowHeight="15.05"/>
  <cols>
    <col min="1" max="1" width="41.875" style="6" customWidth="1"/>
    <col min="2" max="2" width="14.125" style="6" customWidth="1"/>
    <col min="3" max="3" width="15.625" style="6" customWidth="1"/>
    <col min="4" max="4" width="12.625" style="6" customWidth="1"/>
    <col min="5" max="5" width="5.625" style="6" customWidth="1"/>
    <col min="6" max="6" width="17.5" style="6" customWidth="1"/>
    <col min="7" max="7" width="9" style="6"/>
    <col min="8" max="8" width="26.375" style="6" customWidth="1"/>
    <col min="9" max="9" width="19.875" style="6" customWidth="1"/>
    <col min="10" max="16384" width="9" style="6"/>
  </cols>
  <sheetData>
    <row r="1" spans="1:8" s="2" customFormat="1" ht="22.25">
      <c r="A1" s="1266" t="s">
        <v>59</v>
      </c>
      <c r="B1" s="1266"/>
      <c r="C1" s="1266"/>
      <c r="D1" s="1266"/>
      <c r="E1" s="1266"/>
      <c r="F1" s="1"/>
      <c r="G1" s="1"/>
      <c r="H1" s="1"/>
    </row>
    <row r="2" spans="1:8" s="2" customFormat="1" ht="22.25">
      <c r="A2" s="1266" t="s">
        <v>60</v>
      </c>
      <c r="B2" s="1266"/>
      <c r="C2" s="1266"/>
      <c r="D2" s="1266"/>
      <c r="E2" s="1266"/>
      <c r="F2" s="1"/>
      <c r="G2" s="1"/>
      <c r="H2" s="1"/>
    </row>
    <row r="3" spans="1:8" s="2" customFormat="1" ht="24.75" customHeight="1">
      <c r="A3" s="1267" t="s">
        <v>1734</v>
      </c>
      <c r="B3" s="1268"/>
      <c r="C3" s="1268"/>
      <c r="D3" s="1268"/>
      <c r="E3" s="1268"/>
      <c r="F3" s="3"/>
      <c r="G3" s="3"/>
      <c r="H3" s="3"/>
    </row>
    <row r="4" spans="1:8" s="2" customFormat="1" ht="24.9" customHeight="1" thickBot="1">
      <c r="A4" s="1316" t="s">
        <v>1685</v>
      </c>
      <c r="B4" s="1287"/>
      <c r="C4" s="1287"/>
      <c r="D4" s="1287"/>
      <c r="E4" s="1287"/>
      <c r="F4" s="4"/>
      <c r="G4" s="4"/>
      <c r="H4" s="4"/>
    </row>
    <row r="5" spans="1:8">
      <c r="A5" s="1310" t="s">
        <v>61</v>
      </c>
      <c r="B5" s="1313" t="s">
        <v>62</v>
      </c>
      <c r="C5" s="1317" t="s">
        <v>104</v>
      </c>
      <c r="D5" s="1318"/>
      <c r="E5" s="1319"/>
      <c r="F5" s="4"/>
      <c r="G5" s="4"/>
      <c r="H5" s="4"/>
    </row>
    <row r="6" spans="1:8">
      <c r="A6" s="1311"/>
      <c r="B6" s="1314"/>
      <c r="C6" s="1320"/>
      <c r="D6" s="1321"/>
      <c r="E6" s="1322"/>
      <c r="F6" s="4"/>
      <c r="G6" s="4"/>
      <c r="H6" s="4"/>
    </row>
    <row r="7" spans="1:8" ht="12.8" customHeight="1">
      <c r="A7" s="1312"/>
      <c r="B7" s="1315"/>
      <c r="C7" s="1323"/>
      <c r="D7" s="1324"/>
      <c r="E7" s="1325"/>
    </row>
    <row r="8" spans="1:8" ht="5.25" customHeight="1">
      <c r="A8" s="1180"/>
      <c r="B8" s="1181"/>
      <c r="C8" s="84"/>
      <c r="D8" s="133"/>
      <c r="E8" s="87"/>
    </row>
    <row r="9" spans="1:8" s="1178" customFormat="1" ht="27" customHeight="1">
      <c r="A9" s="359" t="s">
        <v>64</v>
      </c>
      <c r="B9" s="135"/>
      <c r="C9" s="136"/>
      <c r="D9" s="137"/>
      <c r="E9" s="138"/>
    </row>
    <row r="10" spans="1:8" s="1163" customFormat="1" ht="27.65" customHeight="1">
      <c r="A10" s="68" t="s">
        <v>328</v>
      </c>
      <c r="B10" s="186">
        <v>0</v>
      </c>
      <c r="C10" s="140"/>
      <c r="D10" s="141"/>
      <c r="E10" s="138"/>
    </row>
    <row r="11" spans="1:8" s="1163" customFormat="1" ht="27" customHeight="1">
      <c r="A11" s="68" t="s">
        <v>339</v>
      </c>
      <c r="B11" s="31">
        <f>-D11+D12</f>
        <v>-20600</v>
      </c>
      <c r="C11" s="1182" t="s">
        <v>364</v>
      </c>
      <c r="D11" s="1179">
        <v>20600</v>
      </c>
      <c r="E11" s="1185" t="s">
        <v>65</v>
      </c>
    </row>
    <row r="12" spans="1:8" s="1163" customFormat="1" ht="20.3" hidden="1" customHeight="1">
      <c r="A12" s="68"/>
      <c r="B12" s="67"/>
      <c r="C12" s="1182" t="s">
        <v>329</v>
      </c>
      <c r="D12" s="1179">
        <v>0</v>
      </c>
      <c r="E12" s="1185" t="s">
        <v>65</v>
      </c>
    </row>
    <row r="13" spans="1:8" s="1163" customFormat="1" ht="27" customHeight="1">
      <c r="A13" s="68" t="s">
        <v>367</v>
      </c>
      <c r="B13" s="31">
        <f>+B10+B11</f>
        <v>-20600</v>
      </c>
      <c r="C13" s="140"/>
      <c r="D13" s="141"/>
      <c r="E13" s="138"/>
    </row>
    <row r="14" spans="1:8" s="1163" customFormat="1" ht="29.95" customHeight="1">
      <c r="A14" s="68" t="s">
        <v>787</v>
      </c>
      <c r="B14" s="142">
        <f>D14+D15+D16+D17+D18+D19</f>
        <v>-131704</v>
      </c>
      <c r="C14" s="1182" t="s">
        <v>1519</v>
      </c>
      <c r="D14" s="1179">
        <v>-134715</v>
      </c>
      <c r="E14" s="1185" t="s">
        <v>65</v>
      </c>
      <c r="F14" s="1164"/>
    </row>
    <row r="15" spans="1:8" s="1163" customFormat="1" ht="20.95" hidden="1" customHeight="1">
      <c r="A15" s="68"/>
      <c r="B15" s="142"/>
      <c r="C15" s="1182" t="s">
        <v>331</v>
      </c>
      <c r="D15" s="1179">
        <v>0</v>
      </c>
      <c r="E15" s="1185" t="s">
        <v>65</v>
      </c>
      <c r="F15" s="1164"/>
    </row>
    <row r="16" spans="1:8" s="1178" customFormat="1" ht="21.8" hidden="1" customHeight="1">
      <c r="A16" s="68"/>
      <c r="B16" s="142"/>
      <c r="C16" s="1182" t="s">
        <v>332</v>
      </c>
      <c r="D16" s="1179">
        <v>0</v>
      </c>
      <c r="E16" s="1185" t="s">
        <v>65</v>
      </c>
    </row>
    <row r="17" spans="1:8" s="1178" customFormat="1" ht="36.65" hidden="1" customHeight="1">
      <c r="A17" s="68"/>
      <c r="B17" s="142"/>
      <c r="C17" s="1182" t="s">
        <v>365</v>
      </c>
      <c r="D17" s="1179">
        <v>0</v>
      </c>
      <c r="E17" s="1185" t="s">
        <v>65</v>
      </c>
    </row>
    <row r="18" spans="1:8" s="1163" customFormat="1" ht="29.95" customHeight="1">
      <c r="A18" s="68" t="s">
        <v>66</v>
      </c>
      <c r="B18" s="31"/>
      <c r="C18" s="1182" t="s">
        <v>1520</v>
      </c>
      <c r="D18" s="1179">
        <v>12011</v>
      </c>
      <c r="E18" s="1185" t="s">
        <v>65</v>
      </c>
      <c r="F18" s="36"/>
      <c r="H18" s="10"/>
    </row>
    <row r="19" spans="1:8" s="1178" customFormat="1" ht="29.95" customHeight="1">
      <c r="A19" s="68" t="s">
        <v>66</v>
      </c>
      <c r="B19" s="31"/>
      <c r="C19" s="1182" t="s">
        <v>1595</v>
      </c>
      <c r="D19" s="1179">
        <v>-9000</v>
      </c>
      <c r="E19" s="1185" t="s">
        <v>65</v>
      </c>
    </row>
    <row r="20" spans="1:8" s="1163" customFormat="1" ht="27.65" customHeight="1">
      <c r="A20" s="68" t="s">
        <v>368</v>
      </c>
      <c r="B20" s="31">
        <f>+B13+B14</f>
        <v>-152304</v>
      </c>
      <c r="C20" s="140"/>
      <c r="D20" s="141"/>
      <c r="E20" s="138"/>
    </row>
    <row r="21" spans="1:8" s="1178" customFormat="1" ht="27" customHeight="1">
      <c r="A21" s="359" t="s">
        <v>333</v>
      </c>
      <c r="B21" s="27">
        <f>+B20</f>
        <v>-152304</v>
      </c>
      <c r="C21" s="360"/>
      <c r="D21" s="361"/>
      <c r="E21" s="1185"/>
    </row>
    <row r="22" spans="1:8" s="1178" customFormat="1" ht="27" customHeight="1">
      <c r="A22" s="359" t="s">
        <v>67</v>
      </c>
      <c r="B22" s="27"/>
      <c r="C22" s="362"/>
      <c r="D22" s="363"/>
      <c r="E22" s="364"/>
    </row>
    <row r="23" spans="1:8" s="1178" customFormat="1" ht="32.4" customHeight="1">
      <c r="A23" s="68" t="s">
        <v>68</v>
      </c>
      <c r="B23" s="31">
        <v>3379660</v>
      </c>
      <c r="C23" s="1606" t="s">
        <v>1631</v>
      </c>
      <c r="D23" s="1307"/>
      <c r="E23" s="1308"/>
    </row>
    <row r="24" spans="1:8" s="1178" customFormat="1" ht="33.049999999999997" customHeight="1">
      <c r="A24" s="68" t="s">
        <v>399</v>
      </c>
      <c r="B24" s="31">
        <v>5583410</v>
      </c>
      <c r="C24" s="1309" t="s">
        <v>1632</v>
      </c>
      <c r="D24" s="1307"/>
      <c r="E24" s="1308"/>
    </row>
    <row r="25" spans="1:8" s="1178" customFormat="1" ht="35.049999999999997" hidden="1" customHeight="1">
      <c r="A25" s="68" t="s">
        <v>399</v>
      </c>
      <c r="B25" s="31"/>
      <c r="C25" s="1334" t="s">
        <v>558</v>
      </c>
      <c r="D25" s="1327"/>
      <c r="E25" s="1328"/>
    </row>
    <row r="26" spans="1:8" s="1178" customFormat="1" ht="28.8" customHeight="1">
      <c r="A26" s="68" t="s">
        <v>366</v>
      </c>
      <c r="B26" s="31">
        <v>26075</v>
      </c>
      <c r="C26" s="1334" t="s">
        <v>1521</v>
      </c>
      <c r="D26" s="1327"/>
      <c r="E26" s="1328"/>
    </row>
    <row r="27" spans="1:8" s="1178" customFormat="1" ht="33.049999999999997" customHeight="1">
      <c r="A27" s="68" t="s">
        <v>69</v>
      </c>
      <c r="B27" s="31">
        <v>-109200</v>
      </c>
      <c r="C27" s="1309" t="s">
        <v>1426</v>
      </c>
      <c r="D27" s="1307"/>
      <c r="E27" s="1308"/>
    </row>
    <row r="28" spans="1:8" s="1178" customFormat="1" ht="32.4" customHeight="1">
      <c r="A28" s="68" t="s">
        <v>70</v>
      </c>
      <c r="B28" s="31">
        <v>-159470</v>
      </c>
      <c r="C28" s="1334" t="s">
        <v>1633</v>
      </c>
      <c r="D28" s="1327"/>
      <c r="E28" s="1328"/>
    </row>
    <row r="29" spans="1:8" s="1178" customFormat="1" ht="25.2" hidden="1" customHeight="1">
      <c r="A29" s="68" t="s">
        <v>71</v>
      </c>
      <c r="B29" s="31">
        <v>0</v>
      </c>
      <c r="C29" s="1309" t="s">
        <v>72</v>
      </c>
      <c r="D29" s="1307"/>
      <c r="E29" s="1308"/>
    </row>
    <row r="30" spans="1:8" s="1178" customFormat="1" ht="27.65" customHeight="1">
      <c r="A30" s="359" t="s">
        <v>388</v>
      </c>
      <c r="B30" s="27">
        <f>SUM(B23:B29)</f>
        <v>8720475</v>
      </c>
      <c r="C30" s="360"/>
      <c r="D30" s="361"/>
      <c r="E30" s="364"/>
    </row>
    <row r="31" spans="1:8" s="1178" customFormat="1" ht="27.65" customHeight="1">
      <c r="A31" s="359" t="s">
        <v>353</v>
      </c>
      <c r="B31" s="143"/>
      <c r="C31" s="365"/>
      <c r="D31" s="366"/>
      <c r="E31" s="364"/>
    </row>
    <row r="32" spans="1:8" s="378" customFormat="1" ht="38.450000000000003" hidden="1" customHeight="1">
      <c r="A32" s="68" t="s">
        <v>335</v>
      </c>
      <c r="B32" s="31"/>
      <c r="C32" s="1334" t="s">
        <v>1475</v>
      </c>
      <c r="D32" s="1327"/>
      <c r="E32" s="1328"/>
    </row>
    <row r="33" spans="1:5" s="378" customFormat="1" ht="29.95" customHeight="1">
      <c r="A33" s="68" t="s">
        <v>336</v>
      </c>
      <c r="B33" s="31">
        <v>-10851017</v>
      </c>
      <c r="C33" s="1326" t="s">
        <v>1794</v>
      </c>
      <c r="D33" s="1327"/>
      <c r="E33" s="1328"/>
    </row>
    <row r="34" spans="1:5" s="378" customFormat="1" ht="65.95" hidden="1" customHeight="1">
      <c r="A34" s="139" t="s">
        <v>1477</v>
      </c>
      <c r="B34" s="31"/>
      <c r="C34" s="1600" t="s">
        <v>1512</v>
      </c>
      <c r="D34" s="1601"/>
      <c r="E34" s="1602"/>
    </row>
    <row r="35" spans="1:5" s="1178" customFormat="1" ht="26.35" customHeight="1">
      <c r="A35" s="359" t="s">
        <v>389</v>
      </c>
      <c r="B35" s="77">
        <f>SUM(B32:B34)</f>
        <v>-10851017</v>
      </c>
      <c r="C35" s="367"/>
      <c r="D35" s="368"/>
      <c r="E35" s="369"/>
    </row>
    <row r="36" spans="1:5" s="1178" customFormat="1" ht="27" customHeight="1">
      <c r="A36" s="359" t="s">
        <v>390</v>
      </c>
      <c r="B36" s="77">
        <f>B21+B30+B35</f>
        <v>-2282846</v>
      </c>
      <c r="C36" s="370"/>
      <c r="D36" s="371"/>
      <c r="E36" s="372"/>
    </row>
    <row r="37" spans="1:5" s="1178" customFormat="1" ht="26.85" customHeight="1">
      <c r="A37" s="359" t="s">
        <v>73</v>
      </c>
      <c r="B37" s="77">
        <v>2282846</v>
      </c>
      <c r="C37" s="370"/>
      <c r="D37" s="371"/>
      <c r="E37" s="372"/>
    </row>
    <row r="38" spans="1:5" s="1178" customFormat="1" ht="26.85" customHeight="1" thickBot="1">
      <c r="A38" s="373" t="s">
        <v>74</v>
      </c>
      <c r="B38" s="885">
        <f>+B36+B37</f>
        <v>0</v>
      </c>
      <c r="C38" s="1614"/>
      <c r="D38" s="1615"/>
      <c r="E38" s="1616"/>
    </row>
  </sheetData>
  <mergeCells count="18">
    <mergeCell ref="C28:E28"/>
    <mergeCell ref="C29:E29"/>
    <mergeCell ref="C32:E32"/>
    <mergeCell ref="C25:E25"/>
    <mergeCell ref="C38:E38"/>
    <mergeCell ref="C33:E33"/>
    <mergeCell ref="C34:E34"/>
    <mergeCell ref="C24:E24"/>
    <mergeCell ref="C26:E26"/>
    <mergeCell ref="C27:E27"/>
    <mergeCell ref="C23:E23"/>
    <mergeCell ref="A1:E1"/>
    <mergeCell ref="A2:E2"/>
    <mergeCell ref="A3:E3"/>
    <mergeCell ref="A4:E4"/>
    <mergeCell ref="A5:A7"/>
    <mergeCell ref="B5:B7"/>
    <mergeCell ref="C5:E7"/>
  </mergeCells>
  <phoneticPr fontId="5" type="noConversion"/>
  <printOptions horizontalCentered="1"/>
  <pageMargins left="0.59055118110236227" right="0.59055118110236227" top="0.59055118110236227" bottom="0.78740157480314965" header="0.51181102362204722" footer="0.51181102362204722"/>
  <pageSetup paperSize="9" firstPageNumber="3" orientation="portrait" useFirstPageNumber="1" r:id="rId1"/>
  <headerFooter alignWithMargins="0">
    <oddFooter>&amp;C&amp;"細明體,標準"附&amp;"Times New Roman,標準"4-&amp;P</odd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dimension ref="A1:E38"/>
  <sheetViews>
    <sheetView view="pageBreakPreview" topLeftCell="A16" zoomScaleNormal="100" zoomScaleSheetLayoutView="100" workbookViewId="0">
      <selection activeCell="F31" sqref="F31"/>
    </sheetView>
  </sheetViews>
  <sheetFormatPr defaultColWidth="9" defaultRowHeight="16.399999999999999"/>
  <cols>
    <col min="1" max="1" width="14.625" style="6" customWidth="1"/>
    <col min="2" max="2" width="32.875" style="462" customWidth="1"/>
    <col min="3" max="3" width="14.75" style="6" customWidth="1"/>
    <col min="4" max="4" width="14.75" style="19" customWidth="1"/>
    <col min="5" max="5" width="13.125" style="6" customWidth="1"/>
    <col min="6" max="16384" width="9" style="6"/>
  </cols>
  <sheetData>
    <row r="1" spans="1:5" ht="22.25">
      <c r="A1" s="1266" t="s">
        <v>59</v>
      </c>
      <c r="B1" s="1266"/>
      <c r="C1" s="1266"/>
      <c r="D1" s="1266"/>
      <c r="E1" s="1266"/>
    </row>
    <row r="2" spans="1:5" ht="22.25">
      <c r="A2" s="1266" t="s">
        <v>60</v>
      </c>
      <c r="B2" s="1266"/>
      <c r="C2" s="1266"/>
      <c r="D2" s="1266"/>
      <c r="E2" s="1266"/>
    </row>
    <row r="3" spans="1:5" ht="24.75" customHeight="1">
      <c r="A3" s="1509" t="s">
        <v>1735</v>
      </c>
      <c r="B3" s="1268"/>
      <c r="C3" s="1268"/>
      <c r="D3" s="1268"/>
      <c r="E3" s="1268"/>
    </row>
    <row r="4" spans="1:5" ht="24.75" customHeight="1" thickBot="1">
      <c r="A4" s="1316" t="s">
        <v>1769</v>
      </c>
      <c r="B4" s="1287"/>
      <c r="C4" s="1287"/>
      <c r="D4" s="1287"/>
      <c r="E4" s="1287"/>
    </row>
    <row r="5" spans="1:5" ht="15.75" customHeight="1">
      <c r="A5" s="1471" t="s">
        <v>906</v>
      </c>
      <c r="B5" s="1609" t="s">
        <v>297</v>
      </c>
      <c r="C5" s="1480" t="s">
        <v>1515</v>
      </c>
      <c r="D5" s="1480" t="s">
        <v>908</v>
      </c>
      <c r="E5" s="1477" t="s">
        <v>681</v>
      </c>
    </row>
    <row r="6" spans="1:5" ht="15.75" customHeight="1">
      <c r="A6" s="1472"/>
      <c r="B6" s="1610"/>
      <c r="C6" s="1481"/>
      <c r="D6" s="1481"/>
      <c r="E6" s="1478"/>
    </row>
    <row r="7" spans="1:5" ht="15.75" customHeight="1">
      <c r="A7" s="1473"/>
      <c r="B7" s="1611"/>
      <c r="C7" s="1482"/>
      <c r="D7" s="1482"/>
      <c r="E7" s="1479"/>
    </row>
    <row r="8" spans="1:5" ht="9" customHeight="1">
      <c r="A8" s="24"/>
      <c r="B8" s="595"/>
      <c r="C8" s="1183"/>
      <c r="D8" s="1184"/>
      <c r="E8" s="112"/>
    </row>
    <row r="9" spans="1:5" s="1163" customFormat="1" ht="26.2" customHeight="1">
      <c r="A9" s="113">
        <v>11257193</v>
      </c>
      <c r="B9" s="114" t="s">
        <v>298</v>
      </c>
      <c r="C9" s="130">
        <f>C10+C15+C17</f>
        <v>0</v>
      </c>
      <c r="D9" s="115">
        <f>D10+D15+D17</f>
        <v>10994732</v>
      </c>
      <c r="E9" s="116">
        <f>E10+E15+E17</f>
        <v>-10994732</v>
      </c>
    </row>
    <row r="10" spans="1:5" s="1163" customFormat="1" ht="28.15" customHeight="1">
      <c r="A10" s="113">
        <v>5690949</v>
      </c>
      <c r="B10" s="117" t="s">
        <v>299</v>
      </c>
      <c r="C10" s="130">
        <f>SUM(C11:C14)</f>
        <v>0</v>
      </c>
      <c r="D10" s="115">
        <f>SUM(D11:D14)</f>
        <v>5568629</v>
      </c>
      <c r="E10" s="116">
        <f>SUM(E11:E14)</f>
        <v>-5568629</v>
      </c>
    </row>
    <row r="11" spans="1:5" s="1178" customFormat="1" ht="26.2" customHeight="1">
      <c r="A11" s="118">
        <v>2243485</v>
      </c>
      <c r="B11" s="119" t="s">
        <v>300</v>
      </c>
      <c r="C11" s="128">
        <v>0</v>
      </c>
      <c r="D11" s="931">
        <v>2282846</v>
      </c>
      <c r="E11" s="121">
        <f>C11-D11</f>
        <v>-2282846</v>
      </c>
    </row>
    <row r="12" spans="1:5" s="1178" customFormat="1" ht="26.2" customHeight="1">
      <c r="A12" s="118">
        <v>3362520</v>
      </c>
      <c r="B12" s="119" t="s">
        <v>358</v>
      </c>
      <c r="C12" s="128">
        <v>0</v>
      </c>
      <c r="D12" s="931">
        <v>3270460</v>
      </c>
      <c r="E12" s="121">
        <f>C12-D12</f>
        <v>-3270460</v>
      </c>
    </row>
    <row r="13" spans="1:5" s="1178" customFormat="1" ht="26.2" customHeight="1">
      <c r="A13" s="118">
        <v>81542</v>
      </c>
      <c r="B13" s="119" t="s">
        <v>302</v>
      </c>
      <c r="C13" s="128">
        <v>0</v>
      </c>
      <c r="D13" s="931">
        <v>7323</v>
      </c>
      <c r="E13" s="121">
        <f>C13-D13</f>
        <v>-7323</v>
      </c>
    </row>
    <row r="14" spans="1:5" s="1178" customFormat="1" ht="30.6" customHeight="1">
      <c r="A14" s="118">
        <v>3403</v>
      </c>
      <c r="B14" s="119" t="s">
        <v>303</v>
      </c>
      <c r="C14" s="128">
        <v>0</v>
      </c>
      <c r="D14" s="931">
        <v>8000</v>
      </c>
      <c r="E14" s="121">
        <f>C14-D14</f>
        <v>-8000</v>
      </c>
    </row>
    <row r="15" spans="1:5" s="1163" customFormat="1" ht="30.6" customHeight="1">
      <c r="A15" s="113">
        <v>5563890</v>
      </c>
      <c r="B15" s="122" t="s">
        <v>305</v>
      </c>
      <c r="C15" s="130">
        <f>SUM(C16:C16)</f>
        <v>0</v>
      </c>
      <c r="D15" s="115">
        <f>SUM(D16:D16)</f>
        <v>5423940</v>
      </c>
      <c r="E15" s="116">
        <f>SUM(E16:E16)</f>
        <v>-5423940</v>
      </c>
    </row>
    <row r="16" spans="1:5" s="1178" customFormat="1" ht="25.2" customHeight="1">
      <c r="A16" s="118">
        <v>5563890</v>
      </c>
      <c r="B16" s="119" t="s">
        <v>357</v>
      </c>
      <c r="C16" s="128">
        <v>0</v>
      </c>
      <c r="D16" s="931">
        <v>5423940</v>
      </c>
      <c r="E16" s="121">
        <f>C16-D16</f>
        <v>-5423940</v>
      </c>
    </row>
    <row r="17" spans="1:5" s="1163" customFormat="1" ht="29" customHeight="1">
      <c r="A17" s="113">
        <v>2353</v>
      </c>
      <c r="B17" s="117" t="s">
        <v>307</v>
      </c>
      <c r="C17" s="130">
        <f>SUM(C18:C18)</f>
        <v>0</v>
      </c>
      <c r="D17" s="115">
        <f>SUM(D18:D18)</f>
        <v>2163</v>
      </c>
      <c r="E17" s="116">
        <f>SUM(E18:E18)</f>
        <v>-2163</v>
      </c>
    </row>
    <row r="18" spans="1:5" s="1178" customFormat="1" ht="26.2" customHeight="1">
      <c r="A18" s="118">
        <v>2353</v>
      </c>
      <c r="B18" s="119" t="s">
        <v>308</v>
      </c>
      <c r="C18" s="128">
        <v>0</v>
      </c>
      <c r="D18" s="931">
        <v>2163</v>
      </c>
      <c r="E18" s="121">
        <f>C18-D18</f>
        <v>-2163</v>
      </c>
    </row>
    <row r="19" spans="1:5" s="1163" customFormat="1" ht="28.8" customHeight="1">
      <c r="A19" s="113">
        <v>11257193</v>
      </c>
      <c r="B19" s="114" t="s">
        <v>309</v>
      </c>
      <c r="C19" s="130">
        <f>C9</f>
        <v>0</v>
      </c>
      <c r="D19" s="115">
        <f>D9</f>
        <v>10994732</v>
      </c>
      <c r="E19" s="116">
        <f>E9</f>
        <v>-10994732</v>
      </c>
    </row>
    <row r="20" spans="1:5" s="1163" customFormat="1" ht="26.2" customHeight="1">
      <c r="A20" s="113"/>
      <c r="B20" s="114"/>
      <c r="C20" s="115"/>
      <c r="D20" s="115"/>
      <c r="E20" s="116"/>
    </row>
    <row r="21" spans="1:5" s="1163" customFormat="1" ht="26.2" customHeight="1">
      <c r="A21" s="113">
        <v>11257193</v>
      </c>
      <c r="B21" s="114" t="s">
        <v>310</v>
      </c>
      <c r="C21" s="130">
        <f>C22+C24</f>
        <v>0</v>
      </c>
      <c r="D21" s="115">
        <f>D22+D24</f>
        <v>10994732</v>
      </c>
      <c r="E21" s="116">
        <f>E22+E24</f>
        <v>-10994732</v>
      </c>
    </row>
    <row r="22" spans="1:5" s="1163" customFormat="1" ht="26.2" customHeight="1">
      <c r="A22" s="113">
        <v>3253</v>
      </c>
      <c r="B22" s="117" t="s">
        <v>311</v>
      </c>
      <c r="C22" s="130">
        <f>SUM(C23:C23)</f>
        <v>0</v>
      </c>
      <c r="D22" s="115">
        <f>SUM(D23:D23)</f>
        <v>9000</v>
      </c>
      <c r="E22" s="116">
        <f>SUM(E23:E23)</f>
        <v>-9000</v>
      </c>
    </row>
    <row r="23" spans="1:5" s="1178" customFormat="1" ht="29" customHeight="1">
      <c r="A23" s="118">
        <v>3253</v>
      </c>
      <c r="B23" s="119" t="s">
        <v>312</v>
      </c>
      <c r="C23" s="128">
        <v>0</v>
      </c>
      <c r="D23" s="931">
        <v>9000</v>
      </c>
      <c r="E23" s="121">
        <f>C23-D23</f>
        <v>-9000</v>
      </c>
    </row>
    <row r="24" spans="1:5" s="1163" customFormat="1" ht="26.2" customHeight="1">
      <c r="A24" s="113">
        <v>11253940</v>
      </c>
      <c r="B24" s="122" t="s">
        <v>315</v>
      </c>
      <c r="C24" s="130">
        <f>SUM(C25:C25)</f>
        <v>0</v>
      </c>
      <c r="D24" s="115">
        <f>SUM(D25:D26)</f>
        <v>10985732</v>
      </c>
      <c r="E24" s="116">
        <f>SUM(E25:E26)</f>
        <v>-10985732</v>
      </c>
    </row>
    <row r="25" spans="1:5" s="1178" customFormat="1" ht="27" customHeight="1">
      <c r="A25" s="118">
        <v>11247108</v>
      </c>
      <c r="B25" s="119" t="s">
        <v>316</v>
      </c>
      <c r="C25" s="128">
        <v>0</v>
      </c>
      <c r="D25" s="931">
        <v>10978832</v>
      </c>
      <c r="E25" s="121">
        <f>C25-D25</f>
        <v>-10978832</v>
      </c>
    </row>
    <row r="26" spans="1:5" s="1178" customFormat="1" ht="26.2" customHeight="1">
      <c r="A26" s="118">
        <v>6831</v>
      </c>
      <c r="B26" s="119" t="s">
        <v>317</v>
      </c>
      <c r="C26" s="130">
        <v>0</v>
      </c>
      <c r="D26" s="128">
        <v>6900</v>
      </c>
      <c r="E26" s="121">
        <f>C26-D26</f>
        <v>-6900</v>
      </c>
    </row>
    <row r="27" spans="1:5" s="1163" customFormat="1" ht="27" customHeight="1">
      <c r="A27" s="129">
        <f>A28</f>
        <v>0</v>
      </c>
      <c r="B27" s="114" t="s">
        <v>318</v>
      </c>
      <c r="C27" s="130">
        <f t="shared" ref="C27:E28" si="0">C28</f>
        <v>0</v>
      </c>
      <c r="D27" s="130">
        <f t="shared" si="0"/>
        <v>0</v>
      </c>
      <c r="E27" s="131">
        <f t="shared" si="0"/>
        <v>0</v>
      </c>
    </row>
    <row r="28" spans="1:5" s="1163" customFormat="1" ht="32.4" customHeight="1">
      <c r="A28" s="129">
        <f>A29</f>
        <v>0</v>
      </c>
      <c r="B28" s="117" t="s">
        <v>373</v>
      </c>
      <c r="C28" s="128">
        <f t="shared" si="0"/>
        <v>0</v>
      </c>
      <c r="D28" s="128">
        <f t="shared" si="0"/>
        <v>0</v>
      </c>
      <c r="E28" s="123">
        <f t="shared" si="0"/>
        <v>0</v>
      </c>
    </row>
    <row r="29" spans="1:5" s="1178" customFormat="1" ht="26.35" customHeight="1">
      <c r="A29" s="132">
        <v>0</v>
      </c>
      <c r="B29" s="119" t="s">
        <v>321</v>
      </c>
      <c r="C29" s="130">
        <v>0</v>
      </c>
      <c r="D29" s="130">
        <v>0</v>
      </c>
      <c r="E29" s="131">
        <v>0</v>
      </c>
    </row>
    <row r="30" spans="1:5" s="1163" customFormat="1" ht="48.6" customHeight="1" thickBot="1">
      <c r="A30" s="124">
        <v>11257193</v>
      </c>
      <c r="B30" s="125" t="s">
        <v>309</v>
      </c>
      <c r="C30" s="1201">
        <f>C21+C27</f>
        <v>0</v>
      </c>
      <c r="D30" s="126">
        <f>D21+D27</f>
        <v>10994732</v>
      </c>
      <c r="E30" s="127">
        <f>E21+E27</f>
        <v>-10994732</v>
      </c>
    </row>
    <row r="37" ht="26.7" customHeight="1"/>
    <row r="38" ht="26.7" customHeight="1"/>
  </sheetData>
  <mergeCells count="9">
    <mergeCell ref="A3:E3"/>
    <mergeCell ref="A2:E2"/>
    <mergeCell ref="A1:E1"/>
    <mergeCell ref="A5:A7"/>
    <mergeCell ref="B5:B7"/>
    <mergeCell ref="E5:E7"/>
    <mergeCell ref="C5:C7"/>
    <mergeCell ref="D5:D7"/>
    <mergeCell ref="A4:E4"/>
  </mergeCells>
  <phoneticPr fontId="5" type="noConversion"/>
  <printOptions horizontalCentered="1"/>
  <pageMargins left="0.59055118110236227" right="0.59055118110236227" top="0.59055118110236227" bottom="0.78740157480314965" header="0.51181102362204722" footer="0.51181102362204722"/>
  <pageSetup paperSize="9" firstPageNumber="4" orientation="portrait" useFirstPageNumber="1" r:id="rId1"/>
  <headerFooter alignWithMargins="0">
    <oddFooter>&amp;C&amp;"細明體,標準"附&amp;"Times New Roman,標準"4-&amp;P</oddFoot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dimension ref="A1:O47"/>
  <sheetViews>
    <sheetView view="pageBreakPreview" topLeftCell="A4" zoomScaleNormal="100" zoomScaleSheetLayoutView="100" workbookViewId="0">
      <selection activeCell="D21" sqref="D21"/>
    </sheetView>
  </sheetViews>
  <sheetFormatPr defaultColWidth="9" defaultRowHeight="16.399999999999999"/>
  <cols>
    <col min="1" max="1" width="10.5" style="2" customWidth="1"/>
    <col min="2" max="2" width="6.625" style="2" customWidth="1"/>
    <col min="3" max="3" width="20.75" style="594" customWidth="1"/>
    <col min="4" max="4" width="10.5" style="156" customWidth="1"/>
    <col min="5" max="5" width="7.375" style="282" customWidth="1"/>
    <col min="6" max="6" width="9.75" style="2" customWidth="1"/>
    <col min="7" max="7" width="7.625" style="2" customWidth="1"/>
    <col min="8" max="8" width="10.5" style="2" customWidth="1"/>
    <col min="9" max="9" width="6.625" style="2" customWidth="1"/>
    <col min="10" max="10" width="9" style="615"/>
    <col min="11" max="13" width="9.625" style="2" hidden="1" customWidth="1"/>
    <col min="14" max="16384" width="9" style="2"/>
  </cols>
  <sheetData>
    <row r="1" spans="1:13" ht="20.95" customHeight="1">
      <c r="A1" s="1266" t="s">
        <v>1295</v>
      </c>
      <c r="B1" s="1266"/>
      <c r="C1" s="1266"/>
      <c r="D1" s="1266"/>
      <c r="E1" s="1266"/>
      <c r="F1" s="1266"/>
      <c r="G1" s="1266"/>
      <c r="H1" s="1266"/>
      <c r="I1" s="1266"/>
    </row>
    <row r="2" spans="1:13" ht="20.95" customHeight="1">
      <c r="A2" s="1266" t="s">
        <v>1294</v>
      </c>
      <c r="B2" s="1266"/>
      <c r="C2" s="1266"/>
      <c r="D2" s="1266"/>
      <c r="E2" s="1266"/>
      <c r="F2" s="1266"/>
      <c r="G2" s="1266"/>
      <c r="H2" s="1266"/>
      <c r="I2" s="1266"/>
    </row>
    <row r="3" spans="1:13" ht="24.75" customHeight="1">
      <c r="A3" s="1509" t="s">
        <v>1736</v>
      </c>
      <c r="B3" s="1268"/>
      <c r="C3" s="1268"/>
      <c r="D3" s="1268"/>
      <c r="E3" s="1268"/>
      <c r="F3" s="1268"/>
      <c r="G3" s="1268"/>
      <c r="H3" s="1268"/>
      <c r="I3" s="1268"/>
    </row>
    <row r="4" spans="1:13" ht="24.9" customHeight="1" thickBot="1">
      <c r="A4" s="1336" t="s">
        <v>1759</v>
      </c>
      <c r="B4" s="1270"/>
      <c r="C4" s="1270"/>
      <c r="D4" s="1270"/>
      <c r="E4" s="1270"/>
      <c r="F4" s="1270"/>
      <c r="G4" s="1270"/>
      <c r="H4" s="1270"/>
      <c r="I4" s="1270"/>
      <c r="J4" s="615" t="s">
        <v>1425</v>
      </c>
    </row>
    <row r="5" spans="1:13" ht="20.95" customHeight="1">
      <c r="A5" s="1597" t="s">
        <v>292</v>
      </c>
      <c r="B5" s="1272"/>
      <c r="C5" s="1273" t="s">
        <v>15</v>
      </c>
      <c r="D5" s="1272" t="s">
        <v>293</v>
      </c>
      <c r="E5" s="1272"/>
      <c r="F5" s="1272" t="s">
        <v>294</v>
      </c>
      <c r="G5" s="1272"/>
      <c r="H5" s="1273" t="s">
        <v>1601</v>
      </c>
      <c r="I5" s="1599"/>
    </row>
    <row r="6" spans="1:13" ht="19.5" customHeight="1">
      <c r="A6" s="537" t="s">
        <v>1293</v>
      </c>
      <c r="B6" s="1177" t="s">
        <v>296</v>
      </c>
      <c r="C6" s="1598"/>
      <c r="D6" s="538" t="s">
        <v>1293</v>
      </c>
      <c r="E6" s="539" t="s">
        <v>296</v>
      </c>
      <c r="F6" s="1177" t="s">
        <v>1293</v>
      </c>
      <c r="G6" s="1177" t="s">
        <v>296</v>
      </c>
      <c r="H6" s="1177" t="s">
        <v>1293</v>
      </c>
      <c r="I6" s="540" t="s">
        <v>296</v>
      </c>
    </row>
    <row r="7" spans="1:13" ht="1.1499999999999999" customHeight="1">
      <c r="A7" s="541"/>
      <c r="B7" s="166"/>
      <c r="C7" s="165"/>
      <c r="D7" s="542"/>
      <c r="E7" s="543"/>
      <c r="F7" s="166"/>
      <c r="G7" s="166"/>
      <c r="H7" s="166"/>
      <c r="I7" s="544"/>
    </row>
    <row r="8" spans="1:13" s="1163" customFormat="1" ht="24.05" customHeight="1">
      <c r="A8" s="567">
        <v>0</v>
      </c>
      <c r="B8" s="550">
        <v>0</v>
      </c>
      <c r="C8" s="546" t="s">
        <v>16</v>
      </c>
      <c r="D8" s="547">
        <f>D12+D9</f>
        <v>7910866</v>
      </c>
      <c r="E8" s="545">
        <v>100</v>
      </c>
      <c r="F8" s="559">
        <v>0</v>
      </c>
      <c r="G8" s="550">
        <v>0</v>
      </c>
      <c r="H8" s="548">
        <f t="shared" ref="H8:H33" si="0">D8-F8</f>
        <v>7910866</v>
      </c>
      <c r="I8" s="873">
        <v>0</v>
      </c>
      <c r="J8" s="620"/>
      <c r="K8" s="612" t="e">
        <f t="shared" ref="K8:K33" si="1">ROUND(A8/$A$8*100,4)</f>
        <v>#DIV/0!</v>
      </c>
      <c r="L8" s="612">
        <f t="shared" ref="L8:L33" si="2">ROUND(D8/$D$8*100,4)</f>
        <v>100</v>
      </c>
      <c r="M8" s="612" t="e">
        <f t="shared" ref="M8:M33" si="3">ROUND(F8/$F$8*100,4)</f>
        <v>#DIV/0!</v>
      </c>
    </row>
    <row r="9" spans="1:13" s="1163" customFormat="1" ht="24.05" customHeight="1">
      <c r="A9" s="567">
        <v>0</v>
      </c>
      <c r="B9" s="550">
        <v>0</v>
      </c>
      <c r="C9" s="546" t="s">
        <v>1290</v>
      </c>
      <c r="D9" s="547">
        <f>D11+D10</f>
        <v>143009</v>
      </c>
      <c r="E9" s="550">
        <f t="shared" ref="E9:E33" si="4">ROUND(D9/$D$8*100,2)</f>
        <v>1.81</v>
      </c>
      <c r="F9" s="559">
        <f>F11</f>
        <v>0</v>
      </c>
      <c r="G9" s="550">
        <v>0</v>
      </c>
      <c r="H9" s="548">
        <f t="shared" si="0"/>
        <v>143009</v>
      </c>
      <c r="I9" s="873">
        <v>0</v>
      </c>
      <c r="J9" s="620"/>
      <c r="K9" s="612" t="e">
        <f t="shared" si="1"/>
        <v>#DIV/0!</v>
      </c>
      <c r="L9" s="612">
        <f t="shared" si="2"/>
        <v>1.8078000000000001</v>
      </c>
      <c r="M9" s="612" t="e">
        <f t="shared" si="3"/>
        <v>#DIV/0!</v>
      </c>
    </row>
    <row r="10" spans="1:13" s="1178" customFormat="1" ht="24.05" customHeight="1">
      <c r="A10" s="567">
        <v>0</v>
      </c>
      <c r="B10" s="550">
        <v>0</v>
      </c>
      <c r="C10" s="553" t="s">
        <v>1380</v>
      </c>
      <c r="D10" s="557">
        <v>31450</v>
      </c>
      <c r="E10" s="1218">
        <f t="shared" si="4"/>
        <v>0.4</v>
      </c>
      <c r="F10" s="554">
        <v>0</v>
      </c>
      <c r="G10" s="550">
        <v>0</v>
      </c>
      <c r="H10" s="558">
        <f t="shared" si="0"/>
        <v>31450</v>
      </c>
      <c r="I10" s="1200">
        <v>0</v>
      </c>
      <c r="K10" s="598" t="e">
        <f t="shared" si="1"/>
        <v>#DIV/0!</v>
      </c>
      <c r="L10" s="598">
        <f t="shared" si="2"/>
        <v>0.39760000000000001</v>
      </c>
      <c r="M10" s="598" t="e">
        <f t="shared" si="3"/>
        <v>#DIV/0!</v>
      </c>
    </row>
    <row r="11" spans="1:13" s="1178" customFormat="1" ht="24.05" customHeight="1">
      <c r="A11" s="569">
        <v>0</v>
      </c>
      <c r="B11" s="355">
        <v>0</v>
      </c>
      <c r="C11" s="553" t="s">
        <v>1424</v>
      </c>
      <c r="D11" s="557">
        <v>111559</v>
      </c>
      <c r="E11" s="355">
        <f t="shared" si="4"/>
        <v>1.41</v>
      </c>
      <c r="F11" s="554">
        <v>0</v>
      </c>
      <c r="G11" s="550">
        <v>0</v>
      </c>
      <c r="H11" s="558">
        <f t="shared" si="0"/>
        <v>111559</v>
      </c>
      <c r="I11" s="1200">
        <v>0</v>
      </c>
      <c r="J11" s="617"/>
      <c r="K11" s="587" t="e">
        <f t="shared" si="1"/>
        <v>#DIV/0!</v>
      </c>
      <c r="L11" s="587">
        <f t="shared" si="2"/>
        <v>1.4101999999999999</v>
      </c>
      <c r="M11" s="587" t="e">
        <f t="shared" si="3"/>
        <v>#DIV/0!</v>
      </c>
    </row>
    <row r="12" spans="1:13" s="1163" customFormat="1" ht="24.05" customHeight="1">
      <c r="A12" s="567">
        <v>0</v>
      </c>
      <c r="B12" s="550">
        <v>0</v>
      </c>
      <c r="C12" s="546" t="s">
        <v>1423</v>
      </c>
      <c r="D12" s="547">
        <f>D14+D13</f>
        <v>7767857</v>
      </c>
      <c r="E12" s="550">
        <f t="shared" si="4"/>
        <v>98.19</v>
      </c>
      <c r="F12" s="559">
        <f>F14</f>
        <v>0</v>
      </c>
      <c r="G12" s="550">
        <v>0</v>
      </c>
      <c r="H12" s="548">
        <f t="shared" si="0"/>
        <v>7767857</v>
      </c>
      <c r="I12" s="873">
        <v>0</v>
      </c>
      <c r="J12" s="620"/>
      <c r="K12" s="612" t="e">
        <f t="shared" si="1"/>
        <v>#DIV/0!</v>
      </c>
      <c r="L12" s="612">
        <f t="shared" si="2"/>
        <v>98.1922</v>
      </c>
      <c r="M12" s="612" t="e">
        <f t="shared" si="3"/>
        <v>#DIV/0!</v>
      </c>
    </row>
    <row r="13" spans="1:13" s="1178" customFormat="1" ht="24.05" customHeight="1">
      <c r="A13" s="567">
        <v>0</v>
      </c>
      <c r="B13" s="550">
        <v>0</v>
      </c>
      <c r="C13" s="553" t="s">
        <v>1378</v>
      </c>
      <c r="D13" s="557">
        <v>6760215</v>
      </c>
      <c r="E13" s="619">
        <f t="shared" si="4"/>
        <v>85.45</v>
      </c>
      <c r="F13" s="554">
        <v>0</v>
      </c>
      <c r="G13" s="355">
        <v>0</v>
      </c>
      <c r="H13" s="558">
        <f t="shared" si="0"/>
        <v>6760215</v>
      </c>
      <c r="I13" s="1200">
        <v>0</v>
      </c>
      <c r="K13" s="598" t="e">
        <f t="shared" si="1"/>
        <v>#DIV/0!</v>
      </c>
      <c r="L13" s="598">
        <f t="shared" si="2"/>
        <v>85.454800000000006</v>
      </c>
      <c r="M13" s="598" t="e">
        <f t="shared" si="3"/>
        <v>#DIV/0!</v>
      </c>
    </row>
    <row r="14" spans="1:13" s="1178" customFormat="1" ht="24.05" customHeight="1">
      <c r="A14" s="569">
        <v>0</v>
      </c>
      <c r="B14" s="355">
        <v>0</v>
      </c>
      <c r="C14" s="568" t="s">
        <v>1282</v>
      </c>
      <c r="D14" s="557">
        <v>1007642</v>
      </c>
      <c r="E14" s="355">
        <f t="shared" si="4"/>
        <v>12.74</v>
      </c>
      <c r="F14" s="554">
        <v>0</v>
      </c>
      <c r="G14" s="550">
        <v>0</v>
      </c>
      <c r="H14" s="558">
        <f t="shared" si="0"/>
        <v>1007642</v>
      </c>
      <c r="I14" s="1200">
        <v>0</v>
      </c>
      <c r="J14" s="617"/>
      <c r="K14" s="587" t="e">
        <f t="shared" si="1"/>
        <v>#DIV/0!</v>
      </c>
      <c r="L14" s="587">
        <f t="shared" si="2"/>
        <v>12.737399999999999</v>
      </c>
      <c r="M14" s="587" t="e">
        <f t="shared" si="3"/>
        <v>#DIV/0!</v>
      </c>
    </row>
    <row r="15" spans="1:13" s="1163" customFormat="1" ht="24.05" customHeight="1">
      <c r="A15" s="567">
        <v>0</v>
      </c>
      <c r="B15" s="550">
        <v>0</v>
      </c>
      <c r="C15" s="546" t="s">
        <v>1278</v>
      </c>
      <c r="D15" s="547">
        <f>D19+D22+D16</f>
        <v>7919702</v>
      </c>
      <c r="E15" s="550">
        <f t="shared" si="4"/>
        <v>100.11</v>
      </c>
      <c r="F15" s="554">
        <f>F19+F22+F16</f>
        <v>0</v>
      </c>
      <c r="G15" s="550">
        <v>0</v>
      </c>
      <c r="H15" s="548">
        <f t="shared" si="0"/>
        <v>7919702</v>
      </c>
      <c r="I15" s="873">
        <v>0</v>
      </c>
      <c r="J15" s="620"/>
      <c r="K15" s="612" t="e">
        <f t="shared" si="1"/>
        <v>#DIV/0!</v>
      </c>
      <c r="L15" s="612">
        <f t="shared" si="2"/>
        <v>100.1117</v>
      </c>
      <c r="M15" s="612" t="e">
        <f t="shared" si="3"/>
        <v>#DIV/0!</v>
      </c>
    </row>
    <row r="16" spans="1:13" s="1163" customFormat="1" ht="24.05" customHeight="1">
      <c r="A16" s="567">
        <v>0</v>
      </c>
      <c r="B16" s="550">
        <v>0</v>
      </c>
      <c r="C16" s="546" t="s">
        <v>1275</v>
      </c>
      <c r="D16" s="547">
        <f>+D17</f>
        <v>5</v>
      </c>
      <c r="E16" s="550">
        <f t="shared" si="4"/>
        <v>0</v>
      </c>
      <c r="F16" s="554">
        <f>+F17</f>
        <v>0</v>
      </c>
      <c r="G16" s="355">
        <v>0</v>
      </c>
      <c r="H16" s="548">
        <f t="shared" si="0"/>
        <v>5</v>
      </c>
      <c r="I16" s="873">
        <v>0</v>
      </c>
      <c r="J16" s="620"/>
      <c r="K16" s="612" t="e">
        <f t="shared" si="1"/>
        <v>#DIV/0!</v>
      </c>
      <c r="L16" s="612">
        <f t="shared" si="2"/>
        <v>1E-4</v>
      </c>
      <c r="M16" s="612" t="e">
        <f t="shared" si="3"/>
        <v>#DIV/0!</v>
      </c>
    </row>
    <row r="17" spans="1:13" s="1178" customFormat="1" ht="24.05" customHeight="1">
      <c r="A17" s="569">
        <v>0</v>
      </c>
      <c r="B17" s="355">
        <v>0</v>
      </c>
      <c r="C17" s="553" t="s">
        <v>1274</v>
      </c>
      <c r="D17" s="557">
        <v>5</v>
      </c>
      <c r="E17" s="355">
        <f t="shared" si="4"/>
        <v>0</v>
      </c>
      <c r="F17" s="554">
        <v>0</v>
      </c>
      <c r="G17" s="550">
        <v>0</v>
      </c>
      <c r="H17" s="315">
        <f t="shared" si="0"/>
        <v>5</v>
      </c>
      <c r="I17" s="1200">
        <v>0</v>
      </c>
      <c r="J17" s="617"/>
      <c r="K17" s="587" t="e">
        <f t="shared" si="1"/>
        <v>#DIV/0!</v>
      </c>
      <c r="L17" s="587">
        <f t="shared" si="2"/>
        <v>1E-4</v>
      </c>
      <c r="M17" s="587" t="e">
        <f t="shared" si="3"/>
        <v>#DIV/0!</v>
      </c>
    </row>
    <row r="18" spans="1:13" s="1178" customFormat="1" ht="24.05" hidden="1" customHeight="1">
      <c r="A18" s="569">
        <v>0</v>
      </c>
      <c r="B18" s="355">
        <v>0</v>
      </c>
      <c r="C18" s="553" t="s">
        <v>1416</v>
      </c>
      <c r="D18" s="355">
        <v>0</v>
      </c>
      <c r="E18" s="355">
        <f t="shared" si="4"/>
        <v>0</v>
      </c>
      <c r="F18" s="355">
        <v>0</v>
      </c>
      <c r="G18" s="550">
        <v>0</v>
      </c>
      <c r="H18" s="554">
        <f t="shared" si="0"/>
        <v>0</v>
      </c>
      <c r="I18" s="873">
        <v>0</v>
      </c>
      <c r="J18" s="617"/>
      <c r="K18" s="587" t="e">
        <f t="shared" si="1"/>
        <v>#DIV/0!</v>
      </c>
      <c r="L18" s="587">
        <f t="shared" si="2"/>
        <v>0</v>
      </c>
      <c r="M18" s="587" t="e">
        <f t="shared" si="3"/>
        <v>#DIV/0!</v>
      </c>
    </row>
    <row r="19" spans="1:13" s="1178" customFormat="1" ht="24.05" customHeight="1">
      <c r="A19" s="567">
        <v>0</v>
      </c>
      <c r="B19" s="550">
        <v>0</v>
      </c>
      <c r="C19" s="546" t="s">
        <v>1422</v>
      </c>
      <c r="D19" s="547">
        <f>+D20+D21</f>
        <v>6935901</v>
      </c>
      <c r="E19" s="550">
        <f t="shared" si="4"/>
        <v>87.68</v>
      </c>
      <c r="F19" s="554">
        <v>0</v>
      </c>
      <c r="G19" s="355">
        <v>0</v>
      </c>
      <c r="H19" s="319">
        <f t="shared" si="0"/>
        <v>6935901</v>
      </c>
      <c r="I19" s="873">
        <v>0</v>
      </c>
      <c r="J19" s="617"/>
      <c r="K19" s="587" t="e">
        <f t="shared" si="1"/>
        <v>#DIV/0!</v>
      </c>
      <c r="L19" s="587">
        <f t="shared" si="2"/>
        <v>87.675600000000003</v>
      </c>
      <c r="M19" s="587" t="e">
        <f t="shared" si="3"/>
        <v>#DIV/0!</v>
      </c>
    </row>
    <row r="20" spans="1:13" s="1178" customFormat="1" ht="24.05" customHeight="1">
      <c r="A20" s="569">
        <v>0</v>
      </c>
      <c r="B20" s="355">
        <v>0</v>
      </c>
      <c r="C20" s="553" t="s">
        <v>1421</v>
      </c>
      <c r="D20" s="557">
        <v>6919510</v>
      </c>
      <c r="E20" s="355">
        <f t="shared" si="4"/>
        <v>87.47</v>
      </c>
      <c r="F20" s="554">
        <v>0</v>
      </c>
      <c r="G20" s="550">
        <v>0</v>
      </c>
      <c r="H20" s="315">
        <f t="shared" si="0"/>
        <v>6919510</v>
      </c>
      <c r="I20" s="1200">
        <v>0</v>
      </c>
      <c r="J20" s="617"/>
      <c r="K20" s="587" t="e">
        <f t="shared" si="1"/>
        <v>#DIV/0!</v>
      </c>
      <c r="L20" s="587">
        <f t="shared" si="2"/>
        <v>87.468400000000003</v>
      </c>
      <c r="M20" s="587" t="e">
        <f t="shared" si="3"/>
        <v>#DIV/0!</v>
      </c>
    </row>
    <row r="21" spans="1:13" s="1178" customFormat="1" ht="24.05" customHeight="1">
      <c r="A21" s="569">
        <v>0</v>
      </c>
      <c r="B21" s="355">
        <v>0</v>
      </c>
      <c r="C21" s="553" t="s">
        <v>1419</v>
      </c>
      <c r="D21" s="554">
        <v>16391</v>
      </c>
      <c r="E21" s="355">
        <f t="shared" si="4"/>
        <v>0.21</v>
      </c>
      <c r="F21" s="554">
        <v>0</v>
      </c>
      <c r="G21" s="550">
        <v>0</v>
      </c>
      <c r="H21" s="315">
        <f t="shared" si="0"/>
        <v>16391</v>
      </c>
      <c r="I21" s="1200">
        <v>0</v>
      </c>
      <c r="J21" s="870"/>
      <c r="K21" s="587" t="e">
        <f t="shared" si="1"/>
        <v>#DIV/0!</v>
      </c>
      <c r="L21" s="587">
        <f t="shared" si="2"/>
        <v>0.2072</v>
      </c>
      <c r="M21" s="587" t="e">
        <f t="shared" si="3"/>
        <v>#DIV/0!</v>
      </c>
    </row>
    <row r="22" spans="1:13" s="1163" customFormat="1" ht="24.05" customHeight="1">
      <c r="A22" s="567">
        <v>0</v>
      </c>
      <c r="B22" s="550">
        <v>0</v>
      </c>
      <c r="C22" s="546" t="s">
        <v>1267</v>
      </c>
      <c r="D22" s="547">
        <f>SUM(D23:D23)</f>
        <v>983796</v>
      </c>
      <c r="E22" s="550">
        <f t="shared" si="4"/>
        <v>12.44</v>
      </c>
      <c r="F22" s="559">
        <f>SUM(F23:F23)</f>
        <v>0</v>
      </c>
      <c r="G22" s="550">
        <v>0</v>
      </c>
      <c r="H22" s="319">
        <f t="shared" si="0"/>
        <v>983796</v>
      </c>
      <c r="I22" s="873">
        <v>0</v>
      </c>
      <c r="J22" s="871"/>
      <c r="K22" s="612" t="e">
        <f t="shared" si="1"/>
        <v>#DIV/0!</v>
      </c>
      <c r="L22" s="612">
        <f t="shared" si="2"/>
        <v>12.436</v>
      </c>
      <c r="M22" s="612" t="e">
        <f t="shared" si="3"/>
        <v>#DIV/0!</v>
      </c>
    </row>
    <row r="23" spans="1:13" s="1178" customFormat="1" ht="24.05" customHeight="1">
      <c r="A23" s="569">
        <v>0</v>
      </c>
      <c r="B23" s="355">
        <v>0</v>
      </c>
      <c r="C23" s="553" t="s">
        <v>1418</v>
      </c>
      <c r="D23" s="557">
        <v>983796</v>
      </c>
      <c r="E23" s="355">
        <f t="shared" si="4"/>
        <v>12.44</v>
      </c>
      <c r="F23" s="554">
        <v>0</v>
      </c>
      <c r="G23" s="355">
        <v>0</v>
      </c>
      <c r="H23" s="315">
        <f t="shared" si="0"/>
        <v>983796</v>
      </c>
      <c r="I23" s="1200">
        <v>0</v>
      </c>
      <c r="J23" s="870"/>
      <c r="K23" s="587" t="e">
        <f t="shared" si="1"/>
        <v>#DIV/0!</v>
      </c>
      <c r="L23" s="587">
        <f t="shared" si="2"/>
        <v>12.436</v>
      </c>
      <c r="M23" s="587" t="e">
        <f t="shared" si="3"/>
        <v>#DIV/0!</v>
      </c>
    </row>
    <row r="24" spans="1:13" s="1163" customFormat="1" ht="24.05" customHeight="1">
      <c r="A24" s="567">
        <v>0</v>
      </c>
      <c r="B24" s="550">
        <v>0</v>
      </c>
      <c r="C24" s="742" t="s">
        <v>1265</v>
      </c>
      <c r="D24" s="319">
        <f>D8-D15</f>
        <v>-8836</v>
      </c>
      <c r="E24" s="545">
        <f t="shared" si="4"/>
        <v>-0.11</v>
      </c>
      <c r="F24" s="559">
        <f>F8-F15</f>
        <v>0</v>
      </c>
      <c r="G24" s="550">
        <v>0</v>
      </c>
      <c r="H24" s="319">
        <f t="shared" si="0"/>
        <v>-8836</v>
      </c>
      <c r="I24" s="873">
        <v>0</v>
      </c>
      <c r="J24" s="871"/>
      <c r="K24" s="612" t="e">
        <f t="shared" si="1"/>
        <v>#DIV/0!</v>
      </c>
      <c r="L24" s="612">
        <f t="shared" si="2"/>
        <v>-0.11169999999999999</v>
      </c>
      <c r="M24" s="612" t="e">
        <f t="shared" si="3"/>
        <v>#DIV/0!</v>
      </c>
    </row>
    <row r="25" spans="1:13" s="1163" customFormat="1" ht="24.05" customHeight="1">
      <c r="A25" s="567">
        <v>0</v>
      </c>
      <c r="B25" s="550">
        <v>0</v>
      </c>
      <c r="C25" s="546" t="s">
        <v>1264</v>
      </c>
      <c r="D25" s="581">
        <f>+D28+D26</f>
        <v>8836</v>
      </c>
      <c r="E25" s="550">
        <f t="shared" si="4"/>
        <v>0.11</v>
      </c>
      <c r="F25" s="581">
        <f>+F28</f>
        <v>0</v>
      </c>
      <c r="G25" s="550">
        <v>0</v>
      </c>
      <c r="H25" s="581">
        <f t="shared" si="0"/>
        <v>8836</v>
      </c>
      <c r="I25" s="873">
        <v>0</v>
      </c>
      <c r="J25" s="871"/>
      <c r="K25" s="612" t="e">
        <f t="shared" si="1"/>
        <v>#DIV/0!</v>
      </c>
      <c r="L25" s="612">
        <f t="shared" si="2"/>
        <v>0.11169999999999999</v>
      </c>
      <c r="M25" s="612" t="e">
        <f t="shared" si="3"/>
        <v>#DIV/0!</v>
      </c>
    </row>
    <row r="26" spans="1:13" s="1163" customFormat="1" ht="24.05" customHeight="1">
      <c r="A26" s="567">
        <v>0</v>
      </c>
      <c r="B26" s="550">
        <v>0</v>
      </c>
      <c r="C26" s="546" t="s">
        <v>149</v>
      </c>
      <c r="D26" s="559">
        <f>+D27</f>
        <v>13</v>
      </c>
      <c r="E26" s="309">
        <f t="shared" si="4"/>
        <v>0</v>
      </c>
      <c r="F26" s="559">
        <f>+F27</f>
        <v>0</v>
      </c>
      <c r="G26" s="550">
        <v>0</v>
      </c>
      <c r="H26" s="319">
        <f t="shared" si="0"/>
        <v>13</v>
      </c>
      <c r="I26" s="873">
        <v>0</v>
      </c>
      <c r="K26" s="612" t="e">
        <f t="shared" si="1"/>
        <v>#DIV/0!</v>
      </c>
      <c r="L26" s="612">
        <f t="shared" si="2"/>
        <v>2.0000000000000001E-4</v>
      </c>
      <c r="M26" s="612" t="e">
        <f t="shared" si="3"/>
        <v>#DIV/0!</v>
      </c>
    </row>
    <row r="27" spans="1:13" s="1178" customFormat="1" ht="24.25" customHeight="1">
      <c r="A27" s="567">
        <v>0</v>
      </c>
      <c r="B27" s="309">
        <v>0</v>
      </c>
      <c r="C27" s="553" t="s">
        <v>150</v>
      </c>
      <c r="D27" s="554">
        <v>13</v>
      </c>
      <c r="E27" s="312">
        <f t="shared" si="4"/>
        <v>0</v>
      </c>
      <c r="F27" s="554">
        <v>0</v>
      </c>
      <c r="G27" s="312">
        <v>0</v>
      </c>
      <c r="H27" s="315">
        <f t="shared" si="0"/>
        <v>13</v>
      </c>
      <c r="I27" s="1200">
        <v>0</v>
      </c>
      <c r="K27" s="587" t="e">
        <f t="shared" si="1"/>
        <v>#DIV/0!</v>
      </c>
      <c r="L27" s="587">
        <f t="shared" si="2"/>
        <v>2.0000000000000001E-4</v>
      </c>
      <c r="M27" s="587" t="e">
        <f t="shared" si="3"/>
        <v>#DIV/0!</v>
      </c>
    </row>
    <row r="28" spans="1:13" s="1163" customFormat="1" ht="24.05" customHeight="1">
      <c r="A28" s="567">
        <v>0</v>
      </c>
      <c r="B28" s="550">
        <v>0</v>
      </c>
      <c r="C28" s="546" t="s">
        <v>1415</v>
      </c>
      <c r="D28" s="581">
        <f>+D29+D30+D31</f>
        <v>8823</v>
      </c>
      <c r="E28" s="550">
        <f t="shared" si="4"/>
        <v>0.11</v>
      </c>
      <c r="F28" s="581">
        <f>+F29+F30+F31</f>
        <v>0</v>
      </c>
      <c r="G28" s="550">
        <v>0</v>
      </c>
      <c r="H28" s="581">
        <f t="shared" si="0"/>
        <v>8823</v>
      </c>
      <c r="I28" s="873">
        <v>0</v>
      </c>
      <c r="J28" s="871"/>
      <c r="K28" s="612" t="e">
        <f t="shared" si="1"/>
        <v>#DIV/0!</v>
      </c>
      <c r="L28" s="612">
        <f t="shared" si="2"/>
        <v>0.1115</v>
      </c>
      <c r="M28" s="612" t="e">
        <f t="shared" si="3"/>
        <v>#DIV/0!</v>
      </c>
    </row>
    <row r="29" spans="1:13" s="1163" customFormat="1" ht="24.25" customHeight="1">
      <c r="A29" s="569">
        <v>0</v>
      </c>
      <c r="B29" s="355">
        <v>0</v>
      </c>
      <c r="C29" s="553" t="s">
        <v>1414</v>
      </c>
      <c r="D29" s="572">
        <v>1770</v>
      </c>
      <c r="E29" s="355">
        <f t="shared" si="4"/>
        <v>0.02</v>
      </c>
      <c r="F29" s="572">
        <v>0</v>
      </c>
      <c r="G29" s="550">
        <v>0</v>
      </c>
      <c r="H29" s="572">
        <f t="shared" si="0"/>
        <v>1770</v>
      </c>
      <c r="I29" s="1200">
        <v>0</v>
      </c>
      <c r="J29" s="871"/>
      <c r="K29" s="612" t="e">
        <f t="shared" si="1"/>
        <v>#DIV/0!</v>
      </c>
      <c r="L29" s="612">
        <f t="shared" si="2"/>
        <v>2.24E-2</v>
      </c>
      <c r="M29" s="612" t="e">
        <f t="shared" si="3"/>
        <v>#DIV/0!</v>
      </c>
    </row>
    <row r="30" spans="1:13" s="1163" customFormat="1" ht="25.55" customHeight="1">
      <c r="A30" s="569">
        <v>0</v>
      </c>
      <c r="B30" s="355">
        <v>0</v>
      </c>
      <c r="C30" s="553" t="s">
        <v>1413</v>
      </c>
      <c r="D30" s="572">
        <v>7050</v>
      </c>
      <c r="E30" s="355">
        <f t="shared" si="4"/>
        <v>0.09</v>
      </c>
      <c r="F30" s="581">
        <v>0</v>
      </c>
      <c r="G30" s="550">
        <v>0</v>
      </c>
      <c r="H30" s="572">
        <f t="shared" si="0"/>
        <v>7050</v>
      </c>
      <c r="I30" s="1200">
        <v>0</v>
      </c>
      <c r="J30" s="871"/>
      <c r="K30" s="612" t="e">
        <f t="shared" si="1"/>
        <v>#DIV/0!</v>
      </c>
      <c r="L30" s="612">
        <f t="shared" si="2"/>
        <v>8.9099999999999999E-2</v>
      </c>
      <c r="M30" s="612" t="e">
        <f t="shared" si="3"/>
        <v>#DIV/0!</v>
      </c>
    </row>
    <row r="31" spans="1:13" s="1163" customFormat="1" ht="24.9" customHeight="1">
      <c r="A31" s="569">
        <v>0</v>
      </c>
      <c r="B31" s="355">
        <v>0</v>
      </c>
      <c r="C31" s="553" t="s">
        <v>1412</v>
      </c>
      <c r="D31" s="572">
        <v>3</v>
      </c>
      <c r="E31" s="355">
        <f t="shared" si="4"/>
        <v>0</v>
      </c>
      <c r="F31" s="581">
        <v>0</v>
      </c>
      <c r="G31" s="550">
        <v>0</v>
      </c>
      <c r="H31" s="572">
        <f t="shared" si="0"/>
        <v>3</v>
      </c>
      <c r="I31" s="1200">
        <v>0</v>
      </c>
      <c r="J31" s="871"/>
      <c r="K31" s="612" t="e">
        <f t="shared" si="1"/>
        <v>#DIV/0!</v>
      </c>
      <c r="L31" s="612">
        <f t="shared" si="2"/>
        <v>0</v>
      </c>
      <c r="M31" s="612" t="e">
        <f t="shared" si="3"/>
        <v>#DIV/0!</v>
      </c>
    </row>
    <row r="32" spans="1:13" s="1163" customFormat="1" ht="24.05" customHeight="1">
      <c r="A32" s="567">
        <v>0</v>
      </c>
      <c r="B32" s="550">
        <v>0</v>
      </c>
      <c r="C32" s="546" t="s">
        <v>1407</v>
      </c>
      <c r="D32" s="581">
        <f>D25</f>
        <v>8836</v>
      </c>
      <c r="E32" s="550">
        <f t="shared" si="4"/>
        <v>0.11</v>
      </c>
      <c r="F32" s="581">
        <v>0</v>
      </c>
      <c r="G32" s="550">
        <v>0</v>
      </c>
      <c r="H32" s="581">
        <f t="shared" si="0"/>
        <v>8836</v>
      </c>
      <c r="I32" s="873">
        <v>0</v>
      </c>
      <c r="J32" s="32"/>
      <c r="K32" s="612" t="e">
        <f t="shared" si="1"/>
        <v>#DIV/0!</v>
      </c>
      <c r="L32" s="612">
        <f t="shared" si="2"/>
        <v>0.11169999999999999</v>
      </c>
      <c r="M32" s="612" t="e">
        <f t="shared" si="3"/>
        <v>#DIV/0!</v>
      </c>
    </row>
    <row r="33" spans="1:15" s="1163" customFormat="1" ht="26.35" customHeight="1" thickBot="1">
      <c r="A33" s="622">
        <v>0</v>
      </c>
      <c r="B33" s="606">
        <v>0</v>
      </c>
      <c r="C33" s="583" t="s">
        <v>376</v>
      </c>
      <c r="D33" s="866">
        <f>+D32+D24</f>
        <v>0</v>
      </c>
      <c r="E33" s="822">
        <f t="shared" si="4"/>
        <v>0</v>
      </c>
      <c r="F33" s="866">
        <f>+F32+F24</f>
        <v>0</v>
      </c>
      <c r="G33" s="822">
        <v>0</v>
      </c>
      <c r="H33" s="875">
        <f t="shared" si="0"/>
        <v>0</v>
      </c>
      <c r="I33" s="876">
        <v>0</v>
      </c>
      <c r="J33" s="32"/>
      <c r="K33" s="612" t="e">
        <f t="shared" si="1"/>
        <v>#DIV/0!</v>
      </c>
      <c r="L33" s="612">
        <f t="shared" si="2"/>
        <v>0</v>
      </c>
      <c r="M33" s="612" t="e">
        <f t="shared" si="3"/>
        <v>#DIV/0!</v>
      </c>
    </row>
    <row r="34" spans="1:15" s="1163" customFormat="1" ht="11.45" hidden="1" customHeight="1">
      <c r="A34" s="567"/>
      <c r="B34" s="559"/>
      <c r="C34" s="546"/>
      <c r="D34" s="581"/>
      <c r="E34" s="559"/>
      <c r="F34" s="581"/>
      <c r="G34" s="559"/>
      <c r="H34" s="581"/>
      <c r="I34" s="570"/>
      <c r="J34" s="32"/>
      <c r="K34" s="612"/>
      <c r="L34" s="612"/>
      <c r="M34" s="612"/>
    </row>
    <row r="35" spans="1:15" s="1163" customFormat="1" ht="13.25" hidden="1" customHeight="1">
      <c r="A35" s="567"/>
      <c r="B35" s="559"/>
      <c r="C35" s="546"/>
      <c r="D35" s="581"/>
      <c r="E35" s="559"/>
      <c r="F35" s="581"/>
      <c r="G35" s="559"/>
      <c r="H35" s="581"/>
      <c r="I35" s="570"/>
      <c r="J35" s="32"/>
      <c r="K35" s="612"/>
      <c r="L35" s="612"/>
      <c r="M35" s="612"/>
    </row>
    <row r="36" spans="1:15" s="1163" customFormat="1" ht="14.25" hidden="1" customHeight="1">
      <c r="A36" s="567"/>
      <c r="B36" s="559"/>
      <c r="C36" s="546"/>
      <c r="D36" s="581"/>
      <c r="E36" s="559"/>
      <c r="F36" s="581"/>
      <c r="G36" s="559"/>
      <c r="H36" s="581"/>
      <c r="I36" s="570"/>
      <c r="J36" s="32"/>
      <c r="K36" s="612"/>
      <c r="L36" s="612"/>
      <c r="M36" s="612"/>
    </row>
    <row r="37" spans="1:15" s="1163" customFormat="1" ht="6.75" hidden="1" customHeight="1">
      <c r="A37" s="567"/>
      <c r="B37" s="559"/>
      <c r="C37" s="546"/>
      <c r="D37" s="581"/>
      <c r="E37" s="559"/>
      <c r="F37" s="581"/>
      <c r="G37" s="559"/>
      <c r="H37" s="581"/>
      <c r="I37" s="570"/>
      <c r="J37" s="32"/>
      <c r="K37" s="612"/>
      <c r="L37" s="612"/>
      <c r="M37" s="612"/>
    </row>
    <row r="38" spans="1:15" ht="35.35" customHeight="1">
      <c r="A38" s="1259" t="s">
        <v>1686</v>
      </c>
      <c r="B38" s="1260"/>
      <c r="C38" s="1260"/>
      <c r="D38" s="1260"/>
      <c r="E38" s="1260"/>
      <c r="F38" s="1260"/>
      <c r="G38" s="1260"/>
      <c r="H38" s="1260"/>
      <c r="I38" s="1260"/>
      <c r="J38" s="2"/>
    </row>
    <row r="39" spans="1:15" s="615" customFormat="1" ht="15.05">
      <c r="A39" s="607" t="s">
        <v>675</v>
      </c>
      <c r="B39" s="608"/>
      <c r="C39" s="609"/>
      <c r="D39" s="616"/>
      <c r="E39" s="610"/>
      <c r="F39" s="608"/>
      <c r="G39" s="608"/>
      <c r="H39" s="608"/>
      <c r="I39" s="608"/>
      <c r="K39" s="2"/>
      <c r="L39" s="2"/>
      <c r="M39" s="2"/>
      <c r="N39" s="2"/>
      <c r="O39" s="2"/>
    </row>
    <row r="40" spans="1:15" s="615" customFormat="1" ht="15.05">
      <c r="A40" s="2"/>
      <c r="B40" s="2"/>
      <c r="C40" s="611"/>
      <c r="D40" s="156"/>
      <c r="E40" s="282"/>
      <c r="F40" s="2"/>
      <c r="G40" s="2"/>
      <c r="H40" s="2"/>
      <c r="I40" s="2"/>
      <c r="K40" s="2"/>
      <c r="L40" s="2"/>
      <c r="M40" s="2"/>
      <c r="N40" s="2"/>
      <c r="O40" s="2"/>
    </row>
    <row r="41" spans="1:15" s="615" customFormat="1" ht="15.05">
      <c r="A41" s="2"/>
      <c r="B41" s="2"/>
      <c r="C41" s="611"/>
      <c r="D41" s="156"/>
      <c r="E41" s="282"/>
      <c r="F41" s="2"/>
      <c r="G41" s="2"/>
      <c r="H41" s="2"/>
      <c r="I41" s="2"/>
      <c r="K41" s="2"/>
      <c r="L41" s="2"/>
      <c r="M41" s="2"/>
      <c r="N41" s="2"/>
      <c r="O41" s="2"/>
    </row>
    <row r="42" spans="1:15" s="615" customFormat="1" ht="15.05">
      <c r="A42" s="2"/>
      <c r="B42" s="2"/>
      <c r="C42" s="611"/>
      <c r="D42" s="156"/>
      <c r="E42" s="282"/>
      <c r="F42" s="2"/>
      <c r="G42" s="2"/>
      <c r="H42" s="2"/>
      <c r="I42" s="2"/>
      <c r="K42" s="2"/>
      <c r="L42" s="2"/>
      <c r="M42" s="2"/>
      <c r="N42" s="2"/>
      <c r="O42" s="2"/>
    </row>
    <row r="43" spans="1:15" s="615" customFormat="1" ht="15.05">
      <c r="A43" s="2"/>
      <c r="B43" s="2"/>
      <c r="C43" s="611"/>
      <c r="D43" s="156"/>
      <c r="E43" s="282"/>
      <c r="F43" s="2"/>
      <c r="G43" s="2"/>
      <c r="H43" s="2"/>
      <c r="I43" s="2"/>
      <c r="K43" s="2"/>
      <c r="L43" s="2"/>
      <c r="M43" s="2"/>
      <c r="N43" s="2"/>
      <c r="O43" s="2"/>
    </row>
    <row r="44" spans="1:15" s="615" customFormat="1" ht="15.05">
      <c r="A44" s="2"/>
      <c r="B44" s="2"/>
      <c r="C44" s="611"/>
      <c r="D44" s="156"/>
      <c r="E44" s="282"/>
      <c r="F44" s="2"/>
      <c r="G44" s="2"/>
      <c r="H44" s="2"/>
      <c r="I44" s="2"/>
      <c r="K44" s="2"/>
      <c r="L44" s="2"/>
      <c r="M44" s="2"/>
      <c r="N44" s="2"/>
      <c r="O44" s="2"/>
    </row>
    <row r="45" spans="1:15" s="615" customFormat="1" ht="15.05">
      <c r="A45" s="2"/>
      <c r="B45" s="2"/>
      <c r="C45" s="611"/>
      <c r="D45" s="156"/>
      <c r="E45" s="282"/>
      <c r="F45" s="2"/>
      <c r="G45" s="2"/>
      <c r="H45" s="2"/>
      <c r="I45" s="2"/>
      <c r="K45" s="2"/>
      <c r="L45" s="2"/>
      <c r="M45" s="2"/>
      <c r="N45" s="2"/>
      <c r="O45" s="2"/>
    </row>
    <row r="46" spans="1:15" s="615" customFormat="1" ht="15.05">
      <c r="A46" s="2"/>
      <c r="B46" s="2"/>
      <c r="C46" s="611"/>
      <c r="D46" s="156"/>
      <c r="E46" s="282"/>
      <c r="F46" s="2"/>
      <c r="G46" s="2"/>
      <c r="H46" s="2"/>
      <c r="I46" s="2"/>
      <c r="K46" s="2"/>
      <c r="L46" s="2"/>
      <c r="M46" s="2"/>
      <c r="N46" s="2"/>
      <c r="O46" s="2"/>
    </row>
    <row r="47" spans="1:15" s="615" customFormat="1" ht="15.05">
      <c r="A47" s="2"/>
      <c r="B47" s="2"/>
      <c r="C47" s="611"/>
      <c r="D47" s="156"/>
      <c r="E47" s="282"/>
      <c r="F47" s="2"/>
      <c r="G47" s="2"/>
      <c r="H47" s="2"/>
      <c r="I47" s="2"/>
      <c r="K47" s="2"/>
      <c r="L47" s="2"/>
      <c r="M47" s="2"/>
      <c r="N47" s="2"/>
      <c r="O47" s="2"/>
    </row>
  </sheetData>
  <mergeCells count="10">
    <mergeCell ref="A38:I38"/>
    <mergeCell ref="A1:I1"/>
    <mergeCell ref="A2:I2"/>
    <mergeCell ref="A3:I3"/>
    <mergeCell ref="A4:I4"/>
    <mergeCell ref="A5:B5"/>
    <mergeCell ref="C5:C6"/>
    <mergeCell ref="D5:E5"/>
    <mergeCell ref="F5:G5"/>
    <mergeCell ref="H5:I5"/>
  </mergeCells>
  <phoneticPr fontId="5" type="noConversion"/>
  <printOptions horizontalCentered="1"/>
  <pageMargins left="0.59055118110236227" right="0.59055118110236227" top="0.59055118110236227" bottom="0.78740157480314965" header="0.51181102362204722" footer="0.51181102362204722"/>
  <pageSetup paperSize="9" orientation="portrait" useFirstPageNumber="1" r:id="rId1"/>
  <headerFooter alignWithMargins="0">
    <oddFooter>&amp;C&amp;"細明體,標準"附&amp;"Times New Roman,標準"5-&amp;P</odd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A1:H39"/>
  <sheetViews>
    <sheetView view="pageBreakPreview" topLeftCell="A24" zoomScaleNormal="100" zoomScaleSheetLayoutView="100" workbookViewId="0">
      <selection activeCell="D21" sqref="D21"/>
    </sheetView>
  </sheetViews>
  <sheetFormatPr defaultColWidth="9" defaultRowHeight="15.05"/>
  <cols>
    <col min="1" max="1" width="41.875" style="6" customWidth="1"/>
    <col min="2" max="2" width="12.25" style="6" customWidth="1"/>
    <col min="3" max="3" width="15.625" style="6" customWidth="1"/>
    <col min="4" max="4" width="12.625" style="6" customWidth="1"/>
    <col min="5" max="5" width="7.25" style="6" customWidth="1"/>
    <col min="6" max="6" width="39" style="6" customWidth="1"/>
    <col min="7" max="7" width="9" style="6"/>
    <col min="8" max="8" width="26.375" style="6" customWidth="1"/>
    <col min="9" max="9" width="19.875" style="6" customWidth="1"/>
    <col min="10" max="16384" width="9" style="6"/>
  </cols>
  <sheetData>
    <row r="1" spans="1:8" s="2" customFormat="1" ht="22.25">
      <c r="A1" s="1266" t="s">
        <v>1492</v>
      </c>
      <c r="B1" s="1266"/>
      <c r="C1" s="1266"/>
      <c r="D1" s="1266"/>
      <c r="E1" s="1266"/>
      <c r="F1" s="1"/>
      <c r="G1" s="1"/>
      <c r="H1" s="1"/>
    </row>
    <row r="2" spans="1:8" s="2" customFormat="1" ht="22.25">
      <c r="A2" s="1266" t="s">
        <v>1493</v>
      </c>
      <c r="B2" s="1266"/>
      <c r="C2" s="1266"/>
      <c r="D2" s="1266"/>
      <c r="E2" s="1266"/>
      <c r="F2" s="1"/>
      <c r="G2" s="1"/>
      <c r="H2" s="1"/>
    </row>
    <row r="3" spans="1:8" s="2" customFormat="1" ht="24.75" customHeight="1">
      <c r="A3" s="1267" t="s">
        <v>1737</v>
      </c>
      <c r="B3" s="1268"/>
      <c r="C3" s="1268"/>
      <c r="D3" s="1268"/>
      <c r="E3" s="1268"/>
      <c r="F3" s="3"/>
      <c r="G3" s="3"/>
      <c r="H3" s="3"/>
    </row>
    <row r="4" spans="1:8" s="2" customFormat="1" ht="24.9" customHeight="1" thickBot="1">
      <c r="A4" s="1316" t="s">
        <v>1760</v>
      </c>
      <c r="B4" s="1287"/>
      <c r="C4" s="1287"/>
      <c r="D4" s="1287"/>
      <c r="E4" s="1287"/>
      <c r="F4" s="4"/>
      <c r="G4" s="4"/>
      <c r="H4" s="4"/>
    </row>
    <row r="5" spans="1:8">
      <c r="A5" s="1310" t="s">
        <v>1494</v>
      </c>
      <c r="B5" s="1313" t="s">
        <v>1495</v>
      </c>
      <c r="C5" s="1317" t="s">
        <v>1496</v>
      </c>
      <c r="D5" s="1318"/>
      <c r="E5" s="1319"/>
      <c r="F5" s="4"/>
      <c r="G5" s="4"/>
      <c r="H5" s="4"/>
    </row>
    <row r="6" spans="1:8">
      <c r="A6" s="1311"/>
      <c r="B6" s="1314"/>
      <c r="C6" s="1320"/>
      <c r="D6" s="1321"/>
      <c r="E6" s="1322"/>
      <c r="F6" s="4"/>
      <c r="G6" s="4"/>
      <c r="H6" s="4"/>
    </row>
    <row r="7" spans="1:8" ht="12.8" customHeight="1">
      <c r="A7" s="1312"/>
      <c r="B7" s="1315"/>
      <c r="C7" s="1323"/>
      <c r="D7" s="1324"/>
      <c r="E7" s="1325"/>
    </row>
    <row r="8" spans="1:8" ht="2.65" customHeight="1">
      <c r="A8" s="1212"/>
      <c r="B8" s="1213"/>
      <c r="C8" s="84"/>
      <c r="D8" s="133"/>
      <c r="E8" s="87"/>
    </row>
    <row r="9" spans="1:8" s="1210" customFormat="1" ht="25.55" customHeight="1">
      <c r="A9" s="359" t="s">
        <v>64</v>
      </c>
      <c r="B9" s="135"/>
      <c r="C9" s="136"/>
      <c r="D9" s="137"/>
      <c r="E9" s="138"/>
    </row>
    <row r="10" spans="1:8" s="1163" customFormat="1" ht="25.55" customHeight="1">
      <c r="A10" s="68" t="s">
        <v>1497</v>
      </c>
      <c r="B10" s="186">
        <v>0</v>
      </c>
      <c r="C10" s="140"/>
      <c r="D10" s="141"/>
      <c r="E10" s="138"/>
    </row>
    <row r="11" spans="1:8" s="1163" customFormat="1" ht="25.55" customHeight="1">
      <c r="A11" s="68" t="s">
        <v>1498</v>
      </c>
      <c r="B11" s="31">
        <f>-D11+D12</f>
        <v>-143022</v>
      </c>
      <c r="C11" s="1214" t="s">
        <v>364</v>
      </c>
      <c r="D11" s="1211">
        <v>143022</v>
      </c>
      <c r="E11" s="1209" t="s">
        <v>65</v>
      </c>
    </row>
    <row r="12" spans="1:8" s="1163" customFormat="1" ht="20.3" hidden="1" customHeight="1">
      <c r="A12" s="68"/>
      <c r="B12" s="67"/>
      <c r="C12" s="1214" t="s">
        <v>329</v>
      </c>
      <c r="D12" s="1211">
        <v>0</v>
      </c>
      <c r="E12" s="1209" t="s">
        <v>65</v>
      </c>
    </row>
    <row r="13" spans="1:8" s="1163" customFormat="1" ht="24.9" customHeight="1">
      <c r="A13" s="68" t="s">
        <v>367</v>
      </c>
      <c r="B13" s="31">
        <f>+B10+B11</f>
        <v>-143022</v>
      </c>
      <c r="C13" s="140"/>
      <c r="D13" s="141"/>
      <c r="E13" s="138"/>
    </row>
    <row r="14" spans="1:8" s="1163" customFormat="1" ht="24.9" customHeight="1">
      <c r="A14" s="68" t="s">
        <v>1499</v>
      </c>
      <c r="B14" s="142">
        <f>D14+D15+D16+D17+D18+D19</f>
        <v>-2515352</v>
      </c>
      <c r="C14" s="1214" t="s">
        <v>1500</v>
      </c>
      <c r="D14" s="1211">
        <v>16391</v>
      </c>
      <c r="E14" s="1209" t="s">
        <v>1501</v>
      </c>
      <c r="F14" s="1164"/>
    </row>
    <row r="15" spans="1:8" s="1163" customFormat="1" ht="25.55" customHeight="1">
      <c r="A15" s="68"/>
      <c r="B15" s="142"/>
      <c r="C15" s="1214" t="s">
        <v>1502</v>
      </c>
      <c r="D15" s="1211">
        <v>-1007642</v>
      </c>
      <c r="E15" s="1209" t="s">
        <v>65</v>
      </c>
      <c r="F15" s="1164"/>
    </row>
    <row r="16" spans="1:8" s="1210" customFormat="1" ht="21.8" hidden="1" customHeight="1">
      <c r="A16" s="68"/>
      <c r="B16" s="142"/>
      <c r="C16" s="1214" t="s">
        <v>332</v>
      </c>
      <c r="D16" s="1211">
        <v>0</v>
      </c>
      <c r="E16" s="1209" t="s">
        <v>65</v>
      </c>
    </row>
    <row r="17" spans="1:8" s="1210" customFormat="1" ht="36.65" hidden="1" customHeight="1">
      <c r="A17" s="68"/>
      <c r="B17" s="142"/>
      <c r="C17" s="1214" t="s">
        <v>365</v>
      </c>
      <c r="D17" s="1211">
        <v>0</v>
      </c>
      <c r="E17" s="1209" t="s">
        <v>65</v>
      </c>
    </row>
    <row r="18" spans="1:8" s="1163" customFormat="1" ht="24.9" customHeight="1">
      <c r="A18" s="68" t="s">
        <v>66</v>
      </c>
      <c r="B18" s="31"/>
      <c r="C18" s="1214" t="s">
        <v>1503</v>
      </c>
      <c r="D18" s="1211">
        <v>-1591270</v>
      </c>
      <c r="E18" s="1209" t="s">
        <v>65</v>
      </c>
      <c r="F18" s="36"/>
      <c r="H18" s="10"/>
    </row>
    <row r="19" spans="1:8" s="1210" customFormat="1" ht="25.55" customHeight="1">
      <c r="A19" s="68" t="s">
        <v>66</v>
      </c>
      <c r="B19" s="31"/>
      <c r="C19" s="1214" t="s">
        <v>1517</v>
      </c>
      <c r="D19" s="1211">
        <v>67169</v>
      </c>
      <c r="E19" s="1209" t="s">
        <v>65</v>
      </c>
    </row>
    <row r="20" spans="1:8" s="1163" customFormat="1" ht="24.9" customHeight="1">
      <c r="A20" s="68" t="s">
        <v>368</v>
      </c>
      <c r="B20" s="31">
        <f>+B13+B14</f>
        <v>-2658374</v>
      </c>
      <c r="C20" s="140"/>
      <c r="D20" s="141"/>
      <c r="E20" s="138"/>
    </row>
    <row r="21" spans="1:8" s="1163" customFormat="1" ht="25.55" customHeight="1">
      <c r="A21" s="68" t="s">
        <v>366</v>
      </c>
      <c r="B21" s="31">
        <v>13</v>
      </c>
      <c r="C21" s="1326" t="s">
        <v>1504</v>
      </c>
      <c r="D21" s="1327"/>
      <c r="E21" s="1328"/>
    </row>
    <row r="22" spans="1:8" s="1210" customFormat="1" ht="27" customHeight="1">
      <c r="A22" s="359" t="s">
        <v>333</v>
      </c>
      <c r="B22" s="27">
        <f>+B20+B21</f>
        <v>-2658361</v>
      </c>
      <c r="C22" s="360"/>
      <c r="D22" s="361"/>
      <c r="E22" s="1209"/>
    </row>
    <row r="23" spans="1:8" s="1210" customFormat="1" ht="27.65" customHeight="1">
      <c r="A23" s="359" t="s">
        <v>67</v>
      </c>
      <c r="B23" s="27"/>
      <c r="C23" s="362"/>
      <c r="D23" s="363"/>
      <c r="E23" s="364"/>
    </row>
    <row r="24" spans="1:8" s="1210" customFormat="1" ht="26.35" customHeight="1">
      <c r="A24" s="68" t="s">
        <v>1505</v>
      </c>
      <c r="B24" s="31">
        <v>667290</v>
      </c>
      <c r="C24" s="1606" t="s">
        <v>1506</v>
      </c>
      <c r="D24" s="1307"/>
      <c r="E24" s="1308"/>
    </row>
    <row r="25" spans="1:8" s="1210" customFormat="1" ht="33.049999999999997" customHeight="1">
      <c r="A25" s="68" t="s">
        <v>399</v>
      </c>
      <c r="B25" s="31">
        <v>159800</v>
      </c>
      <c r="C25" s="1309" t="s">
        <v>1507</v>
      </c>
      <c r="D25" s="1307"/>
      <c r="E25" s="1308"/>
    </row>
    <row r="26" spans="1:8" s="1210" customFormat="1" ht="26.85" customHeight="1">
      <c r="A26" s="68" t="s">
        <v>366</v>
      </c>
      <c r="B26" s="31">
        <v>105444</v>
      </c>
      <c r="C26" s="1334" t="s">
        <v>1518</v>
      </c>
      <c r="D26" s="1327"/>
      <c r="E26" s="1328"/>
    </row>
    <row r="27" spans="1:8" s="1210" customFormat="1" ht="33.049999999999997" customHeight="1">
      <c r="A27" s="68" t="s">
        <v>1508</v>
      </c>
      <c r="B27" s="31">
        <f>-20536470-667290</f>
        <v>-21203760</v>
      </c>
      <c r="C27" s="1617" t="s">
        <v>1660</v>
      </c>
      <c r="D27" s="1618"/>
      <c r="E27" s="1619"/>
    </row>
    <row r="28" spans="1:8" s="1210" customFormat="1" ht="32.4" customHeight="1">
      <c r="A28" s="68" t="s">
        <v>1509</v>
      </c>
      <c r="B28" s="31">
        <f>-9115655-159800</f>
        <v>-9275455</v>
      </c>
      <c r="C28" s="1335" t="s">
        <v>1661</v>
      </c>
      <c r="D28" s="1327"/>
      <c r="E28" s="1328"/>
    </row>
    <row r="29" spans="1:8" s="1210" customFormat="1" ht="27" hidden="1" customHeight="1">
      <c r="A29" s="68" t="s">
        <v>1510</v>
      </c>
      <c r="B29" s="31"/>
      <c r="C29" s="1606" t="s">
        <v>1596</v>
      </c>
      <c r="D29" s="1307"/>
      <c r="E29" s="1308"/>
    </row>
    <row r="30" spans="1:8" s="1210" customFormat="1" ht="27.65" customHeight="1">
      <c r="A30" s="359" t="s">
        <v>388</v>
      </c>
      <c r="B30" s="27">
        <f>SUM(B24:B29)</f>
        <v>-29546681</v>
      </c>
      <c r="C30" s="360"/>
      <c r="D30" s="361"/>
      <c r="E30" s="364"/>
    </row>
    <row r="31" spans="1:8" s="1210" customFormat="1" ht="27.65" customHeight="1">
      <c r="A31" s="359" t="s">
        <v>353</v>
      </c>
      <c r="B31" s="143"/>
      <c r="C31" s="365"/>
      <c r="D31" s="366"/>
      <c r="E31" s="364"/>
    </row>
    <row r="32" spans="1:8" s="378" customFormat="1" ht="26.85" customHeight="1">
      <c r="A32" s="68" t="s">
        <v>335</v>
      </c>
      <c r="B32" s="31">
        <v>36343868</v>
      </c>
      <c r="C32" s="1335" t="s">
        <v>1795</v>
      </c>
      <c r="D32" s="1327"/>
      <c r="E32" s="1328"/>
    </row>
    <row r="33" spans="1:5" s="378" customFormat="1" ht="39.799999999999997" hidden="1" customHeight="1">
      <c r="A33" s="68" t="s">
        <v>336</v>
      </c>
      <c r="B33" s="31">
        <v>0</v>
      </c>
      <c r="C33" s="1334" t="s">
        <v>400</v>
      </c>
      <c r="D33" s="1327"/>
      <c r="E33" s="1328"/>
    </row>
    <row r="34" spans="1:5" s="378" customFormat="1" ht="24.75" hidden="1" customHeight="1">
      <c r="A34" s="68" t="s">
        <v>337</v>
      </c>
      <c r="B34" s="31">
        <v>0</v>
      </c>
      <c r="C34" s="1334" t="s">
        <v>1511</v>
      </c>
      <c r="D34" s="1327"/>
      <c r="E34" s="1328"/>
    </row>
    <row r="35" spans="1:5" s="378" customFormat="1" ht="82.15" hidden="1" customHeight="1">
      <c r="A35" s="139" t="s">
        <v>1516</v>
      </c>
      <c r="B35" s="31"/>
      <c r="C35" s="1600" t="s">
        <v>1514</v>
      </c>
      <c r="D35" s="1601"/>
      <c r="E35" s="1602"/>
    </row>
    <row r="36" spans="1:5" s="1210" customFormat="1" ht="25.85" customHeight="1">
      <c r="A36" s="359" t="s">
        <v>389</v>
      </c>
      <c r="B36" s="77">
        <f>SUM(B32:B35)</f>
        <v>36343868</v>
      </c>
      <c r="C36" s="367"/>
      <c r="D36" s="368"/>
      <c r="E36" s="369"/>
    </row>
    <row r="37" spans="1:5" s="1210" customFormat="1" ht="24.25" customHeight="1">
      <c r="A37" s="359" t="s">
        <v>390</v>
      </c>
      <c r="B37" s="77">
        <f>B22+B30+B36</f>
        <v>4138826</v>
      </c>
      <c r="C37" s="370"/>
      <c r="D37" s="371"/>
      <c r="E37" s="372"/>
    </row>
    <row r="38" spans="1:5" s="1210" customFormat="1" ht="24.25" customHeight="1">
      <c r="A38" s="359" t="s">
        <v>73</v>
      </c>
      <c r="B38" s="143">
        <v>0</v>
      </c>
      <c r="C38" s="370"/>
      <c r="D38" s="371"/>
      <c r="E38" s="372"/>
    </row>
    <row r="39" spans="1:5" s="1210" customFormat="1" ht="23.6" customHeight="1" thickBot="1">
      <c r="A39" s="373" t="s">
        <v>74</v>
      </c>
      <c r="B39" s="144">
        <f>B37+B38</f>
        <v>4138826</v>
      </c>
      <c r="C39" s="374"/>
      <c r="D39" s="375"/>
      <c r="E39" s="376"/>
    </row>
  </sheetData>
  <mergeCells count="18">
    <mergeCell ref="A1:E1"/>
    <mergeCell ref="A2:E2"/>
    <mergeCell ref="A3:E3"/>
    <mergeCell ref="A4:E4"/>
    <mergeCell ref="A5:A7"/>
    <mergeCell ref="B5:B7"/>
    <mergeCell ref="C5:E7"/>
    <mergeCell ref="C35:E35"/>
    <mergeCell ref="C21:E21"/>
    <mergeCell ref="C24:E24"/>
    <mergeCell ref="C25:E25"/>
    <mergeCell ref="C26:E26"/>
    <mergeCell ref="C27:E27"/>
    <mergeCell ref="C28:E28"/>
    <mergeCell ref="C29:E29"/>
    <mergeCell ref="C32:E32"/>
    <mergeCell ref="C33:E33"/>
    <mergeCell ref="C34:E34"/>
  </mergeCells>
  <phoneticPr fontId="5" type="noConversion"/>
  <printOptions horizontalCentered="1"/>
  <pageMargins left="0.59055118110236227" right="0.59055118110236227" top="0.59055118110236227" bottom="0.78740157480314965" header="0.51181102362204722" footer="0.51181102362204722"/>
  <pageSetup paperSize="9" firstPageNumber="2" orientation="portrait" useFirstPageNumber="1" r:id="rId1"/>
  <headerFooter alignWithMargins="0">
    <oddFooter>&amp;C&amp;"細明體,標準"附&amp;"Times New Roman,標準"5-&amp;P</odd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dimension ref="A1:E32"/>
  <sheetViews>
    <sheetView tabSelected="1" view="pageBreakPreview" topLeftCell="A16" zoomScaleNormal="100" zoomScaleSheetLayoutView="100" workbookViewId="0">
      <selection activeCell="D21" sqref="D21"/>
    </sheetView>
  </sheetViews>
  <sheetFormatPr defaultColWidth="9" defaultRowHeight="16.399999999999999"/>
  <cols>
    <col min="1" max="1" width="14.625" style="6" customWidth="1"/>
    <col min="2" max="2" width="32.875" style="462" customWidth="1"/>
    <col min="3" max="3" width="14.75" style="6" customWidth="1"/>
    <col min="4" max="4" width="14.75" style="19" customWidth="1"/>
    <col min="5" max="5" width="13.125" style="6" customWidth="1"/>
    <col min="6" max="16384" width="9" style="6"/>
  </cols>
  <sheetData>
    <row r="1" spans="1:5" ht="22.25">
      <c r="A1" s="1266" t="s">
        <v>1491</v>
      </c>
      <c r="B1" s="1266"/>
      <c r="C1" s="1266"/>
      <c r="D1" s="1266"/>
      <c r="E1" s="1266"/>
    </row>
    <row r="2" spans="1:5" ht="22.25">
      <c r="A2" s="1421" t="s">
        <v>60</v>
      </c>
      <c r="B2" s="1266"/>
      <c r="C2" s="1266"/>
      <c r="D2" s="1266"/>
      <c r="E2" s="1266"/>
    </row>
    <row r="3" spans="1:5" ht="24.75" customHeight="1">
      <c r="A3" s="1509" t="s">
        <v>1738</v>
      </c>
      <c r="B3" s="1268"/>
      <c r="C3" s="1268"/>
      <c r="D3" s="1268"/>
      <c r="E3" s="1268"/>
    </row>
    <row r="4" spans="1:5" ht="24.75" customHeight="1" thickBot="1">
      <c r="A4" s="1316" t="s">
        <v>1768</v>
      </c>
      <c r="B4" s="1287"/>
      <c r="C4" s="1287"/>
      <c r="D4" s="1287"/>
      <c r="E4" s="1287"/>
    </row>
    <row r="5" spans="1:5" ht="15.75" customHeight="1">
      <c r="A5" s="1471" t="s">
        <v>1490</v>
      </c>
      <c r="B5" s="1609" t="s">
        <v>1489</v>
      </c>
      <c r="C5" s="1480" t="s">
        <v>1488</v>
      </c>
      <c r="D5" s="1480" t="s">
        <v>1487</v>
      </c>
      <c r="E5" s="1477" t="s">
        <v>797</v>
      </c>
    </row>
    <row r="6" spans="1:5" ht="15.75" customHeight="1">
      <c r="A6" s="1472"/>
      <c r="B6" s="1610"/>
      <c r="C6" s="1481"/>
      <c r="D6" s="1481"/>
      <c r="E6" s="1478"/>
    </row>
    <row r="7" spans="1:5" ht="15.75" customHeight="1">
      <c r="A7" s="1473"/>
      <c r="B7" s="1611"/>
      <c r="C7" s="1482"/>
      <c r="D7" s="1482"/>
      <c r="E7" s="1479"/>
    </row>
    <row r="8" spans="1:5" ht="8.35" customHeight="1">
      <c r="A8" s="24"/>
      <c r="B8" s="595"/>
      <c r="C8" s="1215"/>
      <c r="D8" s="1216"/>
      <c r="E8" s="112"/>
    </row>
    <row r="9" spans="1:5" s="1163" customFormat="1" ht="28" customHeight="1">
      <c r="A9" s="129">
        <v>0</v>
      </c>
      <c r="B9" s="114" t="s">
        <v>298</v>
      </c>
      <c r="C9" s="115">
        <f>C10+C15+C19+C17</f>
        <v>35403395</v>
      </c>
      <c r="D9" s="130">
        <f>D10+D15+D19</f>
        <v>0</v>
      </c>
      <c r="E9" s="116">
        <f>E10+E15+E19+E17</f>
        <v>35403395</v>
      </c>
    </row>
    <row r="10" spans="1:5" s="1163" customFormat="1" ht="28" customHeight="1">
      <c r="A10" s="129">
        <v>0</v>
      </c>
      <c r="B10" s="117" t="s">
        <v>1486</v>
      </c>
      <c r="C10" s="115">
        <f>SUM(C11:C14)</f>
        <v>26152306</v>
      </c>
      <c r="D10" s="130">
        <f>SUM(D11:D14)</f>
        <v>0</v>
      </c>
      <c r="E10" s="116">
        <f>SUM(E11:E14)</f>
        <v>26152306</v>
      </c>
    </row>
    <row r="11" spans="1:5" s="1210" customFormat="1" ht="28.15" customHeight="1">
      <c r="A11" s="132">
        <v>0</v>
      </c>
      <c r="B11" s="119" t="s">
        <v>300</v>
      </c>
      <c r="C11" s="931">
        <f>4113526+24000+1300</f>
        <v>4138826</v>
      </c>
      <c r="D11" s="128">
        <v>0</v>
      </c>
      <c r="E11" s="121">
        <f>C11-D11</f>
        <v>4138826</v>
      </c>
    </row>
    <row r="12" spans="1:5" s="1210" customFormat="1" ht="28.15" customHeight="1">
      <c r="A12" s="132">
        <v>0</v>
      </c>
      <c r="B12" s="119" t="s">
        <v>1485</v>
      </c>
      <c r="C12" s="931">
        <v>20536470</v>
      </c>
      <c r="D12" s="128">
        <v>0</v>
      </c>
      <c r="E12" s="121">
        <f>C12-D12</f>
        <v>20536470</v>
      </c>
    </row>
    <row r="13" spans="1:5" s="1210" customFormat="1" ht="28.15" customHeight="1">
      <c r="A13" s="132">
        <v>0</v>
      </c>
      <c r="B13" s="119" t="s">
        <v>302</v>
      </c>
      <c r="C13" s="931">
        <v>1475010</v>
      </c>
      <c r="D13" s="128">
        <v>0</v>
      </c>
      <c r="E13" s="121">
        <f>C13-D13</f>
        <v>1475010</v>
      </c>
    </row>
    <row r="14" spans="1:5" s="1210" customFormat="1" ht="28.15" customHeight="1">
      <c r="A14" s="132">
        <v>0</v>
      </c>
      <c r="B14" s="119" t="s">
        <v>1484</v>
      </c>
      <c r="C14" s="931">
        <v>2000</v>
      </c>
      <c r="D14" s="128">
        <v>0</v>
      </c>
      <c r="E14" s="121">
        <f>C14-D14</f>
        <v>2000</v>
      </c>
    </row>
    <row r="15" spans="1:5" s="1163" customFormat="1" ht="28" customHeight="1">
      <c r="A15" s="129">
        <v>0</v>
      </c>
      <c r="B15" s="122" t="s">
        <v>1483</v>
      </c>
      <c r="C15" s="115">
        <f>SUM(C16:C16)</f>
        <v>9115655</v>
      </c>
      <c r="D15" s="130">
        <f>SUM(D16:D16)</f>
        <v>0</v>
      </c>
      <c r="E15" s="116">
        <f>SUM(E16:E16)</f>
        <v>9115655</v>
      </c>
    </row>
    <row r="16" spans="1:5" s="1210" customFormat="1" ht="29.45" customHeight="1">
      <c r="A16" s="132">
        <v>0</v>
      </c>
      <c r="B16" s="119" t="s">
        <v>357</v>
      </c>
      <c r="C16" s="931">
        <v>9115655</v>
      </c>
      <c r="D16" s="128">
        <v>0</v>
      </c>
      <c r="E16" s="121">
        <f>C16-D16</f>
        <v>9115655</v>
      </c>
    </row>
    <row r="17" spans="1:5" s="1163" customFormat="1" ht="25.2" hidden="1" customHeight="1">
      <c r="A17" s="129">
        <v>0</v>
      </c>
      <c r="B17" s="117" t="s">
        <v>56</v>
      </c>
      <c r="C17" s="115">
        <f>SUM(C18:C18)</f>
        <v>0</v>
      </c>
      <c r="D17" s="130">
        <f>SUM(D18:D18)</f>
        <v>0</v>
      </c>
      <c r="E17" s="131">
        <f>SUM(E18:E18)</f>
        <v>0</v>
      </c>
    </row>
    <row r="18" spans="1:5" s="1210" customFormat="1" ht="25.2" hidden="1" customHeight="1">
      <c r="A18" s="132">
        <v>0</v>
      </c>
      <c r="B18" s="119" t="s">
        <v>1482</v>
      </c>
      <c r="C18" s="931"/>
      <c r="D18" s="128">
        <v>0</v>
      </c>
      <c r="E18" s="121">
        <f>C18-D18</f>
        <v>0</v>
      </c>
    </row>
    <row r="19" spans="1:5" s="1163" customFormat="1" ht="28" customHeight="1">
      <c r="A19" s="129">
        <v>0</v>
      </c>
      <c r="B19" s="117" t="s">
        <v>307</v>
      </c>
      <c r="C19" s="115">
        <f>SUM(C20:C20)</f>
        <v>135434</v>
      </c>
      <c r="D19" s="130">
        <f>SUM(D20:D20)</f>
        <v>0</v>
      </c>
      <c r="E19" s="131">
        <f>SUM(E20:E20)</f>
        <v>135434</v>
      </c>
    </row>
    <row r="20" spans="1:5" s="1210" customFormat="1" ht="28.15" customHeight="1">
      <c r="A20" s="132">
        <v>0</v>
      </c>
      <c r="B20" s="119" t="s">
        <v>21</v>
      </c>
      <c r="C20" s="931">
        <v>135434</v>
      </c>
      <c r="D20" s="128">
        <v>0</v>
      </c>
      <c r="E20" s="121">
        <f>C20-D20</f>
        <v>135434</v>
      </c>
    </row>
    <row r="21" spans="1:5" s="1163" customFormat="1" ht="28" customHeight="1">
      <c r="A21" s="129">
        <v>0</v>
      </c>
      <c r="B21" s="114" t="s">
        <v>309</v>
      </c>
      <c r="C21" s="115">
        <f>C9</f>
        <v>35403395</v>
      </c>
      <c r="D21" s="130">
        <f>D9</f>
        <v>0</v>
      </c>
      <c r="E21" s="116">
        <f>E9</f>
        <v>35403395</v>
      </c>
    </row>
    <row r="22" spans="1:5" s="1163" customFormat="1" ht="28" customHeight="1">
      <c r="A22" s="113"/>
      <c r="B22" s="114"/>
      <c r="C22" s="115"/>
      <c r="D22" s="115"/>
      <c r="E22" s="116"/>
    </row>
    <row r="23" spans="1:5" s="1163" customFormat="1" ht="28" customHeight="1">
      <c r="A23" s="129">
        <v>0</v>
      </c>
      <c r="B23" s="114" t="s">
        <v>19</v>
      </c>
      <c r="C23" s="115">
        <f>C24+C26</f>
        <v>35403395</v>
      </c>
      <c r="D23" s="130">
        <f>D24+D26</f>
        <v>0</v>
      </c>
      <c r="E23" s="116">
        <f>E24+E26</f>
        <v>35403395</v>
      </c>
    </row>
    <row r="24" spans="1:5" s="1163" customFormat="1" ht="28" customHeight="1">
      <c r="A24" s="129">
        <v>0</v>
      </c>
      <c r="B24" s="117" t="s">
        <v>325</v>
      </c>
      <c r="C24" s="115">
        <f>SUM(C25:C25)</f>
        <v>67169</v>
      </c>
      <c r="D24" s="130">
        <f>SUM(D25:D25)</f>
        <v>0</v>
      </c>
      <c r="E24" s="131">
        <f>SUM(E25:E25)</f>
        <v>67169</v>
      </c>
    </row>
    <row r="25" spans="1:5" s="1210" customFormat="1" ht="28" customHeight="1">
      <c r="A25" s="132">
        <v>0</v>
      </c>
      <c r="B25" s="119" t="s">
        <v>1481</v>
      </c>
      <c r="C25" s="931">
        <v>67169</v>
      </c>
      <c r="D25" s="128">
        <v>0</v>
      </c>
      <c r="E25" s="121">
        <f>C25-D25</f>
        <v>67169</v>
      </c>
    </row>
    <row r="26" spans="1:5" s="1163" customFormat="1" ht="28" customHeight="1">
      <c r="A26" s="129">
        <v>0</v>
      </c>
      <c r="B26" s="122" t="s">
        <v>1480</v>
      </c>
      <c r="C26" s="115">
        <f>SUM(C27:C28)</f>
        <v>35336226</v>
      </c>
      <c r="D26" s="130">
        <f>SUM(D27:D27)</f>
        <v>0</v>
      </c>
      <c r="E26" s="116">
        <f>SUM(E27:E28)</f>
        <v>35336226</v>
      </c>
    </row>
    <row r="27" spans="1:5" s="1210" customFormat="1" ht="28.15" customHeight="1">
      <c r="A27" s="132">
        <v>0</v>
      </c>
      <c r="B27" s="119" t="s">
        <v>1479</v>
      </c>
      <c r="C27" s="931">
        <f>35327495+1300</f>
        <v>35328795</v>
      </c>
      <c r="D27" s="128">
        <v>0</v>
      </c>
      <c r="E27" s="121">
        <f>C27-D27</f>
        <v>35328795</v>
      </c>
    </row>
    <row r="28" spans="1:5" s="1210" customFormat="1" ht="28.15" customHeight="1">
      <c r="A28" s="132">
        <v>0</v>
      </c>
      <c r="B28" s="119" t="s">
        <v>1478</v>
      </c>
      <c r="C28" s="128">
        <v>7431</v>
      </c>
      <c r="D28" s="128">
        <v>0</v>
      </c>
      <c r="E28" s="123">
        <f>C28-D28</f>
        <v>7431</v>
      </c>
    </row>
    <row r="29" spans="1:5" s="1163" customFormat="1" ht="28" customHeight="1">
      <c r="A29" s="129">
        <f>A30</f>
        <v>0</v>
      </c>
      <c r="B29" s="114" t="s">
        <v>318</v>
      </c>
      <c r="C29" s="130">
        <f t="shared" ref="C29:E30" si="0">C30</f>
        <v>0</v>
      </c>
      <c r="D29" s="130">
        <f t="shared" si="0"/>
        <v>0</v>
      </c>
      <c r="E29" s="131">
        <f t="shared" si="0"/>
        <v>0</v>
      </c>
    </row>
    <row r="30" spans="1:5" s="1163" customFormat="1" ht="28" customHeight="1">
      <c r="A30" s="129">
        <f>A31</f>
        <v>0</v>
      </c>
      <c r="B30" s="117" t="s">
        <v>373</v>
      </c>
      <c r="C30" s="128">
        <f t="shared" si="0"/>
        <v>0</v>
      </c>
      <c r="D30" s="130">
        <f t="shared" si="0"/>
        <v>0</v>
      </c>
      <c r="E30" s="123">
        <f t="shared" si="0"/>
        <v>0</v>
      </c>
    </row>
    <row r="31" spans="1:5" s="1210" customFormat="1" ht="28.15" customHeight="1">
      <c r="A31" s="132">
        <v>0</v>
      </c>
      <c r="B31" s="119" t="s">
        <v>321</v>
      </c>
      <c r="C31" s="130">
        <v>0</v>
      </c>
      <c r="D31" s="128">
        <v>0</v>
      </c>
      <c r="E31" s="131">
        <v>0</v>
      </c>
    </row>
    <row r="32" spans="1:5" s="1163" customFormat="1" ht="35.35" customHeight="1" thickBot="1">
      <c r="A32" s="1202">
        <v>0</v>
      </c>
      <c r="B32" s="125" t="s">
        <v>309</v>
      </c>
      <c r="C32" s="126">
        <f>C23+C29</f>
        <v>35403395</v>
      </c>
      <c r="D32" s="1201">
        <f>D23+D29</f>
        <v>0</v>
      </c>
      <c r="E32" s="127">
        <f>E23+E29</f>
        <v>35403395</v>
      </c>
    </row>
  </sheetData>
  <mergeCells count="9">
    <mergeCell ref="A1:E1"/>
    <mergeCell ref="A2:E2"/>
    <mergeCell ref="A3:E3"/>
    <mergeCell ref="A4:E4"/>
    <mergeCell ref="A5:A7"/>
    <mergeCell ref="B5:B7"/>
    <mergeCell ref="C5:C7"/>
    <mergeCell ref="D5:D7"/>
    <mergeCell ref="E5:E7"/>
  </mergeCells>
  <phoneticPr fontId="5" type="noConversion"/>
  <printOptions horizontalCentered="1"/>
  <pageMargins left="0.59055118110236227" right="0.59055118110236227" top="0.59055118110236227" bottom="0.78740157480314965" header="0.51181102362204722" footer="0.51181102362204722"/>
  <pageSetup paperSize="9" firstPageNumber="3" orientation="portrait" useFirstPageNumber="1" r:id="rId1"/>
  <headerFooter alignWithMargins="0">
    <oddFooter>&amp;C&amp;"細明體,標準"附&amp;"Times New Roman,標準"5-&amp;P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54</vt:i4>
      </vt:variant>
      <vt:variant>
        <vt:lpstr>具名範圍</vt:lpstr>
      </vt:variant>
      <vt:variant>
        <vt:i4>69</vt:i4>
      </vt:variant>
    </vt:vector>
  </HeadingPairs>
  <TitlesOfParts>
    <vt:vector size="123" baseType="lpstr">
      <vt:lpstr>業務計畫</vt:lpstr>
      <vt:lpstr>圖1</vt:lpstr>
      <vt:lpstr>圖2</vt:lpstr>
      <vt:lpstr>空白頁10</vt:lpstr>
      <vt:lpstr>收支餘絀預計表-總</vt:lpstr>
      <vt:lpstr>收支餘絀預計表說明</vt:lpstr>
      <vt:lpstr>餘絀撥補預計表</vt:lpstr>
      <vt:lpstr>現金流量預計表-總</vt:lpstr>
      <vt:lpstr>租金及權利金收入明細表</vt:lpstr>
      <vt:lpstr>投融資業務收入明細表 </vt:lpstr>
      <vt:lpstr>保險收入明細表</vt:lpstr>
      <vt:lpstr>其他業務收入明細表</vt:lpstr>
      <vt:lpstr>業務外收入明細表</vt:lpstr>
      <vt:lpstr>出租資產成本明細表</vt:lpstr>
      <vt:lpstr>出租資產成本說明</vt:lpstr>
      <vt:lpstr>投融資業務成本明細表</vt:lpstr>
      <vt:lpstr>投融資業務成本說明</vt:lpstr>
      <vt:lpstr>保險成本明細表</vt:lpstr>
      <vt:lpstr>保險成本說明</vt:lpstr>
      <vt:lpstr>其他業務成本明細表</vt:lpstr>
      <vt:lpstr>其他業務成本說明</vt:lpstr>
      <vt:lpstr>業務外費用明細表</vt:lpstr>
      <vt:lpstr>業務外費用說明</vt:lpstr>
      <vt:lpstr>資產折舊明細表</vt:lpstr>
      <vt:lpstr>基金數額增減明細表</vt:lpstr>
      <vt:lpstr>貸出款明細表 </vt:lpstr>
      <vt:lpstr>平衡表-總</vt:lpstr>
      <vt:lpstr>5年來主要營運項目分析表</vt:lpstr>
      <vt:lpstr>員工人數彙計表</vt:lpstr>
      <vt:lpstr>用人費用彙計表</vt:lpstr>
      <vt:lpstr>媒體政策及業務宣導費彙計表</vt:lpstr>
      <vt:lpstr>各項費用彙計表</vt:lpstr>
      <vt:lpstr>各項費用彙計表 (單位)</vt:lpstr>
      <vt:lpstr>不動產投資收入分析表</vt:lpstr>
      <vt:lpstr>保費收入分析表</vt:lpstr>
      <vt:lpstr>保費收入分析表(附表)</vt:lpstr>
      <vt:lpstr>保險給付分析表</vt:lpstr>
      <vt:lpstr>雜項業務成本分析-職災保護</vt:lpstr>
      <vt:lpstr>雜項業務成本分析-勞職保及保護</vt:lpstr>
      <vt:lpstr>收支餘絀預計表-勞</vt:lpstr>
      <vt:lpstr>現金流量預計表-勞</vt:lpstr>
      <vt:lpstr>預計平衡表-勞</vt:lpstr>
      <vt:lpstr>收支餘絀預計表-就</vt:lpstr>
      <vt:lpstr>現金流量預計表-就</vt:lpstr>
      <vt:lpstr>預計平衡表-就</vt:lpstr>
      <vt:lpstr>收支餘絀預計表-農</vt:lpstr>
      <vt:lpstr>現金流量預計表-農</vt:lpstr>
      <vt:lpstr>預計平衡表-農</vt:lpstr>
      <vt:lpstr>收支餘絀預計表-職護</vt:lpstr>
      <vt:lpstr>現金流量預計表-職護</vt:lpstr>
      <vt:lpstr>預計平衡表-職護</vt:lpstr>
      <vt:lpstr>收支餘絀預計表-職</vt:lpstr>
      <vt:lpstr>現金流量預計表-職</vt:lpstr>
      <vt:lpstr>預計平衡表-職</vt:lpstr>
      <vt:lpstr>'5年來主要營運項目分析表'!Print_Area</vt:lpstr>
      <vt:lpstr>'平衡表-總'!Print_Area</vt:lpstr>
      <vt:lpstr>用人費用彙計表!Print_Area</vt:lpstr>
      <vt:lpstr>各項費用彙計表!Print_Area</vt:lpstr>
      <vt:lpstr>'收支餘絀預計表-就'!Print_Area</vt:lpstr>
      <vt:lpstr>'收支餘絀預計表-農'!Print_Area</vt:lpstr>
      <vt:lpstr>收支餘絀預計表說明!Print_Area</vt:lpstr>
      <vt:lpstr>'收支餘絀預計表-總'!Print_Area</vt:lpstr>
      <vt:lpstr>'收支餘絀預計表-職'!Print_Area</vt:lpstr>
      <vt:lpstr>'收支餘絀預計表-職護'!Print_Area</vt:lpstr>
      <vt:lpstr>投融資業務成本明細表!Print_Area</vt:lpstr>
      <vt:lpstr>'投融資業務收入明細表 '!Print_Area</vt:lpstr>
      <vt:lpstr>其他業務成本明細表!Print_Area</vt:lpstr>
      <vt:lpstr>其他業務成本說明!Print_Area</vt:lpstr>
      <vt:lpstr>其他業務收入明細表!Print_Area</vt:lpstr>
      <vt:lpstr>保費收入分析表!Print_Area</vt:lpstr>
      <vt:lpstr>'保費收入分析表(附表)'!Print_Area</vt:lpstr>
      <vt:lpstr>保險成本明細表!Print_Area</vt:lpstr>
      <vt:lpstr>保險成本說明!Print_Area</vt:lpstr>
      <vt:lpstr>保險收入明細表!Print_Area</vt:lpstr>
      <vt:lpstr>保險給付分析表!Print_Area</vt:lpstr>
      <vt:lpstr>員工人數彙計表!Print_Area</vt:lpstr>
      <vt:lpstr>'現金流量預計表-勞'!Print_Area</vt:lpstr>
      <vt:lpstr>'現金流量預計表-總'!Print_Area</vt:lpstr>
      <vt:lpstr>'現金流量預計表-職護'!Print_Area</vt:lpstr>
      <vt:lpstr>'貸出款明細表 '!Print_Area</vt:lpstr>
      <vt:lpstr>業務外收入明細表!Print_Area</vt:lpstr>
      <vt:lpstr>業務外費用明細表!Print_Area</vt:lpstr>
      <vt:lpstr>業務外費用說明!Print_Area</vt:lpstr>
      <vt:lpstr>資產折舊明細表!Print_Area</vt:lpstr>
      <vt:lpstr>'預計平衡表-勞'!Print_Area</vt:lpstr>
      <vt:lpstr>'預計平衡表-農'!Print_Area</vt:lpstr>
      <vt:lpstr>圖1!Print_Area</vt:lpstr>
      <vt:lpstr>圖2!Print_Area</vt:lpstr>
      <vt:lpstr>'雜項業務成本分析-勞職保及保護'!Print_Area</vt:lpstr>
      <vt:lpstr>'雜項業務成本分析-職災保護'!Print_Area</vt:lpstr>
      <vt:lpstr>出租資產成本明細表!Print_Titles</vt:lpstr>
      <vt:lpstr>出租資產成本說明!Print_Titles</vt:lpstr>
      <vt:lpstr>'平衡表-總'!Print_Titles</vt:lpstr>
      <vt:lpstr>各項費用彙計表!Print_Titles</vt:lpstr>
      <vt:lpstr>'各項費用彙計表 (單位)'!Print_Titles</vt:lpstr>
      <vt:lpstr>'收支餘絀預計表-勞'!Print_Titles</vt:lpstr>
      <vt:lpstr>'收支餘絀預計表-就'!Print_Titles</vt:lpstr>
      <vt:lpstr>'收支餘絀預計表-農'!Print_Titles</vt:lpstr>
      <vt:lpstr>'收支餘絀預計表-總'!Print_Titles</vt:lpstr>
      <vt:lpstr>'收支餘絀預計表-職'!Print_Titles</vt:lpstr>
      <vt:lpstr>'收支餘絀預計表-職護'!Print_Titles</vt:lpstr>
      <vt:lpstr>投融資業務成本明細表!Print_Titles</vt:lpstr>
      <vt:lpstr>投融資業務成本說明!Print_Titles</vt:lpstr>
      <vt:lpstr>'投融資業務收入明細表 '!Print_Titles</vt:lpstr>
      <vt:lpstr>其他業務成本明細表!Print_Titles</vt:lpstr>
      <vt:lpstr>其他業務成本說明!Print_Titles</vt:lpstr>
      <vt:lpstr>保費收入分析表!Print_Titles</vt:lpstr>
      <vt:lpstr>'保費收入分析表(附表)'!Print_Titles</vt:lpstr>
      <vt:lpstr>保險成本明細表!Print_Titles</vt:lpstr>
      <vt:lpstr>保險成本說明!Print_Titles</vt:lpstr>
      <vt:lpstr>保險收入明細表!Print_Titles</vt:lpstr>
      <vt:lpstr>保險給付分析表!Print_Titles</vt:lpstr>
      <vt:lpstr>租金及權利金收入明細表!Print_Titles</vt:lpstr>
      <vt:lpstr>'現金流量預計表-總'!Print_Titles</vt:lpstr>
      <vt:lpstr>'貸出款明細表 '!Print_Titles</vt:lpstr>
      <vt:lpstr>業務外收入明細表!Print_Titles</vt:lpstr>
      <vt:lpstr>'預計平衡表-勞'!Print_Titles</vt:lpstr>
      <vt:lpstr>'預計平衡表-就'!Print_Titles</vt:lpstr>
      <vt:lpstr>'預計平衡表-農'!Print_Titles</vt:lpstr>
      <vt:lpstr>'預計平衡表-職'!Print_Titles</vt:lpstr>
      <vt:lpstr>'預計平衡表-職護'!Print_Titles</vt:lpstr>
      <vt:lpstr>'雜項業務成本分析-勞職保及保護'!Print_Titles</vt:lpstr>
      <vt:lpstr>'雜項業務成本分析-職災保護'!Print_Titles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bli</dc:creator>
  <cp:lastModifiedBy>李正心</cp:lastModifiedBy>
  <cp:lastPrinted>2022-12-09T05:57:20Z</cp:lastPrinted>
  <dcterms:created xsi:type="dcterms:W3CDTF">2010-11-22T09:06:47Z</dcterms:created>
  <dcterms:modified xsi:type="dcterms:W3CDTF">2022-12-14T08:53:29Z</dcterms:modified>
</cp:coreProperties>
</file>