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ml.chartshapes+xml"/>
  <Override PartName="/xl/charts/chart3.xml" ContentType="application/vnd.openxmlformats-officedocument.drawingml.chart+xml"/>
  <Override PartName="/xl/drawings/drawing3.xml" ContentType="application/vnd.openxmlformats-officedocument.drawingml.chartshapes+xml"/>
  <Override PartName="/xl/drawings/drawing4.xml" ContentType="application/vnd.openxmlformats-officedocument.drawing+xml"/>
  <Override PartName="/xl/charts/chart4.xml" ContentType="application/vnd.openxmlformats-officedocument.drawingml.chart+xml"/>
  <Override PartName="/xl/charts/chart5.xml" ContentType="application/vnd.openxmlformats-officedocument.drawingml.chart+xml"/>
  <Override PartName="/xl/drawings/drawing5.xml" ContentType="application/vnd.openxmlformats-officedocument.drawingml.chartshap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codeName="ThisWorkbook" defaultThemeVersion="124226"/>
  <mc:AlternateContent xmlns:mc="http://schemas.openxmlformats.org/markup-compatibility/2006">
    <mc:Choice Requires="x15">
      <x15ac:absPath xmlns:x15ac="http://schemas.microsoft.com/office/spreadsheetml/2010/11/ac" url="C:\Users\A18300\Desktop\000勞保基金預算\113年度預算\113年度預算書\[法定預算]公開上網\Microsoft\"/>
    </mc:Choice>
  </mc:AlternateContent>
  <xr:revisionPtr revIDLastSave="0" documentId="13_ncr:1_{ACE10B5C-9A1C-4F13-A029-AE50C07B22C1}" xr6:coauthVersionLast="47" xr6:coauthVersionMax="47" xr10:uidLastSave="{00000000-0000-0000-0000-000000000000}"/>
  <bookViews>
    <workbookView xWindow="-120" yWindow="-120" windowWidth="29040" windowHeight="15840" tabRatio="935" firstSheet="2" activeTab="2" xr2:uid="{00000000-000D-0000-FFFF-FFFF00000000}"/>
  </bookViews>
  <sheets>
    <sheet name="業務計畫" sheetId="115" state="hidden" r:id="rId1"/>
    <sheet name="工作表1 (2)" sheetId="149" state="hidden" r:id="rId2"/>
    <sheet name="圖1" sheetId="52" r:id="rId3"/>
    <sheet name="圖2" sheetId="53" r:id="rId4"/>
    <sheet name="收支餘絀預計表-總" sheetId="80" r:id="rId5"/>
    <sheet name="收支餘絀預計表說明" sheetId="40" r:id="rId6"/>
    <sheet name="餘絀撥補預計表" sheetId="24" r:id="rId7"/>
    <sheet name="現金流量預計表-總" sheetId="30" r:id="rId8"/>
    <sheet name="租金及權利金收入明細表" sheetId="16" r:id="rId9"/>
    <sheet name="投融資業務收入明細表 " sheetId="68" r:id="rId10"/>
    <sheet name="保險收入明細表" sheetId="46" r:id="rId11"/>
    <sheet name="其他業務收入明細表" sheetId="1" r:id="rId12"/>
    <sheet name="業務外收入明細表" sheetId="2" r:id="rId13"/>
    <sheet name="出租資產成本明細表" sheetId="17" r:id="rId14"/>
    <sheet name="出租資產成本說明" sheetId="3" r:id="rId15"/>
    <sheet name="投融資業務成本明細表" sheetId="69" r:id="rId16"/>
    <sheet name="投融資業務成本說明" sheetId="70" r:id="rId17"/>
    <sheet name="保險成本明細表" sheetId="28" r:id="rId18"/>
    <sheet name="保險成本說明" sheetId="6" r:id="rId19"/>
    <sheet name="其他業務成本明細表" sheetId="84" r:id="rId20"/>
    <sheet name="其他業務成本說明" sheetId="7" r:id="rId21"/>
    <sheet name="業務外費用明細表" sheetId="20" r:id="rId22"/>
    <sheet name="業務外費用說明" sheetId="9" r:id="rId23"/>
    <sheet name="資產折舊明細表" sheetId="78" r:id="rId24"/>
    <sheet name="基金數額增減明細表" sheetId="31" r:id="rId25"/>
    <sheet name="無形資產明細表" sheetId="150" r:id="rId26"/>
    <sheet name="貸出款明細表 " sheetId="77" r:id="rId27"/>
    <sheet name="平衡表-總" sheetId="29" r:id="rId28"/>
    <sheet name="5年來主要營運項目分析表" sheetId="41" r:id="rId29"/>
    <sheet name="員工人數彙計表" sheetId="89" r:id="rId30"/>
    <sheet name="用人費用彙計表" sheetId="90" r:id="rId31"/>
    <sheet name="媒體政策及業務宣導費彙計表" sheetId="88" r:id="rId32"/>
    <sheet name="各項費用彙計表" sheetId="81" r:id="rId33"/>
    <sheet name="各項費用彙計表 (單位)" sheetId="106" r:id="rId34"/>
    <sheet name="不動產投資收入分析表" sheetId="10" r:id="rId35"/>
    <sheet name="保費收入分析表" sheetId="83" r:id="rId36"/>
    <sheet name="保費收入分析表(附表)" sheetId="51" r:id="rId37"/>
    <sheet name="保險給付分析表" sheetId="75" r:id="rId38"/>
    <sheet name="雜項業務成本分析-勞職保及保護" sheetId="85" r:id="rId39"/>
    <sheet name="收支餘絀預計表-勞" sheetId="91" r:id="rId40"/>
    <sheet name="現金流量預計表-勞" sheetId="92" r:id="rId41"/>
    <sheet name="預計平衡表-勞" sheetId="93" r:id="rId42"/>
    <sheet name="收支餘絀預計表-就" sheetId="94" r:id="rId43"/>
    <sheet name="現金流量預計表-就" sheetId="95" r:id="rId44"/>
    <sheet name="預計平衡表-就" sheetId="96" r:id="rId45"/>
    <sheet name="收支餘絀預計表-農" sheetId="97" r:id="rId46"/>
    <sheet name="現金流量預計表-農" sheetId="98" r:id="rId47"/>
    <sheet name="預計平衡表-農" sheetId="99" r:id="rId48"/>
    <sheet name="收支餘絀預計表-職" sheetId="103" r:id="rId49"/>
    <sheet name="現金流量預計表-職" sheetId="114" r:id="rId50"/>
    <sheet name="預計平衡表-職" sheetId="113" r:id="rId51"/>
  </sheets>
  <externalReferences>
    <externalReference r:id="rId52"/>
    <externalReference r:id="rId53"/>
    <externalReference r:id="rId54"/>
    <externalReference r:id="rId55"/>
    <externalReference r:id="rId56"/>
    <externalReference r:id="rId57"/>
  </externalReferences>
  <definedNames>
    <definedName name="\0" localSheetId="1">[1]稅捐!#REF!</definedName>
    <definedName name="\0" localSheetId="49">[1]稅捐!#REF!</definedName>
    <definedName name="\0" localSheetId="31">[1]稅捐!#REF!</definedName>
    <definedName name="\0" localSheetId="25">[1]稅捐!#REF!</definedName>
    <definedName name="\0" localSheetId="26">[1]稅捐!#REF!</definedName>
    <definedName name="\0" localSheetId="50">[1]稅捐!#REF!</definedName>
    <definedName name="\0" localSheetId="38">[1]稅捐!#REF!</definedName>
    <definedName name="\0">[1]稅捐!#REF!</definedName>
    <definedName name="\d" localSheetId="1">#REF!</definedName>
    <definedName name="\d" localSheetId="31">#REF!</definedName>
    <definedName name="\d" localSheetId="25">#REF!</definedName>
    <definedName name="\d" localSheetId="38">#REF!</definedName>
    <definedName name="\d">#REF!</definedName>
    <definedName name="_Dist_Values" localSheetId="1" hidden="1">#REF!</definedName>
    <definedName name="_Dist_Values" localSheetId="31" hidden="1">#REF!</definedName>
    <definedName name="_Dist_Values" localSheetId="25" hidden="1">#REF!</definedName>
    <definedName name="_Dist_Values" localSheetId="26" hidden="1">#REF!</definedName>
    <definedName name="_Dist_Values" localSheetId="38" hidden="1">#REF!</definedName>
    <definedName name="_Dist_Values" hidden="1">#REF!</definedName>
    <definedName name="_Fill" localSheetId="1" hidden="1">#REF!</definedName>
    <definedName name="_Fill" localSheetId="31" hidden="1">#REF!</definedName>
    <definedName name="_Fill" localSheetId="25" hidden="1">#REF!</definedName>
    <definedName name="_Fill" localSheetId="26" hidden="1">#REF!</definedName>
    <definedName name="_Fill" localSheetId="38" hidden="1">#REF!</definedName>
    <definedName name="_Fill" hidden="1">#REF!</definedName>
    <definedName name="_Key1" localSheetId="1" hidden="1">#REF!</definedName>
    <definedName name="_Key1" localSheetId="31" hidden="1">#REF!</definedName>
    <definedName name="_Key1" localSheetId="38" hidden="1">#REF!</definedName>
    <definedName name="_Key1" hidden="1">#REF!</definedName>
    <definedName name="_Order1" hidden="1">255</definedName>
    <definedName name="_Order2" hidden="1">0</definedName>
    <definedName name="_Parse_Out" localSheetId="1" hidden="1">#REF!</definedName>
    <definedName name="_Parse_Out" localSheetId="31" hidden="1">#REF!</definedName>
    <definedName name="_Parse_Out" localSheetId="25" hidden="1">#REF!</definedName>
    <definedName name="_Parse_Out" localSheetId="38" hidden="1">#REF!</definedName>
    <definedName name="_Parse_Out" hidden="1">#REF!</definedName>
    <definedName name="_R" localSheetId="1">#REF!</definedName>
    <definedName name="_R" localSheetId="15">#REF!</definedName>
    <definedName name="_R" localSheetId="16">#REF!</definedName>
    <definedName name="_R" localSheetId="9">#REF!</definedName>
    <definedName name="_R" localSheetId="36">#REF!</definedName>
    <definedName name="_R" localSheetId="37">#REF!</definedName>
    <definedName name="_R" localSheetId="40">#REF!</definedName>
    <definedName name="_R" localSheetId="43">#REF!</definedName>
    <definedName name="_R" localSheetId="46">#REF!</definedName>
    <definedName name="_R" localSheetId="49">#REF!</definedName>
    <definedName name="_R" localSheetId="31">#REF!</definedName>
    <definedName name="_R" localSheetId="25">#REF!</definedName>
    <definedName name="_R" localSheetId="38">#REF!</definedName>
    <definedName name="_R">#REF!</definedName>
    <definedName name="_Sort" localSheetId="1" hidden="1">#REF!</definedName>
    <definedName name="_Sort" localSheetId="31" hidden="1">#REF!</definedName>
    <definedName name="_Sort" localSheetId="38" hidden="1">#REF!</definedName>
    <definedName name="_Sort" hidden="1">#REF!</definedName>
    <definedName name="a" localSheetId="1">#REF!</definedName>
    <definedName name="a" localSheetId="15">#REF!</definedName>
    <definedName name="a" localSheetId="16">#REF!</definedName>
    <definedName name="a" localSheetId="9">#REF!</definedName>
    <definedName name="a" localSheetId="36">#REF!</definedName>
    <definedName name="a" localSheetId="37">#REF!</definedName>
    <definedName name="a" localSheetId="40">#REF!</definedName>
    <definedName name="a" localSheetId="43">#REF!</definedName>
    <definedName name="a" localSheetId="46">#REF!</definedName>
    <definedName name="a" localSheetId="49">#REF!</definedName>
    <definedName name="a" localSheetId="31">#REF!</definedName>
    <definedName name="a" localSheetId="25">#REF!</definedName>
    <definedName name="a" localSheetId="26">#REF!</definedName>
    <definedName name="a" localSheetId="38">#REF!</definedName>
    <definedName name="a">#REF!</definedName>
    <definedName name="aa" localSheetId="1">#REF!</definedName>
    <definedName name="aa" localSheetId="15">#REF!</definedName>
    <definedName name="aa" localSheetId="16">#REF!</definedName>
    <definedName name="aa" localSheetId="9">#REF!</definedName>
    <definedName name="aa" localSheetId="36">#REF!</definedName>
    <definedName name="aa" localSheetId="37">#REF!</definedName>
    <definedName name="aa" localSheetId="40">#REF!</definedName>
    <definedName name="aa" localSheetId="43">#REF!</definedName>
    <definedName name="aa" localSheetId="46">#REF!</definedName>
    <definedName name="aa" localSheetId="49">#REF!</definedName>
    <definedName name="aa" localSheetId="31">#REF!</definedName>
    <definedName name="aa" localSheetId="25">#REF!</definedName>
    <definedName name="aa" localSheetId="26">#REF!</definedName>
    <definedName name="aa" localSheetId="38">#REF!</definedName>
    <definedName name="aa">#REF!</definedName>
    <definedName name="aaaa" localSheetId="1">#REF!</definedName>
    <definedName name="aaaa" localSheetId="15">#REF!</definedName>
    <definedName name="aaaa" localSheetId="16">#REF!</definedName>
    <definedName name="aaaa" localSheetId="9">#REF!</definedName>
    <definedName name="aaaa" localSheetId="36">#REF!</definedName>
    <definedName name="aaaa" localSheetId="37">#REF!</definedName>
    <definedName name="aaaa" localSheetId="40">#REF!</definedName>
    <definedName name="aaaa" localSheetId="43">#REF!</definedName>
    <definedName name="aaaa" localSheetId="46">#REF!</definedName>
    <definedName name="aaaa" localSheetId="49">#REF!</definedName>
    <definedName name="aaaa" localSheetId="31">#REF!</definedName>
    <definedName name="aaaa" localSheetId="25">#REF!</definedName>
    <definedName name="aaaa" localSheetId="38">#REF!</definedName>
    <definedName name="aaaa">#REF!</definedName>
    <definedName name="abcd" localSheetId="1">#REF!</definedName>
    <definedName name="abcd" localSheetId="15">#REF!</definedName>
    <definedName name="abcd" localSheetId="16">#REF!</definedName>
    <definedName name="abcd" localSheetId="9">#REF!</definedName>
    <definedName name="abcd" localSheetId="36">#REF!</definedName>
    <definedName name="abcd" localSheetId="37">#REF!</definedName>
    <definedName name="abcd" localSheetId="40">#REF!</definedName>
    <definedName name="abcd" localSheetId="43">#REF!</definedName>
    <definedName name="abcd" localSheetId="46">#REF!</definedName>
    <definedName name="abcd" localSheetId="49">#REF!</definedName>
    <definedName name="abcd" localSheetId="31">#REF!</definedName>
    <definedName name="abcd" localSheetId="25">#REF!</definedName>
    <definedName name="abcd" localSheetId="38">#REF!</definedName>
    <definedName name="abcd">#REF!</definedName>
    <definedName name="Discount" localSheetId="1">#REF!</definedName>
    <definedName name="Discount" localSheetId="31">#REF!</definedName>
    <definedName name="Discount" localSheetId="38">#REF!</definedName>
    <definedName name="Discount">#REF!</definedName>
    <definedName name="Discount1" localSheetId="1">#REF!</definedName>
    <definedName name="Discount1" localSheetId="31">#REF!</definedName>
    <definedName name="Discount1" localSheetId="38">#REF!</definedName>
    <definedName name="Discount1">#REF!</definedName>
    <definedName name="K" localSheetId="1">#REF!</definedName>
    <definedName name="K" localSheetId="15">#REF!</definedName>
    <definedName name="K" localSheetId="16">#REF!</definedName>
    <definedName name="K" localSheetId="9">#REF!</definedName>
    <definedName name="K" localSheetId="36">#REF!</definedName>
    <definedName name="K" localSheetId="37">#REF!</definedName>
    <definedName name="K" localSheetId="40">#REF!</definedName>
    <definedName name="K" localSheetId="43">#REF!</definedName>
    <definedName name="K" localSheetId="46">#REF!</definedName>
    <definedName name="K" localSheetId="49">#REF!</definedName>
    <definedName name="K" localSheetId="31">#REF!</definedName>
    <definedName name="K" localSheetId="25">#REF!</definedName>
    <definedName name="K" localSheetId="38">#REF!</definedName>
    <definedName name="K">#REF!</definedName>
    <definedName name="M" localSheetId="1">#REF!</definedName>
    <definedName name="M" localSheetId="31">#REF!</definedName>
    <definedName name="M" localSheetId="38">#REF!</definedName>
    <definedName name="M">#REF!</definedName>
    <definedName name="_xlnm.Print_Area" localSheetId="28">'5年來主要營運項目分析表'!$A$1:$F$41</definedName>
    <definedName name="_xlnm.Print_Area" localSheetId="14">出租資產成本說明!$A$1:$B$27</definedName>
    <definedName name="_xlnm.Print_Area" localSheetId="27">'平衡表-總'!$A$1:$E$49</definedName>
    <definedName name="_xlnm.Print_Area" localSheetId="30">用人費用彙計表!$A$1:$J$20</definedName>
    <definedName name="_xlnm.Print_Area" localSheetId="32">各項費用彙計表!$A$1:$I$51</definedName>
    <definedName name="_xlnm.Print_Area" localSheetId="42">'收支餘絀預計表-就'!$A$1:$I$53</definedName>
    <definedName name="_xlnm.Print_Area" localSheetId="45">'收支餘絀預計表-農'!$A$1:$I$56</definedName>
    <definedName name="_xlnm.Print_Area" localSheetId="5">收支餘絀預計表說明!$A$1:$C$21</definedName>
    <definedName name="_xlnm.Print_Area" localSheetId="4">'收支餘絀預計表-總'!$A$1:$I$129</definedName>
    <definedName name="_xlnm.Print_Area" localSheetId="48">'收支餘絀預計表-職'!$A$1:$I$43</definedName>
    <definedName name="_xlnm.Print_Area" localSheetId="15">投融資業務成本明細表!$A$1:$D$53</definedName>
    <definedName name="_xlnm.Print_Area" localSheetId="9">'投融資業務收入明細表 '!$A$1:$F$47</definedName>
    <definedName name="_xlnm.Print_Area" localSheetId="19">其他業務成本明細表!$A$1:$D$52</definedName>
    <definedName name="_xlnm.Print_Area" localSheetId="20">其他業務成本說明!$A$1:$B$53</definedName>
    <definedName name="_xlnm.Print_Area" localSheetId="11">其他業務收入明細表!$A$1:$C$27</definedName>
    <definedName name="_xlnm.Print_Area" localSheetId="35">保費收入分析表!$A$1:$H$70</definedName>
    <definedName name="_xlnm.Print_Area" localSheetId="36">'保費收入分析表(附表)'!$A$1:$C$146</definedName>
    <definedName name="_xlnm.Print_Area" localSheetId="17">保險成本明細表!$A$1:$D$52</definedName>
    <definedName name="_xlnm.Print_Area" localSheetId="18">保險成本說明!$A$1:$C$52</definedName>
    <definedName name="_xlnm.Print_Area" localSheetId="10">保險收入明細表!$A$1:$C$44</definedName>
    <definedName name="_xlnm.Print_Area" localSheetId="37">保險給付分析表!$A$1:$F$116</definedName>
    <definedName name="_xlnm.Print_Area" localSheetId="29">員工人數彙計表!$A$1:$E$23</definedName>
    <definedName name="_xlnm.Print_Area" localSheetId="40">'現金流量預計表-勞'!$A$1:$E$39</definedName>
    <definedName name="_xlnm.Print_Area" localSheetId="7">'現金流量預計表-總'!$A$1:$E$42</definedName>
    <definedName name="_xlnm.Print_Area" localSheetId="49">'現金流量預計表-職'!$A$1:$E$39</definedName>
    <definedName name="_xlnm.Print_Area" localSheetId="31">媒體政策及業務宣導費彙計表!$C$1:$F$20</definedName>
    <definedName name="_xlnm.Print_Area" localSheetId="25">無形資產明細表!$A$1:$F$21</definedName>
    <definedName name="_xlnm.Print_Area" localSheetId="26">'貸出款明細表 '!$A$1:$H$21</definedName>
    <definedName name="_xlnm.Print_Area" localSheetId="12">業務外收入明細表!$A$1:$C$42</definedName>
    <definedName name="_xlnm.Print_Area" localSheetId="21">業務外費用明細表!$A$1:$D$27</definedName>
    <definedName name="_xlnm.Print_Area" localSheetId="22">業務外費用說明!$A$1:$C$30</definedName>
    <definedName name="_xlnm.Print_Area" localSheetId="23">資產折舊明細表!$A$1:$L$17</definedName>
    <definedName name="_xlnm.Print_Area" localSheetId="41">'預計平衡表-勞'!$A$1:$E$52</definedName>
    <definedName name="_xlnm.Print_Area" localSheetId="47">'預計平衡表-農'!$A$1:$E$52</definedName>
    <definedName name="_xlnm.Print_Area" localSheetId="2">圖1!$A$1:$D$28</definedName>
    <definedName name="_xlnm.Print_Area" localSheetId="3">圖2!$A$1:$F$24</definedName>
    <definedName name="_xlnm.Print_Area" localSheetId="38">'雜項業務成本分析-勞職保及保護'!$A$1:$E$45</definedName>
    <definedName name="Print_Area_MI" localSheetId="1">#REF!</definedName>
    <definedName name="Print_Area_MI" localSheetId="31">#REF!</definedName>
    <definedName name="Print_Area_MI" localSheetId="25">#REF!</definedName>
    <definedName name="Print_Area_MI" localSheetId="0">#REF!</definedName>
    <definedName name="Print_Area_MI" localSheetId="38">#REF!</definedName>
    <definedName name="Print_Area_MI">#REF!</definedName>
    <definedName name="_xlnm.Print_Titles" localSheetId="13">出租資產成本明細表!$1:$6</definedName>
    <definedName name="_xlnm.Print_Titles" localSheetId="14">出租資產成本說明!$1:$6</definedName>
    <definedName name="_xlnm.Print_Titles" localSheetId="27">'平衡表-總'!$1:$8</definedName>
    <definedName name="_xlnm.Print_Titles" localSheetId="32">各項費用彙計表!$1:$7</definedName>
    <definedName name="_xlnm.Print_Titles" localSheetId="33">'各項費用彙計表 (單位)'!$1:$7</definedName>
    <definedName name="_xlnm.Print_Titles" localSheetId="39">'收支餘絀預計表-勞'!$1:$7</definedName>
    <definedName name="_xlnm.Print_Titles" localSheetId="42">'收支餘絀預計表-就'!$1:$7</definedName>
    <definedName name="_xlnm.Print_Titles" localSheetId="45">'收支餘絀預計表-農'!$1:$6</definedName>
    <definedName name="_xlnm.Print_Titles" localSheetId="4">'收支餘絀預計表-總'!$1:$7</definedName>
    <definedName name="_xlnm.Print_Titles" localSheetId="48">'收支餘絀預計表-職'!$1:$7</definedName>
    <definedName name="_xlnm.Print_Titles" localSheetId="15">投融資業務成本明細表!$1:$6</definedName>
    <definedName name="_xlnm.Print_Titles" localSheetId="16">投融資業務成本說明!$1:$6</definedName>
    <definedName name="_xlnm.Print_Titles" localSheetId="9">'投融資業務收入明細表 '!$1:$8</definedName>
    <definedName name="_xlnm.Print_Titles" localSheetId="19">其他業務成本明細表!$1:$6</definedName>
    <definedName name="_xlnm.Print_Titles" localSheetId="20">其他業務成本說明!$1:$6</definedName>
    <definedName name="_xlnm.Print_Titles" localSheetId="35">保費收入分析表!$1:$8</definedName>
    <definedName name="_xlnm.Print_Titles" localSheetId="36">'保費收入分析表(附表)'!$1:$8</definedName>
    <definedName name="_xlnm.Print_Titles" localSheetId="17">保險成本明細表!$1:$6</definedName>
    <definedName name="_xlnm.Print_Titles" localSheetId="18">保險成本說明!$1:$6</definedName>
    <definedName name="_xlnm.Print_Titles" localSheetId="10">保險收入明細表!$1:$8</definedName>
    <definedName name="_xlnm.Print_Titles" localSheetId="37">保險給付分析表!$1:$6</definedName>
    <definedName name="_xlnm.Print_Titles" localSheetId="8">租金及權利金收入明細表!$1:$8</definedName>
    <definedName name="_xlnm.Print_Titles" localSheetId="7">'現金流量預計表-總'!$1:$8</definedName>
    <definedName name="_xlnm.Print_Titles" localSheetId="49">'現金流量預計表-職'!$1:$7</definedName>
    <definedName name="_xlnm.Print_Titles" localSheetId="26">'貸出款明細表 '!$4:$6</definedName>
    <definedName name="_xlnm.Print_Titles" localSheetId="12">業務外收入明細表!$1:$8</definedName>
    <definedName name="_xlnm.Print_Titles" localSheetId="41">'預計平衡表-勞'!$1:$8</definedName>
    <definedName name="_xlnm.Print_Titles" localSheetId="44">'預計平衡表-就'!$1:$8</definedName>
    <definedName name="_xlnm.Print_Titles" localSheetId="47">'預計平衡表-農'!$1:$8</definedName>
    <definedName name="_xlnm.Print_Titles" localSheetId="50">'預計平衡表-職'!$1:$8</definedName>
    <definedName name="_xlnm.Print_Titles" localSheetId="38">'雜項業務成本分析-勞職保及保護'!$1:$6</definedName>
    <definedName name="Rate3" localSheetId="49">[2]Rate!$B$3</definedName>
    <definedName name="Rate3" localSheetId="25">[2]Rate!$B$3</definedName>
    <definedName name="Rate3" localSheetId="26">[2]Rate!$B$3</definedName>
    <definedName name="Rate3" localSheetId="50">[2]Rate!$B$3</definedName>
    <definedName name="Rate3">[2]Rate!$B$3</definedName>
    <definedName name="Rate4">[3]Rate!$B$3</definedName>
    <definedName name="S" localSheetId="1">#REF!</definedName>
    <definedName name="S" localSheetId="15">#REF!</definedName>
    <definedName name="S" localSheetId="16">#REF!</definedName>
    <definedName name="S" localSheetId="9">#REF!</definedName>
    <definedName name="S" localSheetId="36">#REF!</definedName>
    <definedName name="S" localSheetId="37">#REF!</definedName>
    <definedName name="S" localSheetId="40">#REF!</definedName>
    <definedName name="S" localSheetId="43">#REF!</definedName>
    <definedName name="S" localSheetId="46">#REF!</definedName>
    <definedName name="S" localSheetId="49">#REF!</definedName>
    <definedName name="S" localSheetId="31">#REF!</definedName>
    <definedName name="S" localSheetId="25">#REF!</definedName>
    <definedName name="S" localSheetId="38">#REF!</definedName>
    <definedName name="S">#REF!</definedName>
    <definedName name="SALE_UNIT">#N/A</definedName>
    <definedName name="Sigma" localSheetId="1">#REF!</definedName>
    <definedName name="Sigma" localSheetId="15">#REF!</definedName>
    <definedName name="Sigma" localSheetId="16">#REF!</definedName>
    <definedName name="Sigma" localSheetId="9">#REF!</definedName>
    <definedName name="Sigma" localSheetId="36">#REF!</definedName>
    <definedName name="Sigma" localSheetId="37">#REF!</definedName>
    <definedName name="Sigma" localSheetId="40">#REF!</definedName>
    <definedName name="Sigma" localSheetId="43">#REF!</definedName>
    <definedName name="Sigma" localSheetId="46">#REF!</definedName>
    <definedName name="Sigma" localSheetId="49">#REF!</definedName>
    <definedName name="Sigma" localSheetId="31">#REF!</definedName>
    <definedName name="Sigma" localSheetId="25">#REF!</definedName>
    <definedName name="Sigma" localSheetId="38">#REF!</definedName>
    <definedName name="Sigma">#REF!</definedName>
    <definedName name="T" localSheetId="1">#REF!</definedName>
    <definedName name="T" localSheetId="15">#REF!</definedName>
    <definedName name="T" localSheetId="16">#REF!</definedName>
    <definedName name="T" localSheetId="9">#REF!</definedName>
    <definedName name="T" localSheetId="36">#REF!</definedName>
    <definedName name="T" localSheetId="37">#REF!</definedName>
    <definedName name="T" localSheetId="40">#REF!</definedName>
    <definedName name="T" localSheetId="43">#REF!</definedName>
    <definedName name="T" localSheetId="46">#REF!</definedName>
    <definedName name="T" localSheetId="49">#REF!</definedName>
    <definedName name="T" localSheetId="31">#REF!</definedName>
    <definedName name="T" localSheetId="25">#REF!</definedName>
    <definedName name="T" localSheetId="38">#REF!</definedName>
    <definedName name="T">#REF!</definedName>
    <definedName name="否" localSheetId="1">#REF!</definedName>
    <definedName name="否" localSheetId="31">#REF!</definedName>
    <definedName name="否" localSheetId="38">#REF!</definedName>
    <definedName name="否">#REF!</definedName>
    <definedName name="昌" localSheetId="1">#REF!</definedName>
    <definedName name="昌" localSheetId="15">#REF!</definedName>
    <definedName name="昌" localSheetId="16">#REF!</definedName>
    <definedName name="昌" localSheetId="9">#REF!</definedName>
    <definedName name="昌" localSheetId="36">#REF!</definedName>
    <definedName name="昌" localSheetId="37">#REF!</definedName>
    <definedName name="昌" localSheetId="40">#REF!</definedName>
    <definedName name="昌" localSheetId="43">#REF!</definedName>
    <definedName name="昌" localSheetId="46">#REF!</definedName>
    <definedName name="昌" localSheetId="49">#REF!</definedName>
    <definedName name="昌" localSheetId="31">#REF!</definedName>
    <definedName name="昌" localSheetId="25">#REF!</definedName>
    <definedName name="昌" localSheetId="38">#REF!</definedName>
    <definedName name="昌">#REF!</definedName>
    <definedName name="非計劃資本支付" localSheetId="49">'[4](91)主機增租'!$C$15</definedName>
    <definedName name="非計劃資本支付" localSheetId="25">'[4](91)主機增租'!$C$15</definedName>
    <definedName name="非計劃資本支付" localSheetId="26">'[4](91)主機增租'!$C$15</definedName>
    <definedName name="非計劃資本支付" localSheetId="50">'[4](91)主機增租'!$C$15</definedName>
    <definedName name="非計劃資本支付">'[4](91)主機增租'!$C$15</definedName>
    <definedName name="非計劃資本支出" localSheetId="49">'[5](91)主機增租(NEC報價)'!$C$15</definedName>
    <definedName name="非計劃資本支出" localSheetId="25">'[5](91)主機增租(NEC報價)'!$C$15</definedName>
    <definedName name="非計劃資本支出" localSheetId="26">'[5](91)主機增租(NEC報價)'!$C$15</definedName>
    <definedName name="非計劃資本支出" localSheetId="50">'[5](91)主機增租(NEC報價)'!$C$15</definedName>
    <definedName name="非計劃資本支出">'[5](91)主機增租(NEC報價)'!$C$15</definedName>
    <definedName name="契約">[6]Rate!$B$3</definedName>
    <definedName name="流" localSheetId="1">#REF!</definedName>
    <definedName name="流" localSheetId="49">#REF!</definedName>
    <definedName name="流" localSheetId="31">#REF!</definedName>
    <definedName name="流" localSheetId="38">#REF!</definedName>
    <definedName name="流">#REF!</definedName>
    <definedName name="原住民" localSheetId="1">#REF!</definedName>
    <definedName name="原住民" localSheetId="15">#REF!</definedName>
    <definedName name="原住民" localSheetId="16">#REF!</definedName>
    <definedName name="原住民" localSheetId="9">#REF!</definedName>
    <definedName name="原住民" localSheetId="36">#REF!</definedName>
    <definedName name="原住民" localSheetId="37">#REF!</definedName>
    <definedName name="原住民" localSheetId="40">#REF!</definedName>
    <definedName name="原住民" localSheetId="43">#REF!</definedName>
    <definedName name="原住民" localSheetId="46">#REF!</definedName>
    <definedName name="原住民" localSheetId="49">#REF!</definedName>
    <definedName name="原住民" localSheetId="31">#REF!</definedName>
    <definedName name="原住民" localSheetId="25">#REF!</definedName>
    <definedName name="原住民" localSheetId="38">#REF!</definedName>
    <definedName name="原住民">#REF!</definedName>
    <definedName name="原住民1" localSheetId="1">#REF!</definedName>
    <definedName name="原住民1" localSheetId="15">#REF!</definedName>
    <definedName name="原住民1" localSheetId="16">#REF!</definedName>
    <definedName name="原住民1" localSheetId="9">#REF!</definedName>
    <definedName name="原住民1" localSheetId="36">#REF!</definedName>
    <definedName name="原住民1" localSheetId="37">#REF!</definedName>
    <definedName name="原住民1" localSheetId="40">#REF!</definedName>
    <definedName name="原住民1" localSheetId="43">#REF!</definedName>
    <definedName name="原住民1" localSheetId="46">#REF!</definedName>
    <definedName name="原住民1" localSheetId="49">#REF!</definedName>
    <definedName name="原住民1" localSheetId="31">#REF!</definedName>
    <definedName name="原住民1" localSheetId="25">#REF!</definedName>
    <definedName name="原住民1" localSheetId="38">#REF!</definedName>
    <definedName name="原住民1">#REF!</definedName>
    <definedName name="就" localSheetId="1">#REF!</definedName>
    <definedName name="就" localSheetId="46">#REF!</definedName>
    <definedName name="就" localSheetId="49">#REF!</definedName>
    <definedName name="就" localSheetId="31">#REF!</definedName>
    <definedName name="就" localSheetId="38">#REF!</definedName>
    <definedName name="就">#REF!</definedName>
    <definedName name="農" localSheetId="1">#REF!</definedName>
    <definedName name="農" localSheetId="49">#REF!</definedName>
    <definedName name="農" localSheetId="31">#REF!</definedName>
    <definedName name="農" localSheetId="38">#REF!</definedName>
    <definedName name="農">#REF!</definedName>
    <definedName name="預算一欄表">[6]Rate!$B$3</definedName>
    <definedName name="圖" localSheetId="1">#REF!</definedName>
    <definedName name="圖" localSheetId="15">#REF!</definedName>
    <definedName name="圖" localSheetId="16">#REF!</definedName>
    <definedName name="圖" localSheetId="9">#REF!</definedName>
    <definedName name="圖" localSheetId="36">#REF!</definedName>
    <definedName name="圖" localSheetId="37">#REF!</definedName>
    <definedName name="圖" localSheetId="40">#REF!</definedName>
    <definedName name="圖" localSheetId="43">#REF!</definedName>
    <definedName name="圖" localSheetId="46">#REF!</definedName>
    <definedName name="圖" localSheetId="49">#REF!</definedName>
    <definedName name="圖" localSheetId="31">#REF!</definedName>
    <definedName name="圖" localSheetId="25">#REF!</definedName>
    <definedName name="圖" localSheetId="38">#REF!</definedName>
    <definedName name="圖">#REF!</definedName>
    <definedName name="職" localSheetId="1">#REF!</definedName>
    <definedName name="職" localSheetId="31">#REF!</definedName>
    <definedName name="職" localSheetId="38">#REF!</definedName>
    <definedName name="職">#REF!</definedName>
    <definedName name="職災" localSheetId="1">#REF!</definedName>
    <definedName name="職災" localSheetId="31">#REF!</definedName>
    <definedName name="職災" localSheetId="38">#REF!</definedName>
    <definedName name="職災">#REF!</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22" i="29" l="1"/>
  <c r="C22" i="29"/>
  <c r="D24" i="29"/>
  <c r="C24" i="29"/>
  <c r="G17" i="85"/>
  <c r="G7" i="6"/>
  <c r="D14" i="28" l="1"/>
  <c r="D34" i="85"/>
  <c r="D32" i="85"/>
  <c r="D15" i="85"/>
  <c r="G46" i="81" l="1"/>
  <c r="E45" i="106"/>
  <c r="B11" i="1"/>
  <c r="D38" i="29"/>
  <c r="C38" i="29"/>
  <c r="C11" i="29"/>
  <c r="D15" i="30" l="1"/>
  <c r="D15" i="92"/>
  <c r="C37" i="93"/>
  <c r="C11" i="93"/>
  <c r="D32" i="91"/>
  <c r="D21" i="91"/>
  <c r="D74" i="80"/>
  <c r="D45" i="80"/>
  <c r="D22" i="53"/>
  <c r="U16" i="53" l="1"/>
  <c r="J43" i="106" l="1"/>
  <c r="D29" i="91" l="1"/>
  <c r="D14" i="91"/>
  <c r="D20" i="94"/>
  <c r="D12" i="94"/>
  <c r="D65" i="80"/>
  <c r="D64" i="80"/>
  <c r="D22" i="80"/>
  <c r="D21" i="80"/>
  <c r="F44" i="81"/>
  <c r="F18" i="94" l="1"/>
  <c r="D18" i="94"/>
  <c r="B38" i="92" l="1"/>
  <c r="F14" i="80" l="1"/>
  <c r="B38" i="114" l="1"/>
  <c r="B39" i="30"/>
  <c r="D28" i="113"/>
  <c r="C28" i="113"/>
  <c r="D11" i="113"/>
  <c r="C11" i="113"/>
  <c r="D37" i="93" l="1"/>
  <c r="D11" i="93"/>
  <c r="D11" i="29" l="1"/>
  <c r="F14" i="103" l="1"/>
  <c r="F26" i="103"/>
  <c r="F32" i="91"/>
  <c r="F12" i="91"/>
  <c r="B40" i="81"/>
  <c r="B46" i="81"/>
  <c r="B46" i="84"/>
  <c r="B14" i="28"/>
  <c r="F42" i="80"/>
  <c r="F74" i="80"/>
  <c r="F87" i="80"/>
  <c r="E20" i="53"/>
  <c r="E16" i="53"/>
  <c r="D9" i="88" l="1"/>
  <c r="M39" i="106"/>
  <c r="M12" i="106"/>
  <c r="M17" i="106"/>
  <c r="J15" i="106"/>
  <c r="F29" i="106"/>
  <c r="H40" i="81"/>
  <c r="H17" i="81"/>
  <c r="H12" i="81"/>
  <c r="B15" i="1" l="1"/>
  <c r="D49" i="28" l="1"/>
  <c r="D16" i="84"/>
  <c r="D27" i="84"/>
  <c r="D29" i="84"/>
  <c r="D24" i="84"/>
  <c r="B45" i="84"/>
  <c r="D46" i="84"/>
  <c r="D45" i="84" s="1"/>
  <c r="V16" i="53" l="1"/>
  <c r="B33" i="98" l="1"/>
  <c r="D12" i="98"/>
  <c r="D15" i="114"/>
  <c r="E20" i="68"/>
  <c r="D87" i="80" l="1"/>
  <c r="D86" i="80"/>
  <c r="D77" i="80" l="1"/>
  <c r="D58" i="80"/>
  <c r="D46" i="80"/>
  <c r="D39" i="80"/>
  <c r="D26" i="80"/>
  <c r="D18" i="80"/>
  <c r="D14" i="80"/>
  <c r="D26" i="103"/>
  <c r="D23" i="103"/>
  <c r="D34" i="97"/>
  <c r="D21" i="97"/>
  <c r="D16" i="91"/>
  <c r="D27" i="91"/>
  <c r="D19" i="91"/>
  <c r="D13" i="91"/>
  <c r="D12" i="91"/>
  <c r="D11" i="91" s="1"/>
  <c r="A7" i="150" l="1"/>
  <c r="A21" i="150" s="1"/>
  <c r="B7" i="150"/>
  <c r="D16" i="95" l="1"/>
  <c r="D11" i="95"/>
  <c r="A43" i="28" l="1"/>
  <c r="A51" i="28"/>
  <c r="A50" i="28" s="1"/>
  <c r="A48" i="28"/>
  <c r="A47" i="28" s="1"/>
  <c r="A45" i="28"/>
  <c r="A44" i="28" s="1"/>
  <c r="A40" i="28"/>
  <c r="A39" i="28"/>
  <c r="A37" i="28"/>
  <c r="A36" i="28" s="1"/>
  <c r="A33" i="28"/>
  <c r="A32" i="28" s="1"/>
  <c r="A31" i="28" s="1"/>
  <c r="A27" i="28"/>
  <c r="A26" i="28" s="1"/>
  <c r="A24" i="28"/>
  <c r="A23" i="28" s="1"/>
  <c r="A21" i="28"/>
  <c r="A20" i="28" s="1"/>
  <c r="A16" i="28"/>
  <c r="A15" i="28" s="1"/>
  <c r="A13" i="28"/>
  <c r="A12" i="28" s="1"/>
  <c r="A10" i="28"/>
  <c r="A9" i="28" s="1"/>
  <c r="D24" i="28"/>
  <c r="D26" i="94"/>
  <c r="D23" i="94"/>
  <c r="D13" i="94"/>
  <c r="D10" i="94"/>
  <c r="D85" i="80"/>
  <c r="D75" i="80"/>
  <c r="D27" i="80"/>
  <c r="D15" i="80"/>
  <c r="A30" i="28" l="1"/>
  <c r="A19" i="28"/>
  <c r="A8" i="28"/>
  <c r="B8" i="10"/>
  <c r="D13" i="10"/>
  <c r="A7" i="28" l="1"/>
  <c r="J13" i="78"/>
  <c r="J12" i="78" s="1"/>
  <c r="D23" i="20"/>
  <c r="D22" i="20" s="1"/>
  <c r="D21" i="20" s="1"/>
  <c r="D20" i="20" s="1"/>
  <c r="B23" i="20"/>
  <c r="B22" i="20"/>
  <c r="B21" i="20" s="1"/>
  <c r="B20" i="20" s="1"/>
  <c r="B26" i="2" l="1"/>
  <c r="E40" i="68" l="1"/>
  <c r="C40" i="68"/>
  <c r="C28" i="68"/>
  <c r="C26" i="68" s="1"/>
  <c r="E28" i="68"/>
  <c r="E26" i="68" s="1"/>
  <c r="E17" i="68" l="1"/>
  <c r="C17" i="68"/>
  <c r="A27" i="113" l="1"/>
  <c r="A40" i="99"/>
  <c r="A39" i="99" s="1"/>
  <c r="A37" i="99"/>
  <c r="A33" i="99"/>
  <c r="A13" i="99"/>
  <c r="A10" i="99"/>
  <c r="A9" i="99" s="1"/>
  <c r="A30" i="99" s="1"/>
  <c r="A27" i="96"/>
  <c r="A32" i="99" l="1"/>
  <c r="A52" i="99" s="1"/>
  <c r="D41" i="81" l="1"/>
  <c r="D40" i="81"/>
  <c r="E25" i="41" l="1"/>
  <c r="K9" i="106"/>
  <c r="A10" i="69"/>
  <c r="D48" i="69"/>
  <c r="B48" i="69"/>
  <c r="A48" i="69"/>
  <c r="A46" i="69"/>
  <c r="A45" i="69" s="1"/>
  <c r="A44" i="69" s="1"/>
  <c r="A41" i="69"/>
  <c r="A40" i="69" s="1"/>
  <c r="A38" i="69"/>
  <c r="A36" i="69"/>
  <c r="A34" i="69"/>
  <c r="A30" i="69"/>
  <c r="A29" i="69" s="1"/>
  <c r="A27" i="69"/>
  <c r="A26" i="69" s="1"/>
  <c r="A24" i="69"/>
  <c r="A22" i="69"/>
  <c r="D28" i="84"/>
  <c r="D20" i="84" s="1"/>
  <c r="D43" i="84"/>
  <c r="D41" i="84"/>
  <c r="D31" i="84"/>
  <c r="A9" i="69" l="1"/>
  <c r="A8" i="69"/>
  <c r="E8" i="69"/>
  <c r="A33" i="69"/>
  <c r="A32" i="69" s="1"/>
  <c r="A7" i="69" l="1"/>
  <c r="E7" i="69"/>
  <c r="A28" i="84"/>
  <c r="A20" i="84" s="1"/>
  <c r="A19" i="84" s="1"/>
  <c r="A15" i="84"/>
  <c r="A14" i="84" s="1"/>
  <c r="A13" i="84" s="1"/>
  <c r="A10" i="84"/>
  <c r="A9" i="84" s="1"/>
  <c r="A8" i="84" s="1"/>
  <c r="C20" i="68" l="1"/>
  <c r="C13" i="99" l="1"/>
  <c r="A31" i="29" l="1"/>
  <c r="A36" i="29"/>
  <c r="A30" i="29" s="1"/>
  <c r="A10" i="29"/>
  <c r="A43" i="29"/>
  <c r="A41" i="29"/>
  <c r="A23" i="29"/>
  <c r="A21" i="29"/>
  <c r="A19" i="29"/>
  <c r="A16" i="29"/>
  <c r="A21" i="93"/>
  <c r="A42" i="93"/>
  <c r="A40" i="93"/>
  <c r="A35" i="93"/>
  <c r="A31" i="93"/>
  <c r="A19" i="93"/>
  <c r="A16" i="93"/>
  <c r="A10" i="93"/>
  <c r="A24" i="96"/>
  <c r="A17" i="96"/>
  <c r="A19" i="96"/>
  <c r="A15" i="96"/>
  <c r="A10" i="96"/>
  <c r="D19" i="96"/>
  <c r="C19" i="96"/>
  <c r="E20" i="96"/>
  <c r="A9" i="29" l="1"/>
  <c r="A29" i="29" s="1"/>
  <c r="A30" i="93"/>
  <c r="A9" i="93"/>
  <c r="A29" i="93" s="1"/>
  <c r="A23" i="96"/>
  <c r="A9" i="96"/>
  <c r="A22" i="96" s="1"/>
  <c r="A17" i="113"/>
  <c r="A19" i="113"/>
  <c r="A24" i="113"/>
  <c r="A15" i="113"/>
  <c r="A10" i="113"/>
  <c r="A9" i="113" s="1"/>
  <c r="D24" i="113"/>
  <c r="C24" i="113"/>
  <c r="E26" i="113"/>
  <c r="A23" i="113" l="1"/>
  <c r="A21" i="113"/>
  <c r="B11" i="92" l="1"/>
  <c r="B13" i="92" s="1"/>
  <c r="C8" i="77" l="1"/>
  <c r="D8" i="77"/>
  <c r="E8" i="77"/>
  <c r="B34" i="98" l="1"/>
  <c r="E33" i="81" l="1"/>
  <c r="C43" i="106" l="1"/>
  <c r="K40" i="106" l="1"/>
  <c r="H40" i="106"/>
  <c r="C40" i="106"/>
  <c r="C39" i="106"/>
  <c r="F23" i="106"/>
  <c r="K22" i="106"/>
  <c r="M19" i="106"/>
  <c r="H22" i="106"/>
  <c r="C22" i="106"/>
  <c r="B22" i="106" s="1"/>
  <c r="C21" i="106"/>
  <c r="C20" i="106"/>
  <c r="H19" i="81"/>
  <c r="D22" i="81"/>
  <c r="B38" i="103" l="1"/>
  <c r="D31" i="103"/>
  <c r="D36" i="103"/>
  <c r="D35" i="103" s="1"/>
  <c r="K37" i="103"/>
  <c r="H37" i="103"/>
  <c r="B37" i="103"/>
  <c r="K36" i="103"/>
  <c r="F36" i="103"/>
  <c r="B36" i="103"/>
  <c r="K35" i="103"/>
  <c r="B35" i="103"/>
  <c r="A49" i="91"/>
  <c r="D14" i="97"/>
  <c r="F35" i="103" l="1"/>
  <c r="H36" i="103"/>
  <c r="B8" i="81"/>
  <c r="B38" i="81"/>
  <c r="I38" i="81"/>
  <c r="H38" i="81"/>
  <c r="G38" i="81"/>
  <c r="F38" i="81"/>
  <c r="E38" i="81"/>
  <c r="B33" i="81"/>
  <c r="I33" i="81"/>
  <c r="H33" i="81"/>
  <c r="G33" i="81"/>
  <c r="F33" i="81"/>
  <c r="A8" i="81"/>
  <c r="H35" i="103" l="1"/>
  <c r="D91" i="80"/>
  <c r="H95" i="75" l="1"/>
  <c r="H26" i="75" l="1"/>
  <c r="H90" i="75"/>
  <c r="H14" i="75" l="1"/>
  <c r="D32" i="75" l="1"/>
  <c r="D30" i="75"/>
  <c r="D29" i="75" s="1"/>
  <c r="B12" i="51" l="1"/>
  <c r="E13" i="51" s="1"/>
  <c r="N53" i="83" l="1"/>
  <c r="L53" i="83"/>
  <c r="B27" i="83"/>
  <c r="E27" i="83"/>
  <c r="B11" i="83"/>
  <c r="E11" i="83"/>
  <c r="E10" i="83" s="1"/>
  <c r="L54" i="83" l="1"/>
  <c r="L55" i="83"/>
  <c r="L56" i="83"/>
  <c r="L57" i="83"/>
  <c r="L58" i="83"/>
  <c r="L59" i="83"/>
  <c r="L60" i="83"/>
  <c r="L61" i="83"/>
  <c r="L62" i="83"/>
  <c r="L63" i="83"/>
  <c r="L64" i="83"/>
  <c r="L65" i="83"/>
  <c r="L30" i="83"/>
  <c r="L28" i="83"/>
  <c r="N27" i="83"/>
  <c r="N28" i="83"/>
  <c r="L52" i="83" l="1"/>
  <c r="N11" i="83"/>
  <c r="L12" i="83"/>
  <c r="N12" i="83"/>
  <c r="D31" i="113" l="1"/>
  <c r="D30" i="113" s="1"/>
  <c r="D27" i="113"/>
  <c r="D23" i="113" s="1"/>
  <c r="D33" i="113" s="1"/>
  <c r="D19" i="113"/>
  <c r="D17" i="113"/>
  <c r="D15" i="113"/>
  <c r="D10" i="113"/>
  <c r="F31" i="103"/>
  <c r="F29" i="103"/>
  <c r="F25" i="103"/>
  <c r="F21" i="103"/>
  <c r="F19" i="103"/>
  <c r="F15" i="103"/>
  <c r="F12" i="103"/>
  <c r="F9" i="103"/>
  <c r="F48" i="97"/>
  <c r="F47" i="97" s="1"/>
  <c r="F45" i="97"/>
  <c r="F42" i="97"/>
  <c r="F40" i="97"/>
  <c r="F39" i="97" s="1"/>
  <c r="F38" i="97" s="1"/>
  <c r="F37" i="97"/>
  <c r="F34" i="97"/>
  <c r="F33" i="97"/>
  <c r="F32" i="97"/>
  <c r="F30" i="97"/>
  <c r="F25" i="97"/>
  <c r="F21" i="97"/>
  <c r="F20" i="97" s="1"/>
  <c r="F19" i="97" s="1"/>
  <c r="F17" i="97"/>
  <c r="F13" i="97" s="1"/>
  <c r="F14" i="97"/>
  <c r="F10" i="97"/>
  <c r="F9" i="97" s="1"/>
  <c r="D31" i="96"/>
  <c r="D30" i="96"/>
  <c r="D27" i="96"/>
  <c r="D24" i="96"/>
  <c r="D17" i="96"/>
  <c r="D15" i="96"/>
  <c r="D10" i="96"/>
  <c r="F36" i="94"/>
  <c r="F35" i="94"/>
  <c r="F31" i="94"/>
  <c r="F28" i="94" s="1"/>
  <c r="F38" i="94" s="1"/>
  <c r="F29" i="94"/>
  <c r="F26" i="94"/>
  <c r="F25" i="94"/>
  <c r="F23" i="94"/>
  <c r="F21" i="94" s="1"/>
  <c r="F17" i="94" s="1"/>
  <c r="F14" i="94"/>
  <c r="F8" i="94" s="1"/>
  <c r="F9" i="94"/>
  <c r="D44" i="93"/>
  <c r="D42" i="93"/>
  <c r="D40" i="93"/>
  <c r="D35" i="93"/>
  <c r="D31" i="93"/>
  <c r="D21" i="93"/>
  <c r="D19" i="93"/>
  <c r="D16" i="93"/>
  <c r="D10" i="93"/>
  <c r="F46" i="91"/>
  <c r="F45" i="91"/>
  <c r="F40" i="91"/>
  <c r="F38" i="91"/>
  <c r="F37" i="91" s="1"/>
  <c r="F48" i="91" s="1"/>
  <c r="F34" i="91"/>
  <c r="F30" i="91"/>
  <c r="F27" i="91"/>
  <c r="F26" i="91" s="1"/>
  <c r="F24" i="91"/>
  <c r="F20" i="91"/>
  <c r="F17" i="91"/>
  <c r="F16" i="91"/>
  <c r="F13" i="91"/>
  <c r="F9" i="91"/>
  <c r="D40" i="91"/>
  <c r="E36" i="41"/>
  <c r="E35" i="41" s="1"/>
  <c r="D45" i="29"/>
  <c r="D43" i="29"/>
  <c r="D41" i="29"/>
  <c r="D40" i="29"/>
  <c r="D36" i="29"/>
  <c r="D31" i="29"/>
  <c r="D23" i="29"/>
  <c r="D21" i="29"/>
  <c r="D19" i="29"/>
  <c r="D16" i="29"/>
  <c r="D10" i="29"/>
  <c r="B17" i="20"/>
  <c r="B16" i="20" s="1"/>
  <c r="B15" i="20" s="1"/>
  <c r="B14" i="20" s="1"/>
  <c r="B11" i="20"/>
  <c r="B10" i="20"/>
  <c r="B9" i="20" s="1"/>
  <c r="B8" i="20" s="1"/>
  <c r="B7" i="20" s="1"/>
  <c r="B35" i="84"/>
  <c r="B31" i="84"/>
  <c r="B20" i="84"/>
  <c r="B19" i="84" s="1"/>
  <c r="B16" i="84"/>
  <c r="B15" i="84" s="1"/>
  <c r="B14" i="84" s="1"/>
  <c r="B13" i="84" s="1"/>
  <c r="B11" i="84"/>
  <c r="B10" i="84" s="1"/>
  <c r="B9" i="84" s="1"/>
  <c r="B8" i="84" s="1"/>
  <c r="B51" i="28"/>
  <c r="B50" i="28" s="1"/>
  <c r="B48" i="28"/>
  <c r="B47" i="28" s="1"/>
  <c r="B45" i="28"/>
  <c r="B44" i="28"/>
  <c r="B40" i="28"/>
  <c r="B39" i="28" s="1"/>
  <c r="B37" i="28"/>
  <c r="B36" i="28" s="1"/>
  <c r="B33" i="28"/>
  <c r="B32" i="28" s="1"/>
  <c r="B31" i="28" s="1"/>
  <c r="B27" i="28"/>
  <c r="B26" i="28" s="1"/>
  <c r="B25" i="28"/>
  <c r="B24" i="28" s="1"/>
  <c r="B23" i="28" s="1"/>
  <c r="B21" i="28"/>
  <c r="B20" i="28" s="1"/>
  <c r="B19" i="28" s="1"/>
  <c r="B16" i="28"/>
  <c r="B15" i="28" s="1"/>
  <c r="B13" i="28"/>
  <c r="B12" i="28" s="1"/>
  <c r="B10" i="28"/>
  <c r="B9" i="28"/>
  <c r="B46" i="69"/>
  <c r="B45" i="69" s="1"/>
  <c r="B44" i="69" s="1"/>
  <c r="B41" i="69"/>
  <c r="B40" i="69" s="1"/>
  <c r="B38" i="69"/>
  <c r="B36" i="69"/>
  <c r="B34" i="69"/>
  <c r="B30" i="69"/>
  <c r="B29" i="69"/>
  <c r="B27" i="69"/>
  <c r="B26" i="69"/>
  <c r="B24" i="69"/>
  <c r="B22" i="69"/>
  <c r="B20" i="69"/>
  <c r="B19" i="69" s="1"/>
  <c r="B17" i="69"/>
  <c r="B15" i="69"/>
  <c r="B13" i="69"/>
  <c r="B11" i="69"/>
  <c r="B10" i="69" s="1"/>
  <c r="B9" i="69" s="1"/>
  <c r="B24" i="17"/>
  <c r="B20" i="17"/>
  <c r="B17" i="17"/>
  <c r="B10" i="17"/>
  <c r="B9" i="17" s="1"/>
  <c r="B8" i="17" s="1"/>
  <c r="B7" i="17" s="1"/>
  <c r="F11" i="91" l="1"/>
  <c r="F8" i="91" s="1"/>
  <c r="F18" i="103"/>
  <c r="D39" i="93"/>
  <c r="F8" i="103"/>
  <c r="B8" i="28"/>
  <c r="F28" i="103"/>
  <c r="F38" i="103" s="1"/>
  <c r="F27" i="94"/>
  <c r="F39" i="94" s="1"/>
  <c r="F8" i="97"/>
  <c r="F24" i="97"/>
  <c r="F23" i="97" s="1"/>
  <c r="B30" i="28"/>
  <c r="B7" i="28" s="1"/>
  <c r="B43" i="28"/>
  <c r="F36" i="97"/>
  <c r="F35" i="97" s="1"/>
  <c r="F49" i="97" s="1"/>
  <c r="F27" i="103"/>
  <c r="M37" i="103"/>
  <c r="G37" i="103"/>
  <c r="G36" i="103"/>
  <c r="M36" i="103"/>
  <c r="M35" i="103"/>
  <c r="G35" i="103"/>
  <c r="F23" i="91"/>
  <c r="B8" i="69"/>
  <c r="B33" i="69"/>
  <c r="B32" i="69" s="1"/>
  <c r="B7" i="69" s="1"/>
  <c r="B18" i="84"/>
  <c r="B7" i="84" s="1"/>
  <c r="D30" i="29"/>
  <c r="D48" i="29" s="1"/>
  <c r="D9" i="29"/>
  <c r="D29" i="29" s="1"/>
  <c r="D30" i="93"/>
  <c r="D50" i="93" s="1"/>
  <c r="D9" i="93"/>
  <c r="D29" i="93" s="1"/>
  <c r="D9" i="96"/>
  <c r="D22" i="96" s="1"/>
  <c r="D23" i="96"/>
  <c r="D33" i="96" s="1"/>
  <c r="D9" i="113"/>
  <c r="D21" i="113" s="1"/>
  <c r="C22" i="53"/>
  <c r="F116" i="80"/>
  <c r="F115" i="80" s="1"/>
  <c r="F114" i="80" s="1"/>
  <c r="F109" i="80"/>
  <c r="F104" i="80"/>
  <c r="F101" i="80"/>
  <c r="F97" i="80"/>
  <c r="F96" i="80"/>
  <c r="F91" i="80"/>
  <c r="F90" i="80" s="1"/>
  <c r="F85" i="80"/>
  <c r="F84" i="80"/>
  <c r="F83" i="80" s="1"/>
  <c r="F78" i="80"/>
  <c r="F75" i="80"/>
  <c r="F73" i="80"/>
  <c r="F72" i="80"/>
  <c r="F67" i="80"/>
  <c r="F66" i="80"/>
  <c r="F63" i="80"/>
  <c r="F61" i="80"/>
  <c r="F57" i="80"/>
  <c r="F56" i="80"/>
  <c r="F54" i="80"/>
  <c r="F53" i="80"/>
  <c r="F49" i="80"/>
  <c r="F44" i="80"/>
  <c r="F43" i="80" s="1"/>
  <c r="F38" i="80"/>
  <c r="F31" i="80" s="1"/>
  <c r="F32" i="80"/>
  <c r="F25" i="80"/>
  <c r="F23" i="80"/>
  <c r="F20" i="80"/>
  <c r="F18" i="80"/>
  <c r="F17" i="80" s="1"/>
  <c r="F13" i="80"/>
  <c r="F10" i="80"/>
  <c r="F9" i="80"/>
  <c r="F36" i="91" l="1"/>
  <c r="F49" i="91" s="1"/>
  <c r="F12" i="80"/>
  <c r="F8" i="80" s="1"/>
  <c r="F89" i="80"/>
  <c r="F120" i="80"/>
  <c r="F52" i="80"/>
  <c r="F88" i="80" l="1"/>
  <c r="F121" i="80"/>
  <c r="E32" i="29"/>
  <c r="E25" i="29"/>
  <c r="E24" i="29"/>
  <c r="E20" i="29"/>
  <c r="E11" i="29"/>
  <c r="C36" i="29"/>
  <c r="C31" i="29"/>
  <c r="B9" i="91"/>
  <c r="C27" i="113"/>
  <c r="C23" i="113" s="1"/>
  <c r="E11" i="113"/>
  <c r="C10" i="113"/>
  <c r="C30" i="29" l="1"/>
  <c r="G9" i="103"/>
  <c r="F39" i="103"/>
  <c r="D21" i="103"/>
  <c r="D12" i="103"/>
  <c r="D9" i="103"/>
  <c r="B9" i="103"/>
  <c r="G10" i="103"/>
  <c r="E34" i="99"/>
  <c r="E12" i="99"/>
  <c r="E11" i="99"/>
  <c r="D33" i="99"/>
  <c r="D10" i="99"/>
  <c r="C33" i="99"/>
  <c r="C10" i="99"/>
  <c r="C9" i="99" s="1"/>
  <c r="C30" i="99" s="1"/>
  <c r="E10" i="99" l="1"/>
  <c r="H9" i="103"/>
  <c r="I9" i="103" s="1"/>
  <c r="D48" i="97"/>
  <c r="D47" i="97" s="1"/>
  <c r="D36" i="97"/>
  <c r="D25" i="97"/>
  <c r="B16" i="97"/>
  <c r="B14" i="97"/>
  <c r="B10" i="103"/>
  <c r="G39" i="103"/>
  <c r="G38" i="103"/>
  <c r="G34" i="103"/>
  <c r="G33" i="103"/>
  <c r="G32" i="103"/>
  <c r="G31" i="103"/>
  <c r="G30" i="103"/>
  <c r="G29" i="103"/>
  <c r="G28" i="103"/>
  <c r="G27" i="103"/>
  <c r="G26" i="103"/>
  <c r="G25" i="103"/>
  <c r="G24" i="103"/>
  <c r="G23" i="103"/>
  <c r="G22" i="103"/>
  <c r="G21" i="103"/>
  <c r="G20" i="103"/>
  <c r="G19" i="103"/>
  <c r="G18" i="103"/>
  <c r="G17" i="103"/>
  <c r="G16" i="103"/>
  <c r="G15" i="103"/>
  <c r="G14" i="103"/>
  <c r="G13" i="103"/>
  <c r="G12" i="103"/>
  <c r="G11" i="103"/>
  <c r="G49" i="97"/>
  <c r="G48" i="97"/>
  <c r="G47" i="97"/>
  <c r="G46" i="97"/>
  <c r="G45" i="97"/>
  <c r="G44" i="97"/>
  <c r="G43" i="97"/>
  <c r="G42" i="97"/>
  <c r="G41" i="97"/>
  <c r="G40" i="97"/>
  <c r="G39" i="97"/>
  <c r="G38" i="97"/>
  <c r="G37" i="97"/>
  <c r="G36" i="97"/>
  <c r="G35" i="97"/>
  <c r="G34" i="97"/>
  <c r="G33" i="97"/>
  <c r="G32" i="97"/>
  <c r="G31" i="97"/>
  <c r="G30" i="97"/>
  <c r="G29" i="97"/>
  <c r="G28" i="97"/>
  <c r="G27" i="97"/>
  <c r="G26" i="97"/>
  <c r="G25" i="97"/>
  <c r="G24" i="97"/>
  <c r="G23" i="97"/>
  <c r="G22" i="97"/>
  <c r="G21" i="97"/>
  <c r="G20" i="97"/>
  <c r="G19" i="97"/>
  <c r="G18" i="97"/>
  <c r="G17" i="97"/>
  <c r="G16" i="97"/>
  <c r="G15" i="97"/>
  <c r="G14" i="97"/>
  <c r="G13" i="97"/>
  <c r="G12" i="97"/>
  <c r="G11" i="97"/>
  <c r="G10" i="97"/>
  <c r="G9" i="97"/>
  <c r="E28" i="96"/>
  <c r="E21" i="96"/>
  <c r="E19" i="96" s="1"/>
  <c r="E16" i="96"/>
  <c r="E11" i="96"/>
  <c r="D21" i="94" l="1"/>
  <c r="H40" i="91" l="1"/>
  <c r="D30" i="91"/>
  <c r="D26" i="91"/>
  <c r="E36" i="93"/>
  <c r="C35" i="93"/>
  <c r="C31" i="93"/>
  <c r="C30" i="93" l="1"/>
  <c r="B31" i="92"/>
  <c r="D7" i="150" l="1"/>
  <c r="D21" i="150" s="1"/>
  <c r="B21" i="150" l="1"/>
  <c r="B52" i="51" l="1"/>
  <c r="B55" i="51"/>
  <c r="E57" i="51" s="1"/>
  <c r="B42" i="51"/>
  <c r="E45" i="51" s="1"/>
  <c r="B39" i="51"/>
  <c r="E41" i="51" s="1"/>
  <c r="B32" i="51"/>
  <c r="E35" i="51" s="1"/>
  <c r="B24" i="51"/>
  <c r="E27" i="51" s="1"/>
  <c r="B20" i="51"/>
  <c r="E22" i="51" s="1"/>
  <c r="B16" i="51"/>
  <c r="E17" i="51" s="1"/>
  <c r="E15" i="51"/>
  <c r="B52" i="83"/>
  <c r="M52" i="83" s="1"/>
  <c r="N46" i="83"/>
  <c r="L46" i="83"/>
  <c r="N39" i="83"/>
  <c r="L39" i="83"/>
  <c r="N34" i="83"/>
  <c r="L34" i="83"/>
  <c r="N33" i="83"/>
  <c r="L33" i="83"/>
  <c r="N32" i="83"/>
  <c r="L32" i="83"/>
  <c r="N31" i="83"/>
  <c r="L31" i="83"/>
  <c r="N30" i="83"/>
  <c r="N29" i="83"/>
  <c r="L29" i="83"/>
  <c r="L27" i="83" l="1"/>
  <c r="M27" i="83" s="1"/>
  <c r="E54" i="51"/>
  <c r="E53" i="51"/>
  <c r="E43" i="51"/>
  <c r="E58" i="51"/>
  <c r="E14" i="51"/>
  <c r="E18" i="51"/>
  <c r="E26" i="83"/>
  <c r="E44" i="51"/>
  <c r="E19" i="51"/>
  <c r="E25" i="51"/>
  <c r="E26" i="51"/>
  <c r="E40" i="51"/>
  <c r="E34" i="51"/>
  <c r="E33" i="51"/>
  <c r="E56" i="51"/>
  <c r="E23" i="51"/>
  <c r="E21" i="51"/>
  <c r="B14" i="92"/>
  <c r="B11" i="46" l="1"/>
  <c r="C10" i="29" l="1"/>
  <c r="D38" i="80"/>
  <c r="D73" i="80"/>
  <c r="E8" i="28" l="1"/>
  <c r="E7" i="28"/>
  <c r="D7" i="7" l="1"/>
  <c r="F7" i="6" l="1"/>
  <c r="G9" i="2" l="1"/>
  <c r="K23" i="68" l="1"/>
  <c r="B14" i="30" l="1"/>
  <c r="B11" i="98" l="1"/>
  <c r="E7" i="7"/>
  <c r="B10" i="46"/>
  <c r="K24" i="68"/>
  <c r="K14" i="68"/>
  <c r="J21" i="68"/>
  <c r="M21" i="68" s="1"/>
  <c r="L21" i="68"/>
  <c r="K21" i="68"/>
  <c r="D23" i="10" l="1"/>
  <c r="C12" i="77" l="1"/>
  <c r="F9" i="77"/>
  <c r="G7" i="7" l="1"/>
  <c r="E43" i="28" l="1"/>
  <c r="F43" i="28" s="1"/>
  <c r="F8" i="28"/>
  <c r="E19" i="28"/>
  <c r="F19" i="28" s="1"/>
  <c r="E30" i="28"/>
  <c r="F30" i="28" s="1"/>
  <c r="E40" i="69" l="1"/>
  <c r="E33" i="69"/>
  <c r="F8" i="69"/>
  <c r="F7" i="69"/>
  <c r="E32" i="69" l="1"/>
  <c r="B29" i="2"/>
  <c r="E45" i="83" l="1"/>
  <c r="H44" i="97" l="1"/>
  <c r="B44" i="97"/>
  <c r="K44" i="97"/>
  <c r="B43" i="97"/>
  <c r="H43" i="97"/>
  <c r="C10" i="96"/>
  <c r="E14" i="96"/>
  <c r="B14" i="95"/>
  <c r="E39" i="29" l="1"/>
  <c r="E38" i="29"/>
  <c r="E37" i="29"/>
  <c r="E36" i="29" s="1"/>
  <c r="B37" i="30" l="1"/>
  <c r="B32" i="30"/>
  <c r="D35" i="84" l="1"/>
  <c r="D19" i="84" s="1"/>
  <c r="A18" i="84" l="1"/>
  <c r="O21" i="68"/>
  <c r="N21" i="68" s="1"/>
  <c r="D20" i="68"/>
  <c r="K16" i="68"/>
  <c r="A7" i="84" l="1"/>
  <c r="E7" i="84"/>
  <c r="K15" i="68"/>
  <c r="I14" i="68"/>
  <c r="B18" i="1" l="1"/>
  <c r="E15" i="41"/>
  <c r="E11" i="41"/>
  <c r="B17" i="103" l="1"/>
  <c r="H17" i="103"/>
  <c r="I17" i="103" s="1"/>
  <c r="D15" i="103"/>
  <c r="H15" i="103" l="1"/>
  <c r="D8" i="103"/>
  <c r="A39" i="94"/>
  <c r="B39" i="94" s="1"/>
  <c r="H11" i="94"/>
  <c r="K11" i="94"/>
  <c r="B11" i="94"/>
  <c r="B33" i="103"/>
  <c r="G48" i="91"/>
  <c r="B22" i="91"/>
  <c r="G12" i="91"/>
  <c r="G9" i="91"/>
  <c r="I15" i="103"/>
  <c r="K23" i="103"/>
  <c r="H23" i="103"/>
  <c r="B23" i="103"/>
  <c r="B39" i="103"/>
  <c r="B34" i="103"/>
  <c r="B32" i="103"/>
  <c r="B31" i="103"/>
  <c r="B30" i="103"/>
  <c r="B29" i="103"/>
  <c r="B28" i="103"/>
  <c r="B27" i="103"/>
  <c r="B26" i="103"/>
  <c r="B25" i="103"/>
  <c r="B24" i="103"/>
  <c r="B22" i="103"/>
  <c r="B21" i="103"/>
  <c r="B20" i="103"/>
  <c r="B19" i="103"/>
  <c r="B18" i="103"/>
  <c r="B16" i="103"/>
  <c r="B15" i="103"/>
  <c r="B14" i="103"/>
  <c r="B13" i="103"/>
  <c r="B12" i="103"/>
  <c r="B11" i="103"/>
  <c r="H42" i="91"/>
  <c r="G42" i="91"/>
  <c r="B42" i="91"/>
  <c r="B16" i="91"/>
  <c r="H8" i="103" l="1"/>
  <c r="I8" i="103" s="1"/>
  <c r="L35" i="103"/>
  <c r="E9" i="103"/>
  <c r="E36" i="103"/>
  <c r="L37" i="103"/>
  <c r="E37" i="103"/>
  <c r="L36" i="103"/>
  <c r="E35" i="103"/>
  <c r="K16" i="103"/>
  <c r="H16" i="103"/>
  <c r="K15" i="103"/>
  <c r="H32" i="91" l="1"/>
  <c r="I32" i="91" s="1"/>
  <c r="D20" i="91"/>
  <c r="B10" i="91"/>
  <c r="D9" i="91" l="1"/>
  <c r="I40" i="80" l="1"/>
  <c r="H8" i="81" l="1"/>
  <c r="D84" i="80"/>
  <c r="D64" i="75" l="1"/>
  <c r="D70" i="75"/>
  <c r="D75" i="75"/>
  <c r="D80" i="75"/>
  <c r="D83" i="75"/>
  <c r="D61" i="75"/>
  <c r="D57" i="75"/>
  <c r="H76" i="75" l="1"/>
  <c r="D20" i="85" l="1"/>
  <c r="D11" i="85"/>
  <c r="H104" i="75" l="1"/>
  <c r="D67" i="80" l="1"/>
  <c r="D101" i="80"/>
  <c r="H101" i="80" s="1"/>
  <c r="K103" i="80"/>
  <c r="H103" i="80"/>
  <c r="B103" i="80"/>
  <c r="K102" i="80"/>
  <c r="H102" i="80"/>
  <c r="B102" i="80"/>
  <c r="K101" i="80"/>
  <c r="B101" i="80"/>
  <c r="B19" i="80"/>
  <c r="K19" i="80"/>
  <c r="D116" i="80" l="1"/>
  <c r="B95" i="80" l="1"/>
  <c r="B87" i="80"/>
  <c r="B82" i="80"/>
  <c r="B77" i="80"/>
  <c r="D49" i="80"/>
  <c r="B37" i="80"/>
  <c r="B16" i="80" l="1"/>
  <c r="N18" i="83" l="1"/>
  <c r="L18" i="83"/>
  <c r="E38" i="83" l="1"/>
  <c r="E37" i="83" s="1"/>
  <c r="D99" i="75" l="1"/>
  <c r="D56" i="75" s="1"/>
  <c r="D106" i="75"/>
  <c r="H59" i="75"/>
  <c r="H88" i="75"/>
  <c r="H87" i="75"/>
  <c r="H68" i="75"/>
  <c r="H74" i="75"/>
  <c r="H72" i="75"/>
  <c r="H71" i="75"/>
  <c r="H85" i="75"/>
  <c r="H82" i="75"/>
  <c r="H77" i="75"/>
  <c r="H69" i="75" l="1"/>
  <c r="H63" i="75"/>
  <c r="D25" i="75" l="1"/>
  <c r="D23" i="75" s="1"/>
  <c r="D13" i="75"/>
  <c r="D18" i="75"/>
  <c r="B133" i="51" l="1"/>
  <c r="B128" i="51"/>
  <c r="B131" i="51"/>
  <c r="B116" i="51"/>
  <c r="B121" i="51"/>
  <c r="B118" i="51"/>
  <c r="B114" i="51"/>
  <c r="B126" i="51"/>
  <c r="B124" i="51"/>
  <c r="B112" i="51"/>
  <c r="B110" i="51"/>
  <c r="B108" i="51"/>
  <c r="B106" i="51"/>
  <c r="B87" i="51"/>
  <c r="B83" i="51"/>
  <c r="B79" i="51"/>
  <c r="B75" i="51"/>
  <c r="B71" i="51"/>
  <c r="B67" i="51"/>
  <c r="B63" i="51"/>
  <c r="B49" i="51"/>
  <c r="B11" i="51" s="1"/>
  <c r="B46" i="51"/>
  <c r="B36" i="51"/>
  <c r="B28" i="51"/>
  <c r="E37" i="51" l="1"/>
  <c r="E38" i="51"/>
  <c r="E29" i="51"/>
  <c r="E31" i="51"/>
  <c r="E30" i="51"/>
  <c r="E48" i="51"/>
  <c r="E47" i="51"/>
  <c r="E51" i="51"/>
  <c r="E50" i="51"/>
  <c r="N54" i="83"/>
  <c r="N55" i="83"/>
  <c r="N56" i="83"/>
  <c r="N61" i="83"/>
  <c r="N62" i="83"/>
  <c r="N57" i="83"/>
  <c r="N59" i="83"/>
  <c r="N60" i="83"/>
  <c r="N58" i="83"/>
  <c r="N64" i="83"/>
  <c r="N63" i="83"/>
  <c r="N65" i="83"/>
  <c r="G9" i="94" l="1"/>
  <c r="G17" i="94"/>
  <c r="G28" i="94"/>
  <c r="M11" i="94"/>
  <c r="B48" i="91"/>
  <c r="K48" i="91"/>
  <c r="H54" i="75"/>
  <c r="E29" i="41"/>
  <c r="E28" i="41" s="1"/>
  <c r="G27" i="94" l="1"/>
  <c r="G14" i="94"/>
  <c r="G18" i="94"/>
  <c r="G26" i="94"/>
  <c r="G10" i="94"/>
  <c r="G23" i="94"/>
  <c r="G22" i="94"/>
  <c r="G20" i="94"/>
  <c r="G19" i="94"/>
  <c r="G37" i="94"/>
  <c r="G34" i="94"/>
  <c r="G16" i="94"/>
  <c r="G15" i="94"/>
  <c r="G30" i="94"/>
  <c r="G13" i="94"/>
  <c r="G11" i="94"/>
  <c r="G24" i="94"/>
  <c r="G35" i="94"/>
  <c r="G33" i="94"/>
  <c r="G31" i="94"/>
  <c r="G12" i="94"/>
  <c r="G36" i="94"/>
  <c r="G32" i="94"/>
  <c r="G25" i="94"/>
  <c r="G21" i="94"/>
  <c r="G29" i="94"/>
  <c r="M44" i="97"/>
  <c r="M23" i="103"/>
  <c r="M16" i="103"/>
  <c r="M15" i="103"/>
  <c r="G38" i="94"/>
  <c r="D10" i="75"/>
  <c r="D8" i="75" s="1"/>
  <c r="E14" i="41"/>
  <c r="E22" i="68"/>
  <c r="C22" i="68"/>
  <c r="X16" i="53"/>
  <c r="E18" i="53"/>
  <c r="E22" i="53"/>
  <c r="C23" i="53"/>
  <c r="B22" i="53"/>
  <c r="C18" i="53"/>
  <c r="B18" i="53"/>
  <c r="B23" i="53" l="1"/>
  <c r="G39" i="94"/>
  <c r="G23" i="91"/>
  <c r="B30" i="114"/>
  <c r="G16" i="91" l="1"/>
  <c r="G32" i="91"/>
  <c r="G26" i="91"/>
  <c r="G20" i="91"/>
  <c r="G17" i="91"/>
  <c r="G10" i="91"/>
  <c r="G15" i="91"/>
  <c r="G14" i="91"/>
  <c r="G13" i="91"/>
  <c r="G11" i="91"/>
  <c r="G19" i="91"/>
  <c r="G21" i="91"/>
  <c r="G27" i="91"/>
  <c r="G33" i="91"/>
  <c r="G47" i="91"/>
  <c r="G39" i="91"/>
  <c r="G35" i="91"/>
  <c r="G22" i="91"/>
  <c r="G44" i="91"/>
  <c r="G28" i="91"/>
  <c r="G25" i="91"/>
  <c r="G31" i="91"/>
  <c r="G41" i="91"/>
  <c r="G18" i="91"/>
  <c r="G29" i="91"/>
  <c r="G43" i="91"/>
  <c r="G34" i="91"/>
  <c r="G24" i="91"/>
  <c r="G36" i="91"/>
  <c r="G40" i="91"/>
  <c r="G46" i="91"/>
  <c r="G45" i="91"/>
  <c r="G49" i="91"/>
  <c r="G37" i="91"/>
  <c r="G38" i="91"/>
  <c r="G30" i="91"/>
  <c r="G101" i="80"/>
  <c r="G19" i="80"/>
  <c r="G103" i="80"/>
  <c r="G102" i="80"/>
  <c r="M103" i="80"/>
  <c r="M102" i="80"/>
  <c r="M101" i="80"/>
  <c r="M48" i="91"/>
  <c r="H65" i="75" l="1"/>
  <c r="E37" i="93" l="1"/>
  <c r="D44" i="80"/>
  <c r="H39" i="80"/>
  <c r="I15" i="68" l="1"/>
  <c r="B36" i="114" l="1"/>
  <c r="B14" i="114"/>
  <c r="B11" i="114" l="1"/>
  <c r="B13" i="114" s="1"/>
  <c r="E12" i="113"/>
  <c r="E13" i="113"/>
  <c r="E14" i="113"/>
  <c r="C15" i="113"/>
  <c r="E16" i="113"/>
  <c r="E15" i="113" s="1"/>
  <c r="C17" i="113"/>
  <c r="E18" i="113"/>
  <c r="E17" i="113" s="1"/>
  <c r="C19" i="113"/>
  <c r="E20" i="113"/>
  <c r="E19" i="113" s="1"/>
  <c r="E25" i="113"/>
  <c r="E24" i="113" s="1"/>
  <c r="E28" i="113"/>
  <c r="E29" i="113"/>
  <c r="A31" i="113"/>
  <c r="A30" i="113" s="1"/>
  <c r="A33" i="113" s="1"/>
  <c r="C31" i="113"/>
  <c r="C30" i="113" s="1"/>
  <c r="E31" i="113"/>
  <c r="E30" i="113" s="1"/>
  <c r="E27" i="113" l="1"/>
  <c r="C9" i="113"/>
  <c r="C21" i="113" s="1"/>
  <c r="E10" i="113"/>
  <c r="E9" i="113" s="1"/>
  <c r="E21" i="113" s="1"/>
  <c r="C33" i="113"/>
  <c r="B20" i="114"/>
  <c r="E23" i="113"/>
  <c r="E33" i="113" s="1"/>
  <c r="B22" i="114" l="1"/>
  <c r="B37" i="114" s="1"/>
  <c r="B39" i="114" s="1"/>
  <c r="B36" i="92"/>
  <c r="D8" i="106" l="1"/>
  <c r="E8" i="106"/>
  <c r="F8" i="106"/>
  <c r="G8" i="106"/>
  <c r="I8" i="106"/>
  <c r="L8" i="106"/>
  <c r="N8" i="106"/>
  <c r="C9" i="106"/>
  <c r="H9" i="106"/>
  <c r="C10" i="106"/>
  <c r="H10" i="106"/>
  <c r="K10" i="106"/>
  <c r="C11" i="106"/>
  <c r="H11" i="106"/>
  <c r="K11" i="106"/>
  <c r="C12" i="106"/>
  <c r="H12" i="106"/>
  <c r="K12" i="106"/>
  <c r="C13" i="106"/>
  <c r="H13" i="106"/>
  <c r="K13" i="106"/>
  <c r="C14" i="106"/>
  <c r="H14" i="106"/>
  <c r="K14" i="106"/>
  <c r="C15" i="106"/>
  <c r="H15" i="106"/>
  <c r="K15" i="106"/>
  <c r="C16" i="106"/>
  <c r="H16" i="106"/>
  <c r="K16" i="106"/>
  <c r="C17" i="106"/>
  <c r="H17" i="106"/>
  <c r="K17" i="106"/>
  <c r="C18" i="106"/>
  <c r="H18" i="106"/>
  <c r="D19" i="106"/>
  <c r="E19" i="106"/>
  <c r="F19" i="106"/>
  <c r="G19" i="106"/>
  <c r="I19" i="106"/>
  <c r="J19" i="106"/>
  <c r="L19" i="106"/>
  <c r="K19" i="106" s="1"/>
  <c r="N19" i="106"/>
  <c r="H20" i="106"/>
  <c r="K20" i="106"/>
  <c r="H21" i="106"/>
  <c r="K21" i="106"/>
  <c r="D23" i="106"/>
  <c r="E23" i="106"/>
  <c r="G23" i="106"/>
  <c r="I23" i="106"/>
  <c r="J23" i="106"/>
  <c r="L23" i="106"/>
  <c r="M23" i="106"/>
  <c r="N23" i="106"/>
  <c r="C24" i="106"/>
  <c r="H24" i="106"/>
  <c r="K24" i="106"/>
  <c r="C25" i="106"/>
  <c r="H25" i="106"/>
  <c r="K25" i="106"/>
  <c r="C26" i="106"/>
  <c r="H26" i="106"/>
  <c r="K26" i="106"/>
  <c r="C27" i="106"/>
  <c r="H27" i="106"/>
  <c r="K27" i="106"/>
  <c r="C28" i="106"/>
  <c r="H28" i="106"/>
  <c r="K28" i="106"/>
  <c r="C29" i="106"/>
  <c r="H29" i="106"/>
  <c r="K29" i="106"/>
  <c r="D30" i="106"/>
  <c r="E30" i="106"/>
  <c r="F30" i="106"/>
  <c r="G30" i="106"/>
  <c r="I30" i="106"/>
  <c r="J30" i="106"/>
  <c r="L30" i="106"/>
  <c r="M30" i="106"/>
  <c r="N30" i="106"/>
  <c r="C31" i="106"/>
  <c r="H31" i="106"/>
  <c r="K31" i="106"/>
  <c r="C32" i="106"/>
  <c r="H32" i="106"/>
  <c r="K32" i="106"/>
  <c r="D33" i="106"/>
  <c r="E33" i="106"/>
  <c r="F33" i="106"/>
  <c r="G33" i="106"/>
  <c r="I33" i="106"/>
  <c r="J33" i="106"/>
  <c r="L33" i="106"/>
  <c r="M33" i="106"/>
  <c r="N33" i="106"/>
  <c r="C34" i="106"/>
  <c r="H34" i="106"/>
  <c r="K34" i="106"/>
  <c r="C35" i="106"/>
  <c r="H35" i="106"/>
  <c r="K35" i="106"/>
  <c r="C36" i="106"/>
  <c r="H36" i="106"/>
  <c r="K36" i="106"/>
  <c r="E37" i="106"/>
  <c r="F37" i="106"/>
  <c r="G37" i="106"/>
  <c r="I37" i="106"/>
  <c r="J37" i="106"/>
  <c r="L37" i="106"/>
  <c r="N37" i="106"/>
  <c r="H39" i="106"/>
  <c r="M37" i="106"/>
  <c r="C41" i="106"/>
  <c r="H41" i="106"/>
  <c r="K41" i="106"/>
  <c r="D42" i="106"/>
  <c r="D37" i="106" s="1"/>
  <c r="C37" i="106" s="1"/>
  <c r="F42" i="106"/>
  <c r="G42" i="106"/>
  <c r="I42" i="106"/>
  <c r="J42" i="106"/>
  <c r="M42" i="106"/>
  <c r="N42" i="106"/>
  <c r="H43" i="106"/>
  <c r="K43" i="106"/>
  <c r="H44" i="106"/>
  <c r="K44" i="106"/>
  <c r="C45" i="106"/>
  <c r="H45" i="106"/>
  <c r="K45" i="106"/>
  <c r="D46" i="106"/>
  <c r="E46" i="106"/>
  <c r="F46" i="106"/>
  <c r="G46" i="106"/>
  <c r="I46" i="106"/>
  <c r="J46" i="106"/>
  <c r="L46" i="106"/>
  <c r="M46" i="106"/>
  <c r="N46" i="106"/>
  <c r="C47" i="106"/>
  <c r="H47" i="106"/>
  <c r="K47" i="106"/>
  <c r="G48" i="106" l="1"/>
  <c r="B9" i="106"/>
  <c r="B17" i="106"/>
  <c r="C19" i="106"/>
  <c r="C46" i="106"/>
  <c r="H42" i="106"/>
  <c r="B45" i="106"/>
  <c r="K30" i="106"/>
  <c r="B21" i="106"/>
  <c r="B15" i="106"/>
  <c r="B12" i="106"/>
  <c r="B10" i="106"/>
  <c r="C8" i="106"/>
  <c r="B13" i="106"/>
  <c r="B31" i="106"/>
  <c r="B32" i="106"/>
  <c r="B30" i="106" s="1"/>
  <c r="C44" i="106"/>
  <c r="B44" i="106" s="1"/>
  <c r="B14" i="106"/>
  <c r="B34" i="106"/>
  <c r="B29" i="106"/>
  <c r="C23" i="106"/>
  <c r="B47" i="106"/>
  <c r="B46" i="106" s="1"/>
  <c r="H37" i="106"/>
  <c r="H33" i="106"/>
  <c r="C30" i="106"/>
  <c r="B25" i="106"/>
  <c r="B36" i="106"/>
  <c r="D48" i="106"/>
  <c r="B27" i="106"/>
  <c r="F48" i="106"/>
  <c r="B24" i="106"/>
  <c r="J8" i="106"/>
  <c r="J48" i="106" s="1"/>
  <c r="H46" i="106"/>
  <c r="L42" i="106"/>
  <c r="K42" i="106" s="1"/>
  <c r="B35" i="106"/>
  <c r="I48" i="106"/>
  <c r="B26" i="106"/>
  <c r="N48" i="106"/>
  <c r="B41" i="106"/>
  <c r="K37" i="106"/>
  <c r="K23" i="106"/>
  <c r="B28" i="106"/>
  <c r="H23" i="106"/>
  <c r="M8" i="106"/>
  <c r="M48" i="106" s="1"/>
  <c r="B11" i="106"/>
  <c r="B16" i="106"/>
  <c r="K46" i="106"/>
  <c r="B43" i="106"/>
  <c r="B20" i="106"/>
  <c r="H19" i="106"/>
  <c r="K33" i="106"/>
  <c r="H30" i="106"/>
  <c r="K39" i="106"/>
  <c r="B39" i="106" s="1"/>
  <c r="C33" i="106"/>
  <c r="K18" i="106"/>
  <c r="B18" i="106" s="1"/>
  <c r="B37" i="106" l="1"/>
  <c r="K8" i="106"/>
  <c r="B33" i="106"/>
  <c r="B19" i="106"/>
  <c r="B23" i="106"/>
  <c r="B42" i="106"/>
  <c r="E42" i="106"/>
  <c r="C42" i="106" s="1"/>
  <c r="H48" i="106"/>
  <c r="B8" i="106"/>
  <c r="H8" i="106"/>
  <c r="L48" i="106"/>
  <c r="K48" i="106" s="1"/>
  <c r="E48" i="106" l="1"/>
  <c r="C48" i="106" s="1"/>
  <c r="B48" i="106"/>
  <c r="F24" i="7"/>
  <c r="K30" i="103" l="1"/>
  <c r="K29" i="103"/>
  <c r="D29" i="103"/>
  <c r="D28" i="103" s="1"/>
  <c r="D38" i="103" s="1"/>
  <c r="K13" i="103"/>
  <c r="H13" i="103"/>
  <c r="I13" i="103" s="1"/>
  <c r="K10" i="103"/>
  <c r="H10" i="103"/>
  <c r="I10" i="103" s="1"/>
  <c r="K39" i="103"/>
  <c r="K38" i="103"/>
  <c r="K34" i="103"/>
  <c r="K33" i="103"/>
  <c r="K32" i="103"/>
  <c r="K31" i="103"/>
  <c r="K28" i="103"/>
  <c r="K27" i="103"/>
  <c r="K26" i="103"/>
  <c r="K25" i="103"/>
  <c r="K24" i="103"/>
  <c r="K22" i="103"/>
  <c r="K21" i="103"/>
  <c r="K20" i="103"/>
  <c r="D19" i="103"/>
  <c r="K19" i="103"/>
  <c r="K18" i="103"/>
  <c r="K14" i="103"/>
  <c r="K12" i="103"/>
  <c r="K11" i="103"/>
  <c r="K9" i="103"/>
  <c r="K8" i="103"/>
  <c r="D13" i="99"/>
  <c r="D9" i="99" s="1"/>
  <c r="D30" i="99" s="1"/>
  <c r="E14" i="99"/>
  <c r="E13" i="99" s="1"/>
  <c r="E9" i="99" s="1"/>
  <c r="E35" i="99"/>
  <c r="E36" i="99"/>
  <c r="C37" i="99"/>
  <c r="C32" i="99" s="1"/>
  <c r="D37" i="99"/>
  <c r="D32" i="99" s="1"/>
  <c r="E38" i="99"/>
  <c r="E37" i="99" s="1"/>
  <c r="C40" i="99"/>
  <c r="C39" i="99" s="1"/>
  <c r="D40" i="99"/>
  <c r="D39" i="99" s="1"/>
  <c r="E40" i="99"/>
  <c r="E39" i="99" s="1"/>
  <c r="B13" i="98"/>
  <c r="B14" i="98"/>
  <c r="B29" i="98"/>
  <c r="K8" i="97"/>
  <c r="B9" i="97"/>
  <c r="K9" i="97"/>
  <c r="B10" i="97"/>
  <c r="D10" i="97"/>
  <c r="D9" i="97" s="1"/>
  <c r="K10" i="97"/>
  <c r="B11" i="97"/>
  <c r="H11" i="97"/>
  <c r="I11" i="97" s="1"/>
  <c r="K11" i="97"/>
  <c r="B12" i="97"/>
  <c r="H12" i="97"/>
  <c r="I12" i="97" s="1"/>
  <c r="K12" i="97"/>
  <c r="B13" i="97"/>
  <c r="K13" i="97"/>
  <c r="K14" i="97"/>
  <c r="B15" i="97"/>
  <c r="H15" i="97"/>
  <c r="I15" i="97" s="1"/>
  <c r="K15" i="97"/>
  <c r="H16" i="97"/>
  <c r="I16" i="97" s="1"/>
  <c r="K16" i="97"/>
  <c r="B17" i="97"/>
  <c r="D17" i="97"/>
  <c r="B18" i="97"/>
  <c r="H18" i="97"/>
  <c r="I18" i="97" s="1"/>
  <c r="B19" i="97"/>
  <c r="K19" i="97"/>
  <c r="B20" i="97"/>
  <c r="D20" i="97"/>
  <c r="D19" i="97" s="1"/>
  <c r="K20" i="97"/>
  <c r="B21" i="97"/>
  <c r="H21" i="97"/>
  <c r="I21" i="97" s="1"/>
  <c r="K21" i="97"/>
  <c r="B22" i="97"/>
  <c r="H22" i="97"/>
  <c r="I22" i="97" s="1"/>
  <c r="K22" i="97"/>
  <c r="B23" i="97"/>
  <c r="K23" i="97"/>
  <c r="B24" i="97"/>
  <c r="K24" i="97"/>
  <c r="B25" i="97"/>
  <c r="H25" i="97"/>
  <c r="I25" i="97" s="1"/>
  <c r="K25" i="97"/>
  <c r="B26" i="97"/>
  <c r="H26" i="97"/>
  <c r="I26" i="97" s="1"/>
  <c r="K26" i="97"/>
  <c r="B27" i="97"/>
  <c r="H27" i="97"/>
  <c r="I27" i="97" s="1"/>
  <c r="K27" i="97"/>
  <c r="B28" i="97"/>
  <c r="H28" i="97"/>
  <c r="B29" i="97"/>
  <c r="H29" i="97"/>
  <c r="B30" i="97"/>
  <c r="D30" i="97"/>
  <c r="D24" i="97" s="1"/>
  <c r="K30" i="97"/>
  <c r="B31" i="97"/>
  <c r="H31" i="97"/>
  <c r="I31" i="97" s="1"/>
  <c r="K31" i="97"/>
  <c r="B32" i="97"/>
  <c r="K32" i="97"/>
  <c r="B33" i="97"/>
  <c r="D33" i="97"/>
  <c r="D32" i="97" s="1"/>
  <c r="K33" i="97"/>
  <c r="B34" i="97"/>
  <c r="H34" i="97"/>
  <c r="I34" i="97" s="1"/>
  <c r="K34" i="97"/>
  <c r="B35" i="97"/>
  <c r="K35" i="97"/>
  <c r="B36" i="97"/>
  <c r="K36" i="97"/>
  <c r="B37" i="97"/>
  <c r="D37" i="97"/>
  <c r="D35" i="97" s="1"/>
  <c r="K37" i="97"/>
  <c r="B38" i="97"/>
  <c r="K38" i="97"/>
  <c r="B39" i="97"/>
  <c r="K39" i="97"/>
  <c r="B40" i="97"/>
  <c r="D40" i="97"/>
  <c r="H40" i="97" s="1"/>
  <c r="I40" i="97" s="1"/>
  <c r="K40" i="97"/>
  <c r="B41" i="97"/>
  <c r="H41" i="97"/>
  <c r="I41" i="97" s="1"/>
  <c r="K41" i="97"/>
  <c r="B42" i="97"/>
  <c r="K42" i="97"/>
  <c r="B45" i="97"/>
  <c r="D45" i="97"/>
  <c r="D42" i="97" s="1"/>
  <c r="K45" i="97"/>
  <c r="B46" i="97"/>
  <c r="H46" i="97"/>
  <c r="I46" i="97" s="1"/>
  <c r="K46" i="97"/>
  <c r="B47" i="97"/>
  <c r="K47" i="97"/>
  <c r="B48" i="97"/>
  <c r="K48" i="97"/>
  <c r="A49" i="97"/>
  <c r="K49" i="97" s="1"/>
  <c r="E12" i="96"/>
  <c r="E13" i="96"/>
  <c r="C15" i="96"/>
  <c r="E15" i="96"/>
  <c r="C17" i="96"/>
  <c r="E18" i="96"/>
  <c r="E17" i="96" s="1"/>
  <c r="C24" i="96"/>
  <c r="E25" i="96"/>
  <c r="E26" i="96"/>
  <c r="E29" i="96"/>
  <c r="A30" i="96"/>
  <c r="A33" i="96" s="1"/>
  <c r="C31" i="96"/>
  <c r="C30" i="96" s="1"/>
  <c r="E31" i="96"/>
  <c r="E30" i="96" s="1"/>
  <c r="B11" i="95"/>
  <c r="B13" i="95" s="1"/>
  <c r="B29" i="95"/>
  <c r="B34" i="95"/>
  <c r="K8" i="94"/>
  <c r="B9" i="94"/>
  <c r="D9" i="94"/>
  <c r="K9" i="94"/>
  <c r="B10" i="94"/>
  <c r="H10" i="94"/>
  <c r="I10" i="94" s="1"/>
  <c r="K10" i="94"/>
  <c r="B12" i="94"/>
  <c r="H12" i="94"/>
  <c r="K12" i="94"/>
  <c r="B13" i="94"/>
  <c r="H13" i="94"/>
  <c r="I13" i="94" s="1"/>
  <c r="K13" i="94"/>
  <c r="B14" i="94"/>
  <c r="D14" i="94"/>
  <c r="H14" i="94" s="1"/>
  <c r="I14" i="94" s="1"/>
  <c r="K14" i="94"/>
  <c r="B15" i="94"/>
  <c r="H15" i="94"/>
  <c r="I15" i="94" s="1"/>
  <c r="K15" i="94"/>
  <c r="B16" i="94"/>
  <c r="H16" i="94"/>
  <c r="K16" i="94"/>
  <c r="B17" i="94"/>
  <c r="K17" i="94"/>
  <c r="B18" i="94"/>
  <c r="K18" i="94"/>
  <c r="B19" i="94"/>
  <c r="H19" i="94"/>
  <c r="I19" i="94" s="1"/>
  <c r="K19" i="94"/>
  <c r="B20" i="94"/>
  <c r="H20" i="94"/>
  <c r="K20" i="94"/>
  <c r="B21" i="94"/>
  <c r="K21" i="94"/>
  <c r="B22" i="94"/>
  <c r="H22" i="94"/>
  <c r="I22" i="94" s="1"/>
  <c r="K22" i="94"/>
  <c r="B23" i="94"/>
  <c r="H23" i="94"/>
  <c r="I23" i="94" s="1"/>
  <c r="K23" i="94"/>
  <c r="B24" i="94"/>
  <c r="H24" i="94"/>
  <c r="I24" i="94" s="1"/>
  <c r="K24" i="94"/>
  <c r="B25" i="94"/>
  <c r="D25" i="94"/>
  <c r="D17" i="94" s="1"/>
  <c r="K25" i="94"/>
  <c r="B26" i="94"/>
  <c r="H26" i="94"/>
  <c r="I26" i="94" s="1"/>
  <c r="K26" i="94"/>
  <c r="B27" i="94"/>
  <c r="K27" i="94"/>
  <c r="B28" i="94"/>
  <c r="K28" i="94"/>
  <c r="B29" i="94"/>
  <c r="D29" i="94"/>
  <c r="K29" i="94"/>
  <c r="B30" i="94"/>
  <c r="H30" i="94"/>
  <c r="H29" i="94" s="1"/>
  <c r="I29" i="94" s="1"/>
  <c r="K30" i="94"/>
  <c r="B31" i="94"/>
  <c r="D31" i="94"/>
  <c r="K31" i="94"/>
  <c r="B32" i="94"/>
  <c r="H32" i="94"/>
  <c r="K32" i="94"/>
  <c r="B33" i="94"/>
  <c r="H33" i="94"/>
  <c r="I33" i="94" s="1"/>
  <c r="K33" i="94"/>
  <c r="B34" i="94"/>
  <c r="H34" i="94"/>
  <c r="I34" i="94" s="1"/>
  <c r="K34" i="94"/>
  <c r="B35" i="94"/>
  <c r="K35" i="94"/>
  <c r="B36" i="94"/>
  <c r="D36" i="94"/>
  <c r="K36" i="94"/>
  <c r="B37" i="94"/>
  <c r="H37" i="94"/>
  <c r="K37" i="94"/>
  <c r="B38" i="94"/>
  <c r="K38" i="94"/>
  <c r="C10" i="93"/>
  <c r="E11" i="93"/>
  <c r="E12" i="93"/>
  <c r="E13" i="93"/>
  <c r="E14" i="93"/>
  <c r="E15" i="93"/>
  <c r="C16" i="93"/>
  <c r="E17" i="93"/>
  <c r="E18" i="93"/>
  <c r="C19" i="93"/>
  <c r="E20" i="93"/>
  <c r="E19" i="93" s="1"/>
  <c r="C21" i="93"/>
  <c r="E22" i="93"/>
  <c r="E23" i="93"/>
  <c r="E24" i="93"/>
  <c r="E32" i="93"/>
  <c r="E33" i="93"/>
  <c r="E34" i="93"/>
  <c r="E38" i="93"/>
  <c r="E35" i="93" s="1"/>
  <c r="C40" i="93"/>
  <c r="E41" i="93"/>
  <c r="E40" i="93" s="1"/>
  <c r="C42" i="93"/>
  <c r="E42" i="93"/>
  <c r="A44" i="93"/>
  <c r="A39" i="93" s="1"/>
  <c r="A50" i="93" s="1"/>
  <c r="A55" i="93" s="1"/>
  <c r="C44" i="93"/>
  <c r="E44" i="93"/>
  <c r="K8" i="91"/>
  <c r="K9" i="91"/>
  <c r="K10" i="91"/>
  <c r="B11" i="91"/>
  <c r="K11" i="91"/>
  <c r="B12" i="91"/>
  <c r="K12" i="91"/>
  <c r="B13" i="91"/>
  <c r="K13" i="91"/>
  <c r="B14" i="91"/>
  <c r="H14" i="91"/>
  <c r="K14" i="91"/>
  <c r="B15" i="91"/>
  <c r="K15" i="91"/>
  <c r="H16" i="91"/>
  <c r="I16" i="91" s="1"/>
  <c r="K16" i="91"/>
  <c r="B17" i="91"/>
  <c r="K17" i="91"/>
  <c r="B18" i="91"/>
  <c r="K18" i="91"/>
  <c r="B19" i="91"/>
  <c r="K19" i="91"/>
  <c r="B20" i="91"/>
  <c r="K20" i="91"/>
  <c r="B21" i="91"/>
  <c r="K21" i="91"/>
  <c r="K22" i="91"/>
  <c r="B23" i="91"/>
  <c r="K23" i="91"/>
  <c r="B24" i="91"/>
  <c r="K24" i="91"/>
  <c r="B25" i="91"/>
  <c r="K25" i="91"/>
  <c r="B26" i="91"/>
  <c r="K26" i="91"/>
  <c r="B27" i="91"/>
  <c r="K27" i="91"/>
  <c r="B28" i="91"/>
  <c r="K28" i="91"/>
  <c r="B29" i="91"/>
  <c r="K29" i="91"/>
  <c r="B30" i="91"/>
  <c r="K30" i="91"/>
  <c r="B31" i="91"/>
  <c r="K31" i="91"/>
  <c r="B32" i="91"/>
  <c r="K32" i="91"/>
  <c r="B33" i="91"/>
  <c r="K33" i="91"/>
  <c r="B34" i="91"/>
  <c r="K34" i="91"/>
  <c r="B35" i="91"/>
  <c r="K35" i="91"/>
  <c r="B36" i="91"/>
  <c r="K36" i="91"/>
  <c r="B37" i="91"/>
  <c r="K37" i="91"/>
  <c r="B38" i="91"/>
  <c r="K38" i="91"/>
  <c r="B39" i="91"/>
  <c r="K39" i="91"/>
  <c r="B40" i="91"/>
  <c r="K40" i="91"/>
  <c r="B41" i="91"/>
  <c r="K41" i="91"/>
  <c r="B43" i="91"/>
  <c r="K43" i="91"/>
  <c r="B44" i="91"/>
  <c r="K44" i="91"/>
  <c r="B45" i="91"/>
  <c r="K45" i="91"/>
  <c r="B46" i="91"/>
  <c r="K46" i="91"/>
  <c r="B47" i="91"/>
  <c r="K47" i="91"/>
  <c r="B49" i="91"/>
  <c r="D52" i="99" l="1"/>
  <c r="C52" i="99"/>
  <c r="H38" i="103"/>
  <c r="E38" i="103"/>
  <c r="D28" i="94"/>
  <c r="D8" i="94"/>
  <c r="D23" i="97"/>
  <c r="H17" i="97"/>
  <c r="I17" i="97" s="1"/>
  <c r="D13" i="97"/>
  <c r="H13" i="97" s="1"/>
  <c r="I13" i="97" s="1"/>
  <c r="E31" i="93"/>
  <c r="E30" i="93" s="1"/>
  <c r="E17" i="103"/>
  <c r="E30" i="99"/>
  <c r="H29" i="91"/>
  <c r="D46" i="91"/>
  <c r="H46" i="91" s="1"/>
  <c r="I46" i="91" s="1"/>
  <c r="D17" i="91"/>
  <c r="D8" i="91" s="1"/>
  <c r="E44" i="91" s="1"/>
  <c r="H25" i="91"/>
  <c r="I25" i="91" s="1"/>
  <c r="D38" i="91"/>
  <c r="H27" i="91"/>
  <c r="I27" i="91" s="1"/>
  <c r="C9" i="96"/>
  <c r="C22" i="96" s="1"/>
  <c r="B49" i="97"/>
  <c r="E10" i="93"/>
  <c r="H33" i="91"/>
  <c r="I33" i="91" s="1"/>
  <c r="C9" i="93"/>
  <c r="C29" i="93" s="1"/>
  <c r="H18" i="94"/>
  <c r="I18" i="94" s="1"/>
  <c r="H28" i="91"/>
  <c r="I28" i="91" s="1"/>
  <c r="H10" i="91"/>
  <c r="I10" i="91" s="1"/>
  <c r="B21" i="92"/>
  <c r="B23" i="92" s="1"/>
  <c r="H9" i="94"/>
  <c r="I9" i="94" s="1"/>
  <c r="E24" i="96"/>
  <c r="H37" i="97"/>
  <c r="E16" i="93"/>
  <c r="E39" i="93"/>
  <c r="H21" i="94"/>
  <c r="I21" i="94" s="1"/>
  <c r="K39" i="94"/>
  <c r="H22" i="91"/>
  <c r="H21" i="91"/>
  <c r="I21" i="91" s="1"/>
  <c r="H36" i="94"/>
  <c r="H31" i="94"/>
  <c r="I31" i="94" s="1"/>
  <c r="E27" i="96"/>
  <c r="E33" i="99"/>
  <c r="E32" i="99" s="1"/>
  <c r="E52" i="99" s="1"/>
  <c r="B20" i="95"/>
  <c r="B22" i="95" s="1"/>
  <c r="B35" i="95" s="1"/>
  <c r="B37" i="95" s="1"/>
  <c r="C39" i="93"/>
  <c r="C50" i="93" s="1"/>
  <c r="H35" i="91"/>
  <c r="C27" i="96"/>
  <c r="C23" i="96" s="1"/>
  <c r="C33" i="96" s="1"/>
  <c r="E10" i="96"/>
  <c r="E9" i="96" s="1"/>
  <c r="E22" i="96" s="1"/>
  <c r="B20" i="98"/>
  <c r="B22" i="98" s="1"/>
  <c r="B35" i="98" s="1"/>
  <c r="B37" i="98" s="1"/>
  <c r="E21" i="93"/>
  <c r="H26" i="103"/>
  <c r="I26" i="103" s="1"/>
  <c r="H31" i="103"/>
  <c r="I31" i="103" s="1"/>
  <c r="H33" i="103"/>
  <c r="I33" i="103" s="1"/>
  <c r="D25" i="103"/>
  <c r="D18" i="103" s="1"/>
  <c r="D27" i="103" s="1"/>
  <c r="D39" i="103" s="1"/>
  <c r="E29" i="103"/>
  <c r="H34" i="103"/>
  <c r="I34" i="103" s="1"/>
  <c r="H22" i="103"/>
  <c r="I22" i="103" s="1"/>
  <c r="H12" i="103"/>
  <c r="I12" i="103" s="1"/>
  <c r="H19" i="103"/>
  <c r="I19" i="103" s="1"/>
  <c r="H20" i="103"/>
  <c r="I20" i="103" s="1"/>
  <c r="H11" i="103"/>
  <c r="I11" i="103" s="1"/>
  <c r="H14" i="103"/>
  <c r="I14" i="103" s="1"/>
  <c r="H24" i="103"/>
  <c r="I24" i="103" s="1"/>
  <c r="H32" i="103"/>
  <c r="I32" i="103" s="1"/>
  <c r="H19" i="91"/>
  <c r="H43" i="91"/>
  <c r="I43" i="91" s="1"/>
  <c r="H44" i="91"/>
  <c r="I44" i="91" s="1"/>
  <c r="D34" i="91"/>
  <c r="D24" i="91"/>
  <c r="H18" i="91"/>
  <c r="I18" i="91" s="1"/>
  <c r="H13" i="91"/>
  <c r="I13" i="91" s="1"/>
  <c r="H47" i="91"/>
  <c r="I47" i="91" s="1"/>
  <c r="H41" i="91"/>
  <c r="H39" i="91"/>
  <c r="I39" i="91" s="1"/>
  <c r="H31" i="91"/>
  <c r="I31" i="91" s="1"/>
  <c r="H15" i="91"/>
  <c r="H12" i="91"/>
  <c r="I12" i="91" s="1"/>
  <c r="D35" i="94"/>
  <c r="H25" i="94"/>
  <c r="I25" i="94" s="1"/>
  <c r="H47" i="97"/>
  <c r="I47" i="97" s="1"/>
  <c r="I30" i="94"/>
  <c r="H32" i="97"/>
  <c r="I32" i="97" s="1"/>
  <c r="H19" i="97"/>
  <c r="I19" i="97" s="1"/>
  <c r="H20" i="97"/>
  <c r="I20" i="97" s="1"/>
  <c r="D39" i="97"/>
  <c r="D38" i="97" s="1"/>
  <c r="H38" i="97" s="1"/>
  <c r="I38" i="97" s="1"/>
  <c r="H36" i="97"/>
  <c r="I36" i="97" s="1"/>
  <c r="H33" i="97"/>
  <c r="I33" i="97" s="1"/>
  <c r="H30" i="97"/>
  <c r="I30" i="97" s="1"/>
  <c r="H14" i="97"/>
  <c r="I14" i="97" s="1"/>
  <c r="H48" i="97"/>
  <c r="I48" i="97" s="1"/>
  <c r="H45" i="97"/>
  <c r="I45" i="97" s="1"/>
  <c r="H10" i="97"/>
  <c r="I10" i="97" s="1"/>
  <c r="D8" i="97" l="1"/>
  <c r="H8" i="97" s="1"/>
  <c r="I8" i="97" s="1"/>
  <c r="D38" i="94"/>
  <c r="E9" i="94"/>
  <c r="E12" i="94"/>
  <c r="H8" i="94"/>
  <c r="I8" i="94" s="1"/>
  <c r="D27" i="94"/>
  <c r="D39" i="94" s="1"/>
  <c r="E13" i="94"/>
  <c r="E10" i="94"/>
  <c r="H38" i="91"/>
  <c r="I38" i="91" s="1"/>
  <c r="D37" i="91"/>
  <c r="D23" i="91"/>
  <c r="D36" i="91" s="1"/>
  <c r="E50" i="93"/>
  <c r="B37" i="92"/>
  <c r="B39" i="92" s="1"/>
  <c r="E48" i="97"/>
  <c r="E23" i="96"/>
  <c r="E33" i="96" s="1"/>
  <c r="E9" i="93"/>
  <c r="E29" i="93" s="1"/>
  <c r="L23" i="103"/>
  <c r="E23" i="103"/>
  <c r="L11" i="94"/>
  <c r="E11" i="94"/>
  <c r="L16" i="103"/>
  <c r="E16" i="103"/>
  <c r="L15" i="103"/>
  <c r="E15" i="103"/>
  <c r="D45" i="91"/>
  <c r="D55" i="93"/>
  <c r="M38" i="91"/>
  <c r="C55" i="93"/>
  <c r="L18" i="103"/>
  <c r="M25" i="94"/>
  <c r="E9" i="97"/>
  <c r="L48" i="97"/>
  <c r="M17" i="94"/>
  <c r="E19" i="97"/>
  <c r="E10" i="97"/>
  <c r="E14" i="97"/>
  <c r="E17" i="97"/>
  <c r="L19" i="97"/>
  <c r="M29" i="94"/>
  <c r="L40" i="97"/>
  <c r="L30" i="103"/>
  <c r="M28" i="103"/>
  <c r="E30" i="103"/>
  <c r="L29" i="103"/>
  <c r="L11" i="103"/>
  <c r="E32" i="103"/>
  <c r="H21" i="103"/>
  <c r="I21" i="103" s="1"/>
  <c r="L31" i="103"/>
  <c r="E22" i="103"/>
  <c r="E24" i="103"/>
  <c r="E14" i="103"/>
  <c r="L12" i="103"/>
  <c r="L13" i="103"/>
  <c r="E13" i="103"/>
  <c r="M13" i="103"/>
  <c r="L19" i="103"/>
  <c r="L22" i="103"/>
  <c r="E11" i="103"/>
  <c r="L32" i="103"/>
  <c r="L21" i="103"/>
  <c r="L14" i="103"/>
  <c r="E12" i="103"/>
  <c r="E31" i="103"/>
  <c r="L24" i="103"/>
  <c r="L10" i="103"/>
  <c r="E10" i="103"/>
  <c r="E19" i="103"/>
  <c r="M9" i="103"/>
  <c r="M10" i="103"/>
  <c r="M31" i="103"/>
  <c r="M19" i="103"/>
  <c r="I38" i="103"/>
  <c r="L38" i="103"/>
  <c r="E21" i="103"/>
  <c r="M38" i="103"/>
  <c r="M25" i="103"/>
  <c r="M34" i="103"/>
  <c r="M33" i="103"/>
  <c r="M32" i="103"/>
  <c r="M14" i="103"/>
  <c r="M11" i="103"/>
  <c r="M8" i="103"/>
  <c r="M20" i="103"/>
  <c r="M26" i="103"/>
  <c r="M24" i="103"/>
  <c r="M12" i="103"/>
  <c r="E28" i="103"/>
  <c r="L28" i="103"/>
  <c r="E34" i="103"/>
  <c r="E33" i="103"/>
  <c r="E26" i="103"/>
  <c r="L25" i="103"/>
  <c r="L20" i="103"/>
  <c r="L26" i="103"/>
  <c r="E25" i="103"/>
  <c r="E20" i="103"/>
  <c r="L34" i="103"/>
  <c r="L33" i="103"/>
  <c r="L8" i="103"/>
  <c r="L9" i="103"/>
  <c r="M21" i="103"/>
  <c r="H25" i="103"/>
  <c r="I25" i="103" s="1"/>
  <c r="M22" i="103"/>
  <c r="L12" i="94"/>
  <c r="L13" i="94"/>
  <c r="L10" i="94"/>
  <c r="E15" i="94"/>
  <c r="E16" i="94"/>
  <c r="L16" i="94"/>
  <c r="L19" i="94"/>
  <c r="E22" i="94"/>
  <c r="E23" i="94"/>
  <c r="E24" i="94"/>
  <c r="L8" i="94"/>
  <c r="L20" i="94"/>
  <c r="L22" i="94"/>
  <c r="E32" i="94"/>
  <c r="L32" i="94"/>
  <c r="L33" i="94"/>
  <c r="L34" i="94"/>
  <c r="L14" i="94"/>
  <c r="E20" i="94"/>
  <c r="E26" i="94"/>
  <c r="E37" i="94"/>
  <c r="L37" i="94"/>
  <c r="L15" i="94"/>
  <c r="L24" i="94"/>
  <c r="E25" i="94"/>
  <c r="L26" i="94"/>
  <c r="E30" i="94"/>
  <c r="L36" i="94"/>
  <c r="E19" i="94"/>
  <c r="L23" i="94"/>
  <c r="L25" i="94"/>
  <c r="L30" i="94"/>
  <c r="E33" i="94"/>
  <c r="E34" i="94"/>
  <c r="H9" i="97"/>
  <c r="I9" i="97" s="1"/>
  <c r="L39" i="97"/>
  <c r="H39" i="97"/>
  <c r="I39" i="97" s="1"/>
  <c r="E39" i="97"/>
  <c r="L9" i="97"/>
  <c r="L14" i="97"/>
  <c r="E47" i="97"/>
  <c r="E14" i="94"/>
  <c r="M35" i="94"/>
  <c r="E13" i="97"/>
  <c r="E31" i="94"/>
  <c r="M43" i="91"/>
  <c r="H26" i="91"/>
  <c r="I26" i="91" s="1"/>
  <c r="M28" i="94"/>
  <c r="M9" i="91"/>
  <c r="H11" i="91"/>
  <c r="I11" i="91" s="1"/>
  <c r="M30" i="91"/>
  <c r="M46" i="91"/>
  <c r="M26" i="91"/>
  <c r="M23" i="91"/>
  <c r="L42" i="97"/>
  <c r="H42" i="97"/>
  <c r="I42" i="97" s="1"/>
  <c r="E42" i="97"/>
  <c r="H24" i="97"/>
  <c r="I24" i="97" s="1"/>
  <c r="E24" i="97"/>
  <c r="L24" i="97"/>
  <c r="E18" i="94"/>
  <c r="M8" i="91"/>
  <c r="M44" i="91"/>
  <c r="M10" i="91"/>
  <c r="M29" i="91"/>
  <c r="M35" i="91"/>
  <c r="M12" i="91"/>
  <c r="M16" i="91"/>
  <c r="M19" i="91"/>
  <c r="M21" i="91"/>
  <c r="M22" i="91"/>
  <c r="M32" i="91"/>
  <c r="M25" i="91"/>
  <c r="M27" i="91"/>
  <c r="L8" i="97"/>
  <c r="L10" i="97"/>
  <c r="L11" i="97"/>
  <c r="E18" i="97"/>
  <c r="E22" i="97"/>
  <c r="E25" i="97"/>
  <c r="L30" i="97"/>
  <c r="L31" i="97"/>
  <c r="E32" i="97"/>
  <c r="L33" i="97"/>
  <c r="L34" i="97"/>
  <c r="L36" i="97"/>
  <c r="E37" i="97"/>
  <c r="L12" i="97"/>
  <c r="E16" i="97"/>
  <c r="L16" i="97"/>
  <c r="E21" i="97"/>
  <c r="L22" i="97"/>
  <c r="E26" i="97"/>
  <c r="E27" i="97"/>
  <c r="E28" i="97"/>
  <c r="E29" i="97"/>
  <c r="E11" i="97"/>
  <c r="E12" i="97"/>
  <c r="E15" i="97"/>
  <c r="L15" i="97"/>
  <c r="E20" i="97"/>
  <c r="L21" i="97"/>
  <c r="L25" i="97"/>
  <c r="L26" i="97"/>
  <c r="L27" i="97"/>
  <c r="E30" i="97"/>
  <c r="L32" i="97"/>
  <c r="E33" i="97"/>
  <c r="E36" i="97"/>
  <c r="E41" i="97"/>
  <c r="E46" i="97"/>
  <c r="L20" i="97"/>
  <c r="E31" i="97"/>
  <c r="E34" i="97"/>
  <c r="L41" i="97"/>
  <c r="L46" i="97"/>
  <c r="L47" i="97"/>
  <c r="E35" i="94"/>
  <c r="L35" i="94"/>
  <c r="H35" i="94"/>
  <c r="H20" i="91"/>
  <c r="I20" i="91" s="1"/>
  <c r="M31" i="91"/>
  <c r="M13" i="91"/>
  <c r="H34" i="91"/>
  <c r="I40" i="91"/>
  <c r="M15" i="91"/>
  <c r="M11" i="91"/>
  <c r="M36" i="91"/>
  <c r="M23" i="97"/>
  <c r="E35" i="97"/>
  <c r="L35" i="97"/>
  <c r="H35" i="97"/>
  <c r="I35" i="97" s="1"/>
  <c r="D49" i="97"/>
  <c r="L18" i="94"/>
  <c r="M14" i="91"/>
  <c r="L13" i="97"/>
  <c r="L37" i="97"/>
  <c r="L28" i="94"/>
  <c r="H28" i="94"/>
  <c r="I28" i="94" s="1"/>
  <c r="E28" i="94"/>
  <c r="E38" i="97"/>
  <c r="L31" i="94"/>
  <c r="M34" i="91"/>
  <c r="M39" i="91"/>
  <c r="M47" i="91"/>
  <c r="L21" i="94"/>
  <c r="M20" i="91"/>
  <c r="E36" i="94"/>
  <c r="M41" i="91"/>
  <c r="M17" i="91"/>
  <c r="M37" i="91"/>
  <c r="L38" i="97"/>
  <c r="L45" i="97"/>
  <c r="M8" i="94"/>
  <c r="M12" i="94"/>
  <c r="M13" i="94"/>
  <c r="M20" i="94"/>
  <c r="M26" i="94"/>
  <c r="M9" i="94"/>
  <c r="M10" i="94"/>
  <c r="M14" i="94"/>
  <c r="M15" i="94"/>
  <c r="M23" i="94"/>
  <c r="M30" i="94"/>
  <c r="M18" i="94"/>
  <c r="M22" i="94"/>
  <c r="M32" i="94"/>
  <c r="M33" i="94"/>
  <c r="M34" i="94"/>
  <c r="M21" i="94"/>
  <c r="M31" i="94"/>
  <c r="M37" i="94"/>
  <c r="M16" i="94"/>
  <c r="M19" i="94"/>
  <c r="M24" i="94"/>
  <c r="E45" i="97"/>
  <c r="H17" i="94"/>
  <c r="I17" i="94" s="1"/>
  <c r="E17" i="94"/>
  <c r="L17" i="94"/>
  <c r="L9" i="94"/>
  <c r="E40" i="97"/>
  <c r="E21" i="94"/>
  <c r="L29" i="94"/>
  <c r="M36" i="94"/>
  <c r="M18" i="91"/>
  <c r="M28" i="91"/>
  <c r="E29" i="94"/>
  <c r="H9" i="91"/>
  <c r="I9" i="91" s="1"/>
  <c r="H24" i="91"/>
  <c r="I24" i="91" s="1"/>
  <c r="H17" i="91"/>
  <c r="I17" i="91" s="1"/>
  <c r="H30" i="91"/>
  <c r="I30" i="91" s="1"/>
  <c r="M33" i="91"/>
  <c r="M45" i="91"/>
  <c r="M40" i="91"/>
  <c r="M24" i="91"/>
  <c r="D48" i="91" l="1"/>
  <c r="D49" i="91" s="1"/>
  <c r="E55" i="93"/>
  <c r="E44" i="97"/>
  <c r="L44" i="97"/>
  <c r="E43" i="97"/>
  <c r="E18" i="103"/>
  <c r="E38" i="91"/>
  <c r="E13" i="91"/>
  <c r="E42" i="91"/>
  <c r="E20" i="91"/>
  <c r="E30" i="91"/>
  <c r="E24" i="91"/>
  <c r="E26" i="91"/>
  <c r="E23" i="91"/>
  <c r="E46" i="91"/>
  <c r="L27" i="103"/>
  <c r="E37" i="91"/>
  <c r="L48" i="91"/>
  <c r="E43" i="91"/>
  <c r="E47" i="91"/>
  <c r="E41" i="91"/>
  <c r="E39" i="91"/>
  <c r="E31" i="91"/>
  <c r="E33" i="91"/>
  <c r="E45" i="91"/>
  <c r="H45" i="91"/>
  <c r="I45" i="91" s="1"/>
  <c r="E16" i="91"/>
  <c r="E10" i="91"/>
  <c r="E12" i="91"/>
  <c r="E9" i="91"/>
  <c r="E11" i="91"/>
  <c r="E18" i="91"/>
  <c r="E29" i="91"/>
  <c r="E35" i="91"/>
  <c r="E22" i="91"/>
  <c r="E19" i="91"/>
  <c r="E32" i="91"/>
  <c r="E28" i="91"/>
  <c r="E27" i="91"/>
  <c r="E25" i="91"/>
  <c r="E21" i="91"/>
  <c r="E17" i="91"/>
  <c r="E40" i="91"/>
  <c r="E34" i="91"/>
  <c r="L11" i="91"/>
  <c r="H18" i="103"/>
  <c r="I18" i="103" s="1"/>
  <c r="L30" i="91"/>
  <c r="H28" i="103"/>
  <c r="I28" i="103" s="1"/>
  <c r="M30" i="103"/>
  <c r="H30" i="103"/>
  <c r="I30" i="103" s="1"/>
  <c r="M18" i="103"/>
  <c r="L24" i="91"/>
  <c r="L20" i="91"/>
  <c r="L9" i="91"/>
  <c r="L17" i="91"/>
  <c r="M27" i="94"/>
  <c r="E49" i="97"/>
  <c r="L49" i="97"/>
  <c r="H49" i="97"/>
  <c r="M21" i="97"/>
  <c r="M22" i="97"/>
  <c r="M8" i="97"/>
  <c r="M11" i="97"/>
  <c r="M12" i="97"/>
  <c r="M13" i="97"/>
  <c r="M14" i="97"/>
  <c r="M38" i="97"/>
  <c r="M40" i="97"/>
  <c r="M41" i="97"/>
  <c r="M46" i="97"/>
  <c r="M31" i="97"/>
  <c r="M34" i="97"/>
  <c r="M16" i="97"/>
  <c r="M37" i="97"/>
  <c r="M15" i="97"/>
  <c r="M25" i="97"/>
  <c r="M26" i="97"/>
  <c r="M27" i="97"/>
  <c r="M39" i="97"/>
  <c r="M35" i="97"/>
  <c r="M36" i="97"/>
  <c r="M30" i="97"/>
  <c r="M45" i="97"/>
  <c r="M48" i="97"/>
  <c r="M47" i="97"/>
  <c r="M20" i="97"/>
  <c r="M32" i="97"/>
  <c r="M33" i="97"/>
  <c r="M24" i="97"/>
  <c r="M42" i="97"/>
  <c r="M10" i="97"/>
  <c r="L26" i="91"/>
  <c r="L34" i="91"/>
  <c r="M49" i="97"/>
  <c r="E23" i="97"/>
  <c r="L23" i="97"/>
  <c r="H23" i="97"/>
  <c r="I23" i="97" s="1"/>
  <c r="M9" i="97"/>
  <c r="H27" i="94"/>
  <c r="I27" i="94" s="1"/>
  <c r="E27" i="94"/>
  <c r="L27" i="94"/>
  <c r="H38" i="94"/>
  <c r="I38" i="94" s="1"/>
  <c r="E38" i="94"/>
  <c r="L38" i="94"/>
  <c r="M38" i="94"/>
  <c r="H37" i="91"/>
  <c r="I37" i="91" s="1"/>
  <c r="L37" i="91"/>
  <c r="L23" i="91"/>
  <c r="H23" i="91"/>
  <c r="I23" i="91" s="1"/>
  <c r="L8" i="91"/>
  <c r="H8" i="91"/>
  <c r="I8" i="91" s="1"/>
  <c r="L16" i="91"/>
  <c r="L22" i="91"/>
  <c r="L15" i="91"/>
  <c r="L25" i="91"/>
  <c r="L27" i="91"/>
  <c r="L33" i="91"/>
  <c r="L41" i="91"/>
  <c r="L28" i="91"/>
  <c r="L31" i="91"/>
  <c r="L39" i="91"/>
  <c r="L43" i="91"/>
  <c r="L47" i="91"/>
  <c r="L44" i="91"/>
  <c r="L12" i="91"/>
  <c r="E14" i="91"/>
  <c r="L29" i="91"/>
  <c r="L32" i="91"/>
  <c r="L35" i="91"/>
  <c r="L38" i="91"/>
  <c r="L10" i="91"/>
  <c r="L21" i="91"/>
  <c r="E15" i="91"/>
  <c r="L46" i="91"/>
  <c r="L13" i="91"/>
  <c r="L45" i="91"/>
  <c r="L18" i="91"/>
  <c r="L19" i="91"/>
  <c r="L14" i="91"/>
  <c r="L40" i="91"/>
  <c r="M19" i="97"/>
  <c r="L39" i="103" l="1"/>
  <c r="E27" i="103"/>
  <c r="E39" i="103"/>
  <c r="E36" i="91"/>
  <c r="H48" i="91"/>
  <c r="I48" i="91" s="1"/>
  <c r="E48" i="91"/>
  <c r="L36" i="91"/>
  <c r="H36" i="91"/>
  <c r="I36" i="91" s="1"/>
  <c r="H29" i="103"/>
  <c r="I29" i="103" s="1"/>
  <c r="M29" i="103"/>
  <c r="M27" i="103"/>
  <c r="H27" i="103"/>
  <c r="I27" i="103" s="1"/>
  <c r="E39" i="94"/>
  <c r="L39" i="94"/>
  <c r="H39" i="94"/>
  <c r="M39" i="94"/>
  <c r="H49" i="91" l="1"/>
  <c r="E49" i="91"/>
  <c r="M39" i="103"/>
  <c r="H39" i="103"/>
  <c r="B135" i="51"/>
  <c r="B105" i="51" s="1"/>
  <c r="F105" i="51"/>
  <c r="B104" i="51" l="1"/>
  <c r="D51" i="28" l="1"/>
  <c r="D50" i="28" s="1"/>
  <c r="D48" i="28" s="1"/>
  <c r="D47" i="28" s="1"/>
  <c r="D43" i="28" s="1"/>
  <c r="D45" i="28"/>
  <c r="D44" i="28" s="1"/>
  <c r="D46" i="69"/>
  <c r="D45" i="69" s="1"/>
  <c r="D44" i="69" s="1"/>
  <c r="B35" i="2" l="1"/>
  <c r="B33" i="2" l="1"/>
  <c r="B32" i="2" s="1"/>
  <c r="B33" i="46"/>
  <c r="B32" i="46" l="1"/>
  <c r="D18" i="53" l="1"/>
  <c r="C41" i="52"/>
  <c r="H84" i="80" l="1"/>
  <c r="E12" i="41" l="1"/>
  <c r="E8" i="41" s="1"/>
  <c r="E7" i="41" s="1"/>
  <c r="D13" i="80"/>
  <c r="H13" i="80" s="1"/>
  <c r="D18" i="84" l="1"/>
  <c r="A20" i="88" l="1"/>
  <c r="B20" i="88"/>
  <c r="D8" i="88"/>
  <c r="D7" i="88" s="1"/>
  <c r="D20" i="88" s="1"/>
  <c r="H58" i="75" l="1"/>
  <c r="E43" i="68" l="1"/>
  <c r="C43" i="68"/>
  <c r="E39" i="68" l="1"/>
  <c r="C39" i="68"/>
  <c r="G31" i="85" l="1"/>
  <c r="D25" i="85"/>
  <c r="G18" i="85"/>
  <c r="G16" i="85"/>
  <c r="G15" i="85"/>
  <c r="G14" i="85"/>
  <c r="G13" i="85"/>
  <c r="G12" i="85"/>
  <c r="G11" i="85"/>
  <c r="G10" i="85"/>
  <c r="G9" i="85"/>
  <c r="D9" i="85"/>
  <c r="D8" i="85" s="1"/>
  <c r="D7" i="85" s="1"/>
  <c r="D45" i="81" l="1"/>
  <c r="I8" i="81"/>
  <c r="G8" i="81"/>
  <c r="F8" i="81"/>
  <c r="E8" i="81"/>
  <c r="D17" i="81"/>
  <c r="D18" i="81"/>
  <c r="D39" i="81"/>
  <c r="H42" i="80" l="1"/>
  <c r="I42" i="80" s="1"/>
  <c r="B42" i="80"/>
  <c r="H93" i="75" l="1"/>
  <c r="H92" i="75"/>
  <c r="H112" i="75"/>
  <c r="H111" i="75"/>
  <c r="H110" i="75"/>
  <c r="H109" i="75"/>
  <c r="H108" i="75"/>
  <c r="H107" i="75"/>
  <c r="H105" i="75"/>
  <c r="H103" i="75"/>
  <c r="H102" i="75"/>
  <c r="H101" i="75"/>
  <c r="H100" i="75"/>
  <c r="H98" i="75"/>
  <c r="H97" i="75"/>
  <c r="H96" i="75"/>
  <c r="H73" i="75" l="1"/>
  <c r="H78" i="75" l="1"/>
  <c r="H86" i="75"/>
  <c r="H84" i="75"/>
  <c r="D10" i="84" l="1"/>
  <c r="D9" i="84" s="1"/>
  <c r="D8" i="84" s="1"/>
  <c r="D15" i="84"/>
  <c r="D14" i="84" s="1"/>
  <c r="D13" i="84" s="1"/>
  <c r="D7" i="84" l="1"/>
  <c r="E52" i="83"/>
  <c r="N52" i="83" s="1"/>
  <c r="L24" i="83"/>
  <c r="N24" i="83"/>
  <c r="N23" i="83"/>
  <c r="L23" i="83"/>
  <c r="L22" i="83"/>
  <c r="N22" i="83"/>
  <c r="L21" i="83"/>
  <c r="N21" i="83"/>
  <c r="L20" i="83"/>
  <c r="N20" i="83"/>
  <c r="L19" i="83"/>
  <c r="N19" i="83"/>
  <c r="L17" i="83"/>
  <c r="N17" i="83"/>
  <c r="L16" i="83"/>
  <c r="N16" i="83"/>
  <c r="L15" i="83"/>
  <c r="N15" i="83"/>
  <c r="L14" i="83"/>
  <c r="N14" i="83"/>
  <c r="L13" i="83"/>
  <c r="N13" i="83"/>
  <c r="E51" i="83" l="1"/>
  <c r="E9" i="83" s="1"/>
  <c r="L11" i="83"/>
  <c r="M11" i="83" s="1"/>
  <c r="H89" i="75"/>
  <c r="H79" i="75"/>
  <c r="H81" i="75"/>
  <c r="H67" i="75" l="1"/>
  <c r="H66" i="75"/>
  <c r="D109" i="80" l="1"/>
  <c r="H113" i="80"/>
  <c r="I113" i="80" s="1"/>
  <c r="B113" i="80"/>
  <c r="D104" i="80"/>
  <c r="H108" i="80"/>
  <c r="I108" i="80" s="1"/>
  <c r="B108" i="80"/>
  <c r="D97" i="80"/>
  <c r="H100" i="80"/>
  <c r="B100" i="80"/>
  <c r="B104" i="80"/>
  <c r="H95" i="80"/>
  <c r="D78" i="80"/>
  <c r="D66" i="80" s="1"/>
  <c r="H87" i="80"/>
  <c r="I87" i="80" s="1"/>
  <c r="H82" i="80"/>
  <c r="I82" i="80" s="1"/>
  <c r="H77" i="80"/>
  <c r="H72" i="80"/>
  <c r="I72" i="80" s="1"/>
  <c r="B72" i="80"/>
  <c r="D57" i="80"/>
  <c r="H60" i="80"/>
  <c r="I60" i="80" s="1"/>
  <c r="B60" i="80"/>
  <c r="D32" i="80"/>
  <c r="D31" i="80" s="1"/>
  <c r="H37" i="80"/>
  <c r="I37" i="80" s="1"/>
  <c r="D25" i="80"/>
  <c r="B30" i="80"/>
  <c r="K30" i="80"/>
  <c r="H30" i="80"/>
  <c r="I30" i="80" s="1"/>
  <c r="H16" i="80"/>
  <c r="I16" i="80" s="1"/>
  <c r="K16" i="80"/>
  <c r="H91" i="80" l="1"/>
  <c r="H97" i="80"/>
  <c r="H104" i="80"/>
  <c r="I104" i="80" s="1"/>
  <c r="D48" i="81" l="1"/>
  <c r="D47" i="81" s="1"/>
  <c r="I47" i="81"/>
  <c r="H47" i="81"/>
  <c r="G47" i="81"/>
  <c r="F47" i="81"/>
  <c r="E47" i="81"/>
  <c r="B47" i="81"/>
  <c r="D46" i="81"/>
  <c r="D44" i="81"/>
  <c r="H43" i="81"/>
  <c r="G43" i="81"/>
  <c r="F43" i="81"/>
  <c r="E43" i="81"/>
  <c r="B43" i="81"/>
  <c r="D42" i="81"/>
  <c r="D38" i="81"/>
  <c r="D37" i="81"/>
  <c r="D35" i="81"/>
  <c r="D34" i="81"/>
  <c r="D32" i="81"/>
  <c r="D31" i="81"/>
  <c r="I30" i="81"/>
  <c r="H30" i="81"/>
  <c r="G30" i="81"/>
  <c r="F30" i="81"/>
  <c r="E30" i="81"/>
  <c r="B30" i="81"/>
  <c r="D29" i="81"/>
  <c r="D28" i="81"/>
  <c r="D27" i="81"/>
  <c r="D26" i="81"/>
  <c r="D25" i="81"/>
  <c r="D24" i="81"/>
  <c r="I23" i="81"/>
  <c r="H23" i="81"/>
  <c r="G23" i="81"/>
  <c r="F23" i="81"/>
  <c r="E23" i="81"/>
  <c r="B23" i="81"/>
  <c r="D21" i="81"/>
  <c r="D20" i="81"/>
  <c r="I19" i="81"/>
  <c r="G19" i="81"/>
  <c r="F19" i="81"/>
  <c r="E19" i="81"/>
  <c r="B19" i="81"/>
  <c r="D16" i="81"/>
  <c r="D15" i="81"/>
  <c r="D14" i="81"/>
  <c r="D13" i="81"/>
  <c r="D12" i="81"/>
  <c r="D11" i="81"/>
  <c r="D10" i="81"/>
  <c r="D9" i="81"/>
  <c r="D33" i="81" l="1"/>
  <c r="D19" i="81"/>
  <c r="D30" i="81"/>
  <c r="D43" i="81"/>
  <c r="H49" i="81"/>
  <c r="D8" i="81"/>
  <c r="F49" i="81"/>
  <c r="E49" i="81"/>
  <c r="I49" i="81"/>
  <c r="G49" i="81"/>
  <c r="B49" i="81"/>
  <c r="D23" i="81"/>
  <c r="D49" i="81" l="1"/>
  <c r="D37" i="28"/>
  <c r="D36" i="28" s="1"/>
  <c r="B29" i="46"/>
  <c r="E8" i="10" l="1"/>
  <c r="C21" i="77" l="1"/>
  <c r="B24" i="52" l="1"/>
  <c r="H41" i="80"/>
  <c r="I41" i="80" s="1"/>
  <c r="B41" i="80"/>
  <c r="H53" i="75" l="1"/>
  <c r="H49" i="75"/>
  <c r="H52" i="75"/>
  <c r="H51" i="75"/>
  <c r="H48" i="75"/>
  <c r="H44" i="75"/>
  <c r="H43" i="75"/>
  <c r="H42" i="75"/>
  <c r="H41" i="75"/>
  <c r="H40" i="75"/>
  <c r="H34" i="75"/>
  <c r="H33" i="75"/>
  <c r="H31" i="75"/>
  <c r="H27" i="75"/>
  <c r="H24" i="75"/>
  <c r="H22" i="75"/>
  <c r="H21" i="75"/>
  <c r="H20" i="75"/>
  <c r="H19" i="75"/>
  <c r="H17" i="75"/>
  <c r="H15" i="75"/>
  <c r="H16" i="75"/>
  <c r="H12" i="75"/>
  <c r="H11" i="75"/>
  <c r="D23" i="53"/>
  <c r="F7" i="28"/>
  <c r="E9" i="1"/>
  <c r="F151" i="80"/>
  <c r="D151" i="80"/>
  <c r="F150" i="80"/>
  <c r="D150" i="80"/>
  <c r="F149" i="80"/>
  <c r="D149" i="80"/>
  <c r="F148" i="80"/>
  <c r="D148" i="80"/>
  <c r="F147" i="80"/>
  <c r="D147" i="80"/>
  <c r="F146" i="80"/>
  <c r="F152" i="80" s="1"/>
  <c r="D146" i="80"/>
  <c r="D152" i="80" s="1"/>
  <c r="F144" i="80"/>
  <c r="D144" i="80"/>
  <c r="F143" i="80"/>
  <c r="D143" i="80"/>
  <c r="F142" i="80"/>
  <c r="D142" i="80"/>
  <c r="F141" i="80"/>
  <c r="D141" i="80"/>
  <c r="F140" i="80"/>
  <c r="D140" i="80"/>
  <c r="F139" i="80"/>
  <c r="F145" i="80" s="1"/>
  <c r="D139" i="80"/>
  <c r="D145" i="80" s="1"/>
  <c r="F137" i="80"/>
  <c r="D137" i="80"/>
  <c r="F136" i="80"/>
  <c r="D136" i="80"/>
  <c r="F135" i="80"/>
  <c r="D135" i="80"/>
  <c r="F134" i="80"/>
  <c r="D134" i="80"/>
  <c r="F133" i="80"/>
  <c r="D133" i="80"/>
  <c r="F132" i="80"/>
  <c r="F138" i="80" s="1"/>
  <c r="D132" i="80"/>
  <c r="D138" i="80" s="1"/>
  <c r="K128" i="80"/>
  <c r="A121" i="80"/>
  <c r="B121" i="80" s="1"/>
  <c r="K120" i="80"/>
  <c r="B120" i="80"/>
  <c r="K119" i="80"/>
  <c r="H119" i="80"/>
  <c r="B119" i="80"/>
  <c r="K118" i="80"/>
  <c r="H118" i="80"/>
  <c r="B118" i="80"/>
  <c r="K117" i="80"/>
  <c r="H117" i="80"/>
  <c r="I117" i="80" s="1"/>
  <c r="B117" i="80"/>
  <c r="K116" i="80"/>
  <c r="D115" i="80"/>
  <c r="D114" i="80" s="1"/>
  <c r="D26" i="52" s="1"/>
  <c r="F21" i="53" s="1"/>
  <c r="Y21" i="53" s="1"/>
  <c r="B116" i="80"/>
  <c r="K115" i="80"/>
  <c r="B115" i="80"/>
  <c r="K114" i="80"/>
  <c r="B114" i="80"/>
  <c r="K112" i="80"/>
  <c r="H112" i="80"/>
  <c r="I112" i="80" s="1"/>
  <c r="B112" i="80"/>
  <c r="K111" i="80"/>
  <c r="H111" i="80"/>
  <c r="I111" i="80" s="1"/>
  <c r="B111" i="80"/>
  <c r="K110" i="80"/>
  <c r="H110" i="80"/>
  <c r="I110" i="80" s="1"/>
  <c r="B110" i="80"/>
  <c r="K109" i="80"/>
  <c r="B109" i="80"/>
  <c r="K107" i="80"/>
  <c r="H107" i="80"/>
  <c r="I107" i="80" s="1"/>
  <c r="B107" i="80"/>
  <c r="K106" i="80"/>
  <c r="H106" i="80"/>
  <c r="I106" i="80" s="1"/>
  <c r="B106" i="80"/>
  <c r="K105" i="80"/>
  <c r="H105" i="80"/>
  <c r="I105" i="80" s="1"/>
  <c r="B105" i="80"/>
  <c r="K104" i="80"/>
  <c r="K99" i="80"/>
  <c r="H99" i="80"/>
  <c r="B99" i="80"/>
  <c r="K98" i="80"/>
  <c r="H98" i="80"/>
  <c r="I98" i="80" s="1"/>
  <c r="B98" i="80"/>
  <c r="K97" i="80"/>
  <c r="B97" i="80"/>
  <c r="K96" i="80"/>
  <c r="B96" i="80"/>
  <c r="K94" i="80"/>
  <c r="H94" i="80"/>
  <c r="I94" i="80" s="1"/>
  <c r="B94" i="80"/>
  <c r="K93" i="80"/>
  <c r="H93" i="80"/>
  <c r="I93" i="80" s="1"/>
  <c r="B93" i="80"/>
  <c r="K92" i="80"/>
  <c r="H92" i="80"/>
  <c r="I92" i="80" s="1"/>
  <c r="B92" i="80"/>
  <c r="K91" i="80"/>
  <c r="B91" i="80"/>
  <c r="K90" i="80"/>
  <c r="B90" i="80"/>
  <c r="K89" i="80"/>
  <c r="B89" i="80"/>
  <c r="K88" i="80"/>
  <c r="B88" i="80"/>
  <c r="K86" i="80"/>
  <c r="H86" i="80"/>
  <c r="I86" i="80" s="1"/>
  <c r="B86" i="80"/>
  <c r="K85" i="80"/>
  <c r="H85" i="80"/>
  <c r="I85" i="80" s="1"/>
  <c r="B85" i="80"/>
  <c r="K84" i="80"/>
  <c r="D83" i="80"/>
  <c r="B84" i="80"/>
  <c r="K83" i="80"/>
  <c r="B83" i="80"/>
  <c r="K81" i="80"/>
  <c r="H81" i="80"/>
  <c r="I81" i="80" s="1"/>
  <c r="B81" i="80"/>
  <c r="K80" i="80"/>
  <c r="H80" i="80"/>
  <c r="I80" i="80" s="1"/>
  <c r="B80" i="80"/>
  <c r="K79" i="80"/>
  <c r="H79" i="80"/>
  <c r="I79" i="80" s="1"/>
  <c r="B79" i="80"/>
  <c r="K78" i="80"/>
  <c r="B78" i="80"/>
  <c r="K76" i="80"/>
  <c r="H76" i="80"/>
  <c r="B76" i="80"/>
  <c r="K75" i="80"/>
  <c r="H75" i="80"/>
  <c r="I75" i="80" s="1"/>
  <c r="B75" i="80"/>
  <c r="K74" i="80"/>
  <c r="H74" i="80"/>
  <c r="I74" i="80" s="1"/>
  <c r="B74" i="80"/>
  <c r="K73" i="80"/>
  <c r="B73" i="80"/>
  <c r="K71" i="80"/>
  <c r="H71" i="80"/>
  <c r="I71" i="80" s="1"/>
  <c r="B71" i="80"/>
  <c r="K70" i="80"/>
  <c r="H70" i="80"/>
  <c r="I70" i="80" s="1"/>
  <c r="B70" i="80"/>
  <c r="K69" i="80"/>
  <c r="H69" i="80"/>
  <c r="I69" i="80" s="1"/>
  <c r="B69" i="80"/>
  <c r="K68" i="80"/>
  <c r="H68" i="80"/>
  <c r="I68" i="80" s="1"/>
  <c r="B68" i="80"/>
  <c r="K67" i="80"/>
  <c r="D24" i="52"/>
  <c r="B67" i="80"/>
  <c r="K66" i="80"/>
  <c r="B66" i="80"/>
  <c r="K65" i="80"/>
  <c r="B65" i="80"/>
  <c r="K64" i="80"/>
  <c r="B64" i="80"/>
  <c r="K63" i="80"/>
  <c r="H63" i="80"/>
  <c r="D63" i="80"/>
  <c r="B63" i="80"/>
  <c r="K62" i="80"/>
  <c r="H62" i="80"/>
  <c r="I62" i="80" s="1"/>
  <c r="B62" i="80"/>
  <c r="K61" i="80"/>
  <c r="D61" i="80"/>
  <c r="B61" i="80"/>
  <c r="K59" i="80"/>
  <c r="H59" i="80"/>
  <c r="I59" i="80" s="1"/>
  <c r="B59" i="80"/>
  <c r="K58" i="80"/>
  <c r="H58" i="80"/>
  <c r="I58" i="80" s="1"/>
  <c r="B58" i="80"/>
  <c r="K57" i="80"/>
  <c r="B57" i="80"/>
  <c r="K56" i="80"/>
  <c r="B56" i="80"/>
  <c r="K55" i="80"/>
  <c r="H55" i="80"/>
  <c r="I55" i="80" s="1"/>
  <c r="B55" i="80"/>
  <c r="K54" i="80"/>
  <c r="D54" i="80"/>
  <c r="D53" i="80" s="1"/>
  <c r="D22" i="52" s="1"/>
  <c r="B54" i="80"/>
  <c r="K53" i="80"/>
  <c r="B53" i="80"/>
  <c r="K52" i="80"/>
  <c r="B52" i="80"/>
  <c r="K51" i="80"/>
  <c r="H51" i="80"/>
  <c r="I51" i="80" s="1"/>
  <c r="B51" i="80"/>
  <c r="K50" i="80"/>
  <c r="H50" i="80"/>
  <c r="B50" i="80"/>
  <c r="K49" i="80"/>
  <c r="D43" i="80"/>
  <c r="B49" i="80"/>
  <c r="K48" i="80"/>
  <c r="H48" i="80"/>
  <c r="B48" i="80"/>
  <c r="K47" i="80"/>
  <c r="H47" i="80"/>
  <c r="I47" i="80" s="1"/>
  <c r="B47" i="80"/>
  <c r="K46" i="80"/>
  <c r="H46" i="80"/>
  <c r="I46" i="80" s="1"/>
  <c r="B46" i="80"/>
  <c r="K45" i="80"/>
  <c r="H45" i="80"/>
  <c r="I45" i="80" s="1"/>
  <c r="B45" i="80"/>
  <c r="K44" i="80"/>
  <c r="H44" i="80"/>
  <c r="I44" i="80" s="1"/>
  <c r="B44" i="80"/>
  <c r="K43" i="80"/>
  <c r="B43" i="80"/>
  <c r="K40" i="80"/>
  <c r="B40" i="80"/>
  <c r="K39" i="80"/>
  <c r="B39" i="80"/>
  <c r="K38" i="80"/>
  <c r="B38" i="80"/>
  <c r="K36" i="80"/>
  <c r="H36" i="80"/>
  <c r="I36" i="80" s="1"/>
  <c r="B36" i="80"/>
  <c r="K35" i="80"/>
  <c r="H35" i="80"/>
  <c r="I35" i="80" s="1"/>
  <c r="B35" i="80"/>
  <c r="K34" i="80"/>
  <c r="H34" i="80"/>
  <c r="I34" i="80" s="1"/>
  <c r="B34" i="80"/>
  <c r="K33" i="80"/>
  <c r="H33" i="80"/>
  <c r="I33" i="80" s="1"/>
  <c r="B33" i="80"/>
  <c r="K32" i="80"/>
  <c r="B32" i="80"/>
  <c r="K31" i="80"/>
  <c r="B31" i="80"/>
  <c r="K29" i="80"/>
  <c r="H29" i="80"/>
  <c r="I29" i="80" s="1"/>
  <c r="B29" i="80"/>
  <c r="K28" i="80"/>
  <c r="H28" i="80"/>
  <c r="I28" i="80" s="1"/>
  <c r="B28" i="80"/>
  <c r="K27" i="80"/>
  <c r="H27" i="80"/>
  <c r="I27" i="80" s="1"/>
  <c r="B27" i="80"/>
  <c r="K26" i="80"/>
  <c r="H26" i="80"/>
  <c r="I26" i="80" s="1"/>
  <c r="B26" i="80"/>
  <c r="K25" i="80"/>
  <c r="B25" i="80"/>
  <c r="K24" i="80"/>
  <c r="H24" i="80"/>
  <c r="B24" i="80"/>
  <c r="K23" i="80"/>
  <c r="D23" i="80"/>
  <c r="H23" i="80" s="1"/>
  <c r="B23" i="80"/>
  <c r="K22" i="80"/>
  <c r="B22" i="80"/>
  <c r="K21" i="80"/>
  <c r="B21" i="80"/>
  <c r="K20" i="80"/>
  <c r="H20" i="80"/>
  <c r="D20" i="80"/>
  <c r="B20" i="80"/>
  <c r="K18" i="80"/>
  <c r="H18" i="80"/>
  <c r="I18" i="80" s="1"/>
  <c r="B18" i="80"/>
  <c r="K17" i="80"/>
  <c r="D17" i="80"/>
  <c r="B17" i="80"/>
  <c r="K15" i="80"/>
  <c r="H15" i="80"/>
  <c r="I15" i="80" s="1"/>
  <c r="B15" i="80"/>
  <c r="K14" i="80"/>
  <c r="H14" i="80"/>
  <c r="I14" i="80" s="1"/>
  <c r="B14" i="80"/>
  <c r="K13" i="80"/>
  <c r="B13" i="80"/>
  <c r="K12" i="80"/>
  <c r="B12" i="80"/>
  <c r="K11" i="80"/>
  <c r="H11" i="80"/>
  <c r="I11" i="80" s="1"/>
  <c r="B11" i="80"/>
  <c r="K10" i="80"/>
  <c r="D10" i="80"/>
  <c r="H10" i="80" s="1"/>
  <c r="I10" i="80" s="1"/>
  <c r="B10" i="80"/>
  <c r="K9" i="80"/>
  <c r="B9" i="80"/>
  <c r="K8" i="80"/>
  <c r="H149" i="80"/>
  <c r="H73" i="80"/>
  <c r="I73" i="80" s="1"/>
  <c r="H25" i="80"/>
  <c r="I25" i="80" s="1"/>
  <c r="I91" i="80"/>
  <c r="I13" i="80"/>
  <c r="H38" i="80"/>
  <c r="I38" i="80" s="1"/>
  <c r="H78" i="80"/>
  <c r="I78" i="80" s="1"/>
  <c r="D90" i="80"/>
  <c r="H67" i="80"/>
  <c r="I67" i="80" s="1"/>
  <c r="K121" i="80"/>
  <c r="B10" i="1"/>
  <c r="L14" i="78"/>
  <c r="L12" i="78"/>
  <c r="L11" i="78"/>
  <c r="L10" i="78"/>
  <c r="K9" i="78"/>
  <c r="H9" i="78"/>
  <c r="G9" i="78"/>
  <c r="F9" i="78"/>
  <c r="E9" i="78"/>
  <c r="D9" i="78"/>
  <c r="C9" i="78"/>
  <c r="B9" i="78"/>
  <c r="L8" i="78"/>
  <c r="L7" i="78"/>
  <c r="D33" i="28"/>
  <c r="D32" i="28" s="1"/>
  <c r="D31" i="28" s="1"/>
  <c r="B28" i="2"/>
  <c r="B14" i="1"/>
  <c r="B13" i="1" s="1"/>
  <c r="B26" i="46"/>
  <c r="B23" i="46"/>
  <c r="E35" i="68"/>
  <c r="E34" i="68" s="1"/>
  <c r="H9" i="68" s="1"/>
  <c r="C35" i="68"/>
  <c r="C34" i="68" s="1"/>
  <c r="B100" i="51"/>
  <c r="B99" i="51" s="1"/>
  <c r="D50" i="75"/>
  <c r="D47" i="75" s="1"/>
  <c r="D46" i="75" s="1"/>
  <c r="E22" i="41"/>
  <c r="E21" i="41" s="1"/>
  <c r="W21" i="53"/>
  <c r="W20" i="53"/>
  <c r="W17" i="53"/>
  <c r="W16" i="53"/>
  <c r="F11" i="77"/>
  <c r="F7" i="77"/>
  <c r="F6" i="77"/>
  <c r="D17" i="17"/>
  <c r="D38" i="69"/>
  <c r="F41" i="52"/>
  <c r="X21" i="53"/>
  <c r="X20" i="53"/>
  <c r="X17" i="53"/>
  <c r="V22" i="53"/>
  <c r="V21" i="53"/>
  <c r="V20" i="53"/>
  <c r="V17" i="53"/>
  <c r="V18" i="53" s="1"/>
  <c r="U21" i="53"/>
  <c r="U20" i="53"/>
  <c r="U17" i="53"/>
  <c r="U18" i="53" s="1"/>
  <c r="D39" i="75"/>
  <c r="D38" i="75" s="1"/>
  <c r="D37" i="75" s="1"/>
  <c r="D22" i="10"/>
  <c r="D21" i="10"/>
  <c r="D22" i="69"/>
  <c r="D20" i="69"/>
  <c r="D19" i="69" s="1"/>
  <c r="D15" i="69"/>
  <c r="D13" i="69"/>
  <c r="D11" i="69"/>
  <c r="E26" i="29"/>
  <c r="E23" i="29" s="1"/>
  <c r="C23" i="29"/>
  <c r="B11" i="30"/>
  <c r="B13" i="30" s="1"/>
  <c r="B21" i="30" s="1"/>
  <c r="C19" i="29"/>
  <c r="E19" i="29"/>
  <c r="D36" i="69"/>
  <c r="D34" i="69"/>
  <c r="D41" i="69"/>
  <c r="D40" i="69" s="1"/>
  <c r="D24" i="69"/>
  <c r="D30" i="69"/>
  <c r="D29" i="69" s="1"/>
  <c r="D27" i="69"/>
  <c r="D26" i="69" s="1"/>
  <c r="C10" i="16"/>
  <c r="C9" i="16" s="1"/>
  <c r="E31" i="68"/>
  <c r="C31" i="68"/>
  <c r="C25" i="68" s="1"/>
  <c r="E13" i="68"/>
  <c r="E12" i="68" s="1"/>
  <c r="E11" i="68" s="1"/>
  <c r="C13" i="68"/>
  <c r="C12" i="68" s="1"/>
  <c r="C11" i="68" s="1"/>
  <c r="C10" i="68" s="1"/>
  <c r="U22" i="53"/>
  <c r="T22" i="53"/>
  <c r="T19" i="53"/>
  <c r="E34" i="52"/>
  <c r="B95" i="51"/>
  <c r="B94" i="51" s="1"/>
  <c r="A45" i="29"/>
  <c r="A40" i="29" s="1"/>
  <c r="A48" i="29" s="1"/>
  <c r="C21" i="29"/>
  <c r="E22" i="29"/>
  <c r="E21" i="29" s="1"/>
  <c r="D10" i="17"/>
  <c r="D20" i="17"/>
  <c r="D24" i="17"/>
  <c r="B25" i="2"/>
  <c r="D11" i="20"/>
  <c r="D10" i="20" s="1"/>
  <c r="D9" i="20" s="1"/>
  <c r="D8" i="20" s="1"/>
  <c r="D10" i="28"/>
  <c r="D9" i="28" s="1"/>
  <c r="D13" i="28"/>
  <c r="D12" i="28" s="1"/>
  <c r="D16" i="28"/>
  <c r="D15" i="28" s="1"/>
  <c r="D21" i="28"/>
  <c r="D20" i="28" s="1"/>
  <c r="D23" i="28"/>
  <c r="D27" i="28"/>
  <c r="D26" i="28" s="1"/>
  <c r="D40" i="28"/>
  <c r="D39" i="28" s="1"/>
  <c r="B11" i="2"/>
  <c r="C43" i="29"/>
  <c r="E45" i="29"/>
  <c r="C45" i="29"/>
  <c r="B17" i="46"/>
  <c r="B16" i="46" s="1"/>
  <c r="D9" i="10"/>
  <c r="D11" i="10"/>
  <c r="D12" i="10"/>
  <c r="D14" i="10"/>
  <c r="D15" i="10"/>
  <c r="D16" i="10"/>
  <c r="D17" i="10"/>
  <c r="D18" i="10"/>
  <c r="D19" i="10"/>
  <c r="D20" i="10"/>
  <c r="D17" i="20"/>
  <c r="D16" i="20" s="1"/>
  <c r="D15" i="20" s="1"/>
  <c r="D14" i="20" s="1"/>
  <c r="B18" i="31"/>
  <c r="B21" i="2"/>
  <c r="B19" i="2"/>
  <c r="E18" i="29"/>
  <c r="C16" i="29"/>
  <c r="C9" i="29" s="1"/>
  <c r="E12" i="29"/>
  <c r="E42" i="29"/>
  <c r="E41" i="29" s="1"/>
  <c r="C41" i="29"/>
  <c r="E35" i="29"/>
  <c r="E44" i="29"/>
  <c r="E43" i="29" s="1"/>
  <c r="E17" i="29"/>
  <c r="E15" i="29"/>
  <c r="E14" i="29"/>
  <c r="E34" i="29"/>
  <c r="E13" i="29"/>
  <c r="E33" i="29"/>
  <c r="E12" i="77"/>
  <c r="E21" i="77" s="1"/>
  <c r="D12" i="77"/>
  <c r="D10" i="69" l="1"/>
  <c r="D7" i="20"/>
  <c r="W22" i="53"/>
  <c r="D8" i="28"/>
  <c r="F8" i="77"/>
  <c r="D9" i="1"/>
  <c r="F9" i="1" s="1"/>
  <c r="B9" i="1"/>
  <c r="E10" i="29"/>
  <c r="D7" i="75"/>
  <c r="E31" i="29"/>
  <c r="E30" i="29" s="1"/>
  <c r="E48" i="29" s="1"/>
  <c r="U23" i="53"/>
  <c r="V23" i="53"/>
  <c r="W18" i="53"/>
  <c r="W23" i="53" s="1"/>
  <c r="D9" i="17"/>
  <c r="D8" i="17" s="1"/>
  <c r="D7" i="17" s="1"/>
  <c r="D21" i="77"/>
  <c r="D25" i="52"/>
  <c r="D9" i="80"/>
  <c r="B22" i="52" s="1"/>
  <c r="X18" i="53"/>
  <c r="X22" i="53"/>
  <c r="E23" i="53"/>
  <c r="H144" i="80"/>
  <c r="D8" i="10"/>
  <c r="C40" i="29"/>
  <c r="C48" i="29" s="1"/>
  <c r="E40" i="29"/>
  <c r="L9" i="78"/>
  <c r="L13" i="78"/>
  <c r="H49" i="80"/>
  <c r="I49" i="80" s="1"/>
  <c r="B25" i="52"/>
  <c r="B93" i="51"/>
  <c r="B62" i="51"/>
  <c r="B61" i="51" s="1"/>
  <c r="B10" i="51"/>
  <c r="D33" i="69"/>
  <c r="D32" i="69" s="1"/>
  <c r="B24" i="2"/>
  <c r="D36" i="75"/>
  <c r="H150" i="80"/>
  <c r="H137" i="80"/>
  <c r="H61" i="80"/>
  <c r="I61" i="80" s="1"/>
  <c r="D56" i="80"/>
  <c r="D52" i="80" s="1"/>
  <c r="H151" i="80"/>
  <c r="G135" i="80"/>
  <c r="G136" i="80"/>
  <c r="B23" i="30"/>
  <c r="B38" i="30" s="1"/>
  <c r="B40" i="30" s="1"/>
  <c r="E16" i="29"/>
  <c r="C29" i="29"/>
  <c r="H141" i="80"/>
  <c r="H66" i="80"/>
  <c r="I66" i="80" s="1"/>
  <c r="H140" i="80"/>
  <c r="G133" i="80"/>
  <c r="E25" i="68"/>
  <c r="C9" i="68"/>
  <c r="E10" i="68"/>
  <c r="D9" i="69"/>
  <c r="D8" i="69" s="1"/>
  <c r="D30" i="28"/>
  <c r="D19" i="28"/>
  <c r="B22" i="46"/>
  <c r="B21" i="46" s="1"/>
  <c r="B9" i="46" s="1"/>
  <c r="B13" i="2"/>
  <c r="B10" i="2" s="1"/>
  <c r="B18" i="2"/>
  <c r="F12" i="77"/>
  <c r="F21" i="77" s="1"/>
  <c r="H146" i="80"/>
  <c r="H147" i="80"/>
  <c r="E132" i="80"/>
  <c r="E138" i="80" s="1"/>
  <c r="H134" i="80"/>
  <c r="H148" i="80"/>
  <c r="G137" i="80"/>
  <c r="H138" i="80"/>
  <c r="H135" i="80"/>
  <c r="H136" i="80"/>
  <c r="G42" i="80"/>
  <c r="D12" i="80"/>
  <c r="B23" i="52" s="1"/>
  <c r="E137" i="80"/>
  <c r="H109" i="80"/>
  <c r="I109" i="80" s="1"/>
  <c r="H133" i="80"/>
  <c r="H142" i="80"/>
  <c r="H31" i="80"/>
  <c r="I31" i="80" s="1"/>
  <c r="E136" i="80"/>
  <c r="H143" i="80"/>
  <c r="E133" i="80"/>
  <c r="H115" i="80"/>
  <c r="I115" i="80" s="1"/>
  <c r="H53" i="80"/>
  <c r="I53" i="80" s="1"/>
  <c r="H83" i="80"/>
  <c r="I83" i="80" s="1"/>
  <c r="D96" i="80"/>
  <c r="D89" i="80" s="1"/>
  <c r="H132" i="80"/>
  <c r="H54" i="80"/>
  <c r="I54" i="80" s="1"/>
  <c r="H17" i="80"/>
  <c r="I17" i="80" s="1"/>
  <c r="I84" i="80"/>
  <c r="E135" i="80"/>
  <c r="H90" i="80"/>
  <c r="I90" i="80" s="1"/>
  <c r="H139" i="80"/>
  <c r="G132" i="80"/>
  <c r="G138" i="80" s="1"/>
  <c r="H116" i="80"/>
  <c r="I116" i="80" s="1"/>
  <c r="H32" i="80"/>
  <c r="I32" i="80" s="1"/>
  <c r="E134" i="80"/>
  <c r="H152" i="80"/>
  <c r="H145" i="80"/>
  <c r="G134" i="80"/>
  <c r="H57" i="80"/>
  <c r="I57" i="80" s="1"/>
  <c r="B9" i="51" l="1"/>
  <c r="X23" i="53"/>
  <c r="E9" i="29"/>
  <c r="E29" i="29" s="1"/>
  <c r="H9" i="80"/>
  <c r="I9" i="80" s="1"/>
  <c r="D7" i="28"/>
  <c r="E9" i="68"/>
  <c r="I9" i="68" s="1"/>
  <c r="G9" i="68" s="1"/>
  <c r="M9" i="68"/>
  <c r="N9" i="68" s="1"/>
  <c r="D7" i="69"/>
  <c r="B9" i="2"/>
  <c r="D9" i="46"/>
  <c r="F9" i="46" s="1"/>
  <c r="D120" i="80"/>
  <c r="B26" i="52"/>
  <c r="B21" i="52"/>
  <c r="D23" i="52"/>
  <c r="D21" i="52" s="1"/>
  <c r="H56" i="80"/>
  <c r="I56" i="80" s="1"/>
  <c r="I135" i="80"/>
  <c r="I136" i="80"/>
  <c r="G108" i="80"/>
  <c r="G104" i="80"/>
  <c r="G95" i="80"/>
  <c r="G87" i="80"/>
  <c r="G113" i="80"/>
  <c r="G100" i="80"/>
  <c r="H12" i="80"/>
  <c r="I12" i="80" s="1"/>
  <c r="I133" i="80"/>
  <c r="G37" i="80"/>
  <c r="G77" i="80"/>
  <c r="G82" i="80"/>
  <c r="G60" i="80"/>
  <c r="G72" i="80"/>
  <c r="G30" i="80"/>
  <c r="M30" i="80"/>
  <c r="G16" i="80"/>
  <c r="M16" i="80"/>
  <c r="I137" i="80"/>
  <c r="I132" i="80"/>
  <c r="I138" i="80"/>
  <c r="M31" i="80"/>
  <c r="G41" i="80"/>
  <c r="G89" i="80"/>
  <c r="M57" i="80"/>
  <c r="G96" i="80"/>
  <c r="G53" i="80"/>
  <c r="M115" i="80"/>
  <c r="G116" i="80"/>
  <c r="G84" i="80"/>
  <c r="M84" i="80"/>
  <c r="G17" i="80"/>
  <c r="G115" i="80"/>
  <c r="M83" i="80"/>
  <c r="G90" i="80"/>
  <c r="M17" i="80"/>
  <c r="M56" i="80"/>
  <c r="G83" i="80"/>
  <c r="G54" i="80"/>
  <c r="G57" i="80"/>
  <c r="M53" i="80"/>
  <c r="G56" i="80"/>
  <c r="M96" i="80"/>
  <c r="M116" i="80"/>
  <c r="G20" i="80"/>
  <c r="G12" i="80"/>
  <c r="H96" i="80"/>
  <c r="I96" i="80" s="1"/>
  <c r="G114" i="80"/>
  <c r="M114" i="80"/>
  <c r="H114" i="80"/>
  <c r="I114" i="80" s="1"/>
  <c r="M90" i="80"/>
  <c r="M12" i="80"/>
  <c r="I134" i="80"/>
  <c r="M66" i="80"/>
  <c r="G80" i="80"/>
  <c r="G22" i="80"/>
  <c r="G50" i="80"/>
  <c r="G28" i="80"/>
  <c r="M9" i="80"/>
  <c r="G27" i="80"/>
  <c r="M106" i="80"/>
  <c r="M91" i="80"/>
  <c r="M8" i="80"/>
  <c r="M11" i="80"/>
  <c r="M110" i="80"/>
  <c r="M27" i="80"/>
  <c r="M13" i="80"/>
  <c r="G59" i="80"/>
  <c r="M118" i="80"/>
  <c r="G33" i="80"/>
  <c r="G69" i="80"/>
  <c r="G97" i="80"/>
  <c r="G62" i="80"/>
  <c r="G13" i="80"/>
  <c r="M34" i="80"/>
  <c r="M85" i="80"/>
  <c r="M79" i="80"/>
  <c r="M33" i="80"/>
  <c r="G112" i="80"/>
  <c r="M117" i="80"/>
  <c r="G40" i="80"/>
  <c r="G66" i="80"/>
  <c r="G106" i="80"/>
  <c r="M50" i="80"/>
  <c r="G43" i="80"/>
  <c r="G99" i="80"/>
  <c r="M63" i="80"/>
  <c r="M74" i="80"/>
  <c r="M97" i="80"/>
  <c r="M76" i="80"/>
  <c r="M51" i="80"/>
  <c r="G119" i="80"/>
  <c r="M109" i="80"/>
  <c r="M64" i="80"/>
  <c r="M46" i="80"/>
  <c r="G51" i="80"/>
  <c r="M104" i="80"/>
  <c r="M78" i="80"/>
  <c r="M99" i="80"/>
  <c r="M107" i="80"/>
  <c r="M94" i="80"/>
  <c r="M61" i="80"/>
  <c r="G74" i="80"/>
  <c r="M111" i="80"/>
  <c r="M36" i="80"/>
  <c r="M67" i="80"/>
  <c r="M70" i="80"/>
  <c r="M22" i="80"/>
  <c r="M68" i="80"/>
  <c r="M128" i="80"/>
  <c r="M81" i="80"/>
  <c r="M39" i="80"/>
  <c r="G118" i="80"/>
  <c r="M47" i="80"/>
  <c r="G93" i="80"/>
  <c r="G10" i="80"/>
  <c r="G63" i="80"/>
  <c r="M28" i="80"/>
  <c r="G78" i="80"/>
  <c r="G23" i="80"/>
  <c r="G75" i="80"/>
  <c r="G92" i="80"/>
  <c r="G45" i="80"/>
  <c r="G117" i="80"/>
  <c r="G18" i="80"/>
  <c r="G64" i="80"/>
  <c r="G91" i="80"/>
  <c r="G39" i="80"/>
  <c r="M92" i="80"/>
  <c r="M38" i="80"/>
  <c r="G49" i="80"/>
  <c r="M21" i="80"/>
  <c r="M69" i="80"/>
  <c r="M45" i="80"/>
  <c r="M119" i="80"/>
  <c r="G32" i="80"/>
  <c r="M25" i="80"/>
  <c r="M40" i="80"/>
  <c r="M48" i="80"/>
  <c r="G34" i="80"/>
  <c r="G110" i="80"/>
  <c r="M105" i="80"/>
  <c r="G68" i="80"/>
  <c r="G111" i="80"/>
  <c r="M23" i="80"/>
  <c r="G15" i="80"/>
  <c r="G48" i="80"/>
  <c r="G98" i="80"/>
  <c r="G105" i="80"/>
  <c r="M14" i="80"/>
  <c r="G44" i="80"/>
  <c r="M26" i="80"/>
  <c r="G61" i="80"/>
  <c r="G79" i="80"/>
  <c r="G9" i="80"/>
  <c r="G21" i="80"/>
  <c r="M75" i="80"/>
  <c r="G94" i="80"/>
  <c r="G71" i="80"/>
  <c r="M24" i="80"/>
  <c r="M10" i="80"/>
  <c r="M29" i="80"/>
  <c r="M112" i="80"/>
  <c r="M86" i="80"/>
  <c r="G85" i="80"/>
  <c r="G73" i="80"/>
  <c r="G26" i="80"/>
  <c r="M71" i="80"/>
  <c r="G55" i="80"/>
  <c r="M49" i="80"/>
  <c r="G38" i="80"/>
  <c r="M54" i="80"/>
  <c r="M44" i="80"/>
  <c r="M98" i="80"/>
  <c r="G46" i="80"/>
  <c r="G36" i="80"/>
  <c r="G24" i="80"/>
  <c r="M73" i="80"/>
  <c r="G107" i="80"/>
  <c r="G67" i="80"/>
  <c r="G14" i="80"/>
  <c r="G86" i="80"/>
  <c r="M35" i="80"/>
  <c r="G81" i="80"/>
  <c r="G11" i="80"/>
  <c r="G70" i="80"/>
  <c r="M43" i="80"/>
  <c r="M15" i="80"/>
  <c r="M59" i="80"/>
  <c r="G29" i="80"/>
  <c r="M58" i="80"/>
  <c r="M18" i="80"/>
  <c r="M55" i="80"/>
  <c r="M32" i="80"/>
  <c r="G25" i="80"/>
  <c r="G109" i="80"/>
  <c r="G65" i="80"/>
  <c r="M65" i="80"/>
  <c r="M80" i="80"/>
  <c r="G58" i="80"/>
  <c r="G47" i="80"/>
  <c r="M20" i="80"/>
  <c r="M93" i="80"/>
  <c r="G76" i="80"/>
  <c r="G35" i="80"/>
  <c r="M62" i="80"/>
  <c r="G31" i="80"/>
  <c r="H89" i="80"/>
  <c r="I89" i="80" s="1"/>
  <c r="M89" i="80"/>
  <c r="G120" i="80"/>
  <c r="D8" i="80"/>
  <c r="H43" i="80"/>
  <c r="I43" i="80" s="1"/>
  <c r="F16" i="53" l="1"/>
  <c r="Y16" i="53" s="1"/>
  <c r="E42" i="80"/>
  <c r="E120" i="80"/>
  <c r="E102" i="80"/>
  <c r="L103" i="80"/>
  <c r="E19" i="80"/>
  <c r="E103" i="80"/>
  <c r="L102" i="80"/>
  <c r="E101" i="80"/>
  <c r="L101" i="80"/>
  <c r="H52" i="80"/>
  <c r="I52" i="80" s="1"/>
  <c r="B28" i="52"/>
  <c r="F17" i="53"/>
  <c r="Y17" i="53" s="1"/>
  <c r="L108" i="80"/>
  <c r="L82" i="80"/>
  <c r="L72" i="80"/>
  <c r="L60" i="80"/>
  <c r="L100" i="80"/>
  <c r="L95" i="80"/>
  <c r="L87" i="80"/>
  <c r="L77" i="80"/>
  <c r="L113" i="80"/>
  <c r="L42" i="80"/>
  <c r="L30" i="80"/>
  <c r="L37" i="80"/>
  <c r="E100" i="80"/>
  <c r="E104" i="80"/>
  <c r="E108" i="80"/>
  <c r="E95" i="80"/>
  <c r="E87" i="80"/>
  <c r="E113" i="80"/>
  <c r="E77" i="80"/>
  <c r="E82" i="80"/>
  <c r="E60" i="80"/>
  <c r="E72" i="80"/>
  <c r="M52" i="80"/>
  <c r="G52" i="80"/>
  <c r="E30" i="80"/>
  <c r="E37" i="80"/>
  <c r="L16" i="80"/>
  <c r="E16" i="80"/>
  <c r="E41" i="80"/>
  <c r="G150" i="80"/>
  <c r="E151" i="80"/>
  <c r="G147" i="80"/>
  <c r="E147" i="80"/>
  <c r="G148" i="80"/>
  <c r="E146" i="80"/>
  <c r="E148" i="80"/>
  <c r="G149" i="80"/>
  <c r="G146" i="80"/>
  <c r="G152" i="80" s="1"/>
  <c r="E150" i="80"/>
  <c r="G151" i="80"/>
  <c r="E149" i="80"/>
  <c r="H120" i="80"/>
  <c r="I120" i="80" s="1"/>
  <c r="M120" i="80"/>
  <c r="E43" i="80"/>
  <c r="L43" i="80"/>
  <c r="E48" i="80"/>
  <c r="L62" i="80"/>
  <c r="L80" i="80"/>
  <c r="L69" i="80"/>
  <c r="L36" i="80"/>
  <c r="L116" i="80"/>
  <c r="L89" i="80"/>
  <c r="E54" i="80"/>
  <c r="E73" i="80"/>
  <c r="E47" i="80"/>
  <c r="E96" i="80"/>
  <c r="L85" i="80"/>
  <c r="E51" i="80"/>
  <c r="L9" i="80"/>
  <c r="L118" i="80"/>
  <c r="E99" i="80"/>
  <c r="L57" i="80"/>
  <c r="E49" i="80"/>
  <c r="E112" i="80"/>
  <c r="E25" i="80"/>
  <c r="L49" i="80"/>
  <c r="L64" i="80"/>
  <c r="E9" i="80"/>
  <c r="L28" i="80"/>
  <c r="L119" i="80"/>
  <c r="E15" i="80"/>
  <c r="L51" i="80"/>
  <c r="E46" i="80"/>
  <c r="E69" i="80"/>
  <c r="E76" i="80"/>
  <c r="E22" i="80"/>
  <c r="E105" i="80"/>
  <c r="E63" i="80"/>
  <c r="L120" i="80"/>
  <c r="E62" i="80"/>
  <c r="L75" i="80"/>
  <c r="L96" i="80"/>
  <c r="E64" i="80"/>
  <c r="E18" i="80"/>
  <c r="E110" i="80"/>
  <c r="E90" i="80"/>
  <c r="E39" i="80"/>
  <c r="E111" i="80"/>
  <c r="L23" i="80"/>
  <c r="E68" i="80"/>
  <c r="E118" i="80"/>
  <c r="L91" i="80"/>
  <c r="L128" i="80"/>
  <c r="L52" i="80"/>
  <c r="L68" i="80"/>
  <c r="E35" i="80"/>
  <c r="L40" i="80"/>
  <c r="E61" i="80"/>
  <c r="E12" i="80"/>
  <c r="E80" i="80"/>
  <c r="E106" i="80"/>
  <c r="E31" i="80"/>
  <c r="E33" i="80"/>
  <c r="E67" i="80"/>
  <c r="L73" i="80"/>
  <c r="L47" i="80"/>
  <c r="L10" i="80"/>
  <c r="E89" i="80"/>
  <c r="E34" i="80"/>
  <c r="E14" i="80"/>
  <c r="L99" i="80"/>
  <c r="L90" i="80"/>
  <c r="E40" i="80"/>
  <c r="L29" i="80"/>
  <c r="E83" i="80"/>
  <c r="E58" i="80"/>
  <c r="L97" i="80"/>
  <c r="L45" i="80"/>
  <c r="L46" i="80"/>
  <c r="L31" i="80"/>
  <c r="L48" i="80"/>
  <c r="E86" i="80"/>
  <c r="L13" i="80"/>
  <c r="L11" i="80"/>
  <c r="L17" i="80"/>
  <c r="L105" i="80"/>
  <c r="E53" i="80"/>
  <c r="E119" i="80"/>
  <c r="L114" i="80"/>
  <c r="L79" i="80"/>
  <c r="L53" i="80"/>
  <c r="E79" i="80"/>
  <c r="E50" i="80"/>
  <c r="E115" i="80"/>
  <c r="L38" i="80"/>
  <c r="E70" i="80"/>
  <c r="E20" i="80"/>
  <c r="L109" i="80"/>
  <c r="E17" i="80"/>
  <c r="E81" i="80"/>
  <c r="E32" i="80"/>
  <c r="E78" i="80"/>
  <c r="E85" i="80"/>
  <c r="L83" i="80"/>
  <c r="L59" i="80"/>
  <c r="L93" i="80"/>
  <c r="L104" i="80"/>
  <c r="L33" i="80"/>
  <c r="E29" i="80"/>
  <c r="E107" i="80"/>
  <c r="E28" i="80"/>
  <c r="L25" i="80"/>
  <c r="E38" i="80"/>
  <c r="E56" i="80"/>
  <c r="L50" i="80"/>
  <c r="E59" i="80"/>
  <c r="D88" i="80"/>
  <c r="D121" i="80" s="1"/>
  <c r="E121" i="80" s="1"/>
  <c r="L12" i="80"/>
  <c r="L22" i="80"/>
  <c r="L26" i="80"/>
  <c r="E10" i="80"/>
  <c r="L115" i="80"/>
  <c r="L78" i="80"/>
  <c r="E55" i="80"/>
  <c r="E92" i="80"/>
  <c r="E13" i="80"/>
  <c r="L71" i="80"/>
  <c r="E93" i="80"/>
  <c r="L39" i="80"/>
  <c r="E117" i="80"/>
  <c r="E23" i="80"/>
  <c r="L92" i="80"/>
  <c r="L98" i="80"/>
  <c r="L14" i="80"/>
  <c r="E45" i="80"/>
  <c r="L24" i="80"/>
  <c r="E75" i="80"/>
  <c r="E71" i="80"/>
  <c r="E84" i="80"/>
  <c r="E91" i="80"/>
  <c r="L20" i="80"/>
  <c r="L27" i="80"/>
  <c r="L81" i="80"/>
  <c r="L106" i="80"/>
  <c r="L61" i="80"/>
  <c r="L94" i="80"/>
  <c r="L112" i="80"/>
  <c r="E36" i="80"/>
  <c r="L55" i="80"/>
  <c r="L8" i="80"/>
  <c r="L58" i="80"/>
  <c r="E57" i="80"/>
  <c r="E66" i="80"/>
  <c r="H8" i="80"/>
  <c r="I8" i="80" s="1"/>
  <c r="L65" i="80"/>
  <c r="L74" i="80"/>
  <c r="E114" i="80"/>
  <c r="L76" i="80"/>
  <c r="L15" i="80"/>
  <c r="E74" i="80"/>
  <c r="E98" i="80"/>
  <c r="L84" i="80"/>
  <c r="L32" i="80"/>
  <c r="L67" i="80"/>
  <c r="E97" i="80"/>
  <c r="L54" i="80"/>
  <c r="E21" i="80"/>
  <c r="L34" i="80"/>
  <c r="L110" i="80"/>
  <c r="E11" i="80"/>
  <c r="E26" i="80"/>
  <c r="L111" i="80"/>
  <c r="L70" i="80"/>
  <c r="E94" i="80"/>
  <c r="L21" i="80"/>
  <c r="E27" i="80"/>
  <c r="L86" i="80"/>
  <c r="L66" i="80"/>
  <c r="E116" i="80"/>
  <c r="E109" i="80"/>
  <c r="E24" i="80"/>
  <c r="L56" i="80"/>
  <c r="L18" i="80"/>
  <c r="L117" i="80"/>
  <c r="E52" i="80"/>
  <c r="L107" i="80"/>
  <c r="L35" i="80"/>
  <c r="L63" i="80"/>
  <c r="E65" i="80"/>
  <c r="L44" i="80"/>
  <c r="E44" i="80"/>
  <c r="B33" i="52" l="1"/>
  <c r="B32" i="52"/>
  <c r="B31" i="52"/>
  <c r="C31" i="52" s="1"/>
  <c r="B29" i="52"/>
  <c r="B30" i="52"/>
  <c r="C30" i="52" s="1"/>
  <c r="C29" i="52"/>
  <c r="C33" i="52"/>
  <c r="F20" i="53"/>
  <c r="Y20" i="53" s="1"/>
  <c r="D28" i="52"/>
  <c r="Y18" i="53"/>
  <c r="F18" i="53"/>
  <c r="C32" i="52"/>
  <c r="M88" i="80"/>
  <c r="G88" i="80"/>
  <c r="I147" i="80"/>
  <c r="I150" i="80"/>
  <c r="I151" i="80"/>
  <c r="I149" i="80"/>
  <c r="I148" i="80"/>
  <c r="E152" i="80"/>
  <c r="I152" i="80" s="1"/>
  <c r="I146" i="80"/>
  <c r="M121" i="80"/>
  <c r="G121" i="80"/>
  <c r="G141" i="80"/>
  <c r="E143" i="80"/>
  <c r="G140" i="80"/>
  <c r="E142" i="80"/>
  <c r="G139" i="80"/>
  <c r="G145" i="80" s="1"/>
  <c r="G143" i="80"/>
  <c r="E141" i="80"/>
  <c r="L88" i="80"/>
  <c r="H88" i="80"/>
  <c r="I88" i="80" s="1"/>
  <c r="E88" i="80"/>
  <c r="E144" i="80"/>
  <c r="E139" i="80"/>
  <c r="G144" i="80"/>
  <c r="E140" i="80"/>
  <c r="G142" i="80"/>
  <c r="D29" i="52" l="1"/>
  <c r="F29" i="52" s="1"/>
  <c r="D32" i="52"/>
  <c r="F32" i="52" s="1"/>
  <c r="E28" i="52"/>
  <c r="D30" i="52"/>
  <c r="F30" i="52" s="1"/>
  <c r="C34" i="52"/>
  <c r="B34" i="52"/>
  <c r="D31" i="52"/>
  <c r="F31" i="52" s="1"/>
  <c r="D33" i="52"/>
  <c r="F33" i="52" s="1"/>
  <c r="Y22" i="53"/>
  <c r="Y23" i="53" s="1"/>
  <c r="F22" i="53"/>
  <c r="F23" i="53" s="1"/>
  <c r="I143" i="80"/>
  <c r="I141" i="80"/>
  <c r="L121" i="80"/>
  <c r="H121" i="80"/>
  <c r="I121" i="80" s="1"/>
  <c r="I140" i="80"/>
  <c r="I139" i="80"/>
  <c r="E145" i="80"/>
  <c r="I145" i="80" s="1"/>
  <c r="I144" i="80"/>
  <c r="I142" i="80"/>
  <c r="F34" i="52" l="1"/>
  <c r="D34" i="5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李正心</author>
  </authors>
  <commentList>
    <comment ref="D12" authorId="0" shapeId="0" xr:uid="{00000000-0006-0000-1200-000001000000}">
      <text>
        <r>
          <rPr>
            <b/>
            <sz val="9"/>
            <color indexed="81"/>
            <rFont val="細明體"/>
            <family val="3"/>
            <charset val="136"/>
          </rPr>
          <t>公告費</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1059</author>
    <author>李正心</author>
  </authors>
  <commentList>
    <comment ref="C16" authorId="0" shapeId="0" xr:uid="{00000000-0006-0000-1800-000001000000}">
      <text>
        <r>
          <rPr>
            <b/>
            <sz val="9"/>
            <color indexed="81"/>
            <rFont val="新細明體"/>
            <family val="1"/>
            <charset val="136"/>
          </rPr>
          <t>1059:</t>
        </r>
        <r>
          <rPr>
            <sz val="9"/>
            <color indexed="81"/>
            <rFont val="新細明體"/>
            <family val="1"/>
            <charset val="136"/>
          </rPr>
          <t xml:space="preserve">
利息費用應於說明中詳列貸款機關.借款種類及用途.額度.計息本金.利率及計息期間</t>
        </r>
      </text>
    </comment>
    <comment ref="A20" authorId="1" shapeId="0" xr:uid="{00000000-0006-0000-1800-000002000000}">
      <text>
        <r>
          <rPr>
            <b/>
            <sz val="9"/>
            <color indexed="81"/>
            <rFont val="細明體"/>
            <family val="3"/>
            <charset val="136"/>
          </rPr>
          <t>尾差+1</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李正心</author>
  </authors>
  <commentList>
    <comment ref="A5" authorId="0" shapeId="0" xr:uid="{00000000-0006-0000-2300-000001000000}">
      <text>
        <r>
          <rPr>
            <b/>
            <sz val="9"/>
            <color indexed="81"/>
            <rFont val="Tahoma"/>
            <family val="2"/>
          </rPr>
          <t>0401</t>
        </r>
        <r>
          <rPr>
            <b/>
            <sz val="9"/>
            <color indexed="81"/>
            <rFont val="細明體"/>
            <family val="3"/>
            <charset val="136"/>
          </rPr>
          <t>院編</t>
        </r>
        <r>
          <rPr>
            <b/>
            <sz val="9"/>
            <color indexed="81"/>
            <rFont val="Tahoma"/>
            <family val="2"/>
          </rPr>
          <t xml:space="preserve"> OK</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李正心</author>
  </authors>
  <commentList>
    <comment ref="A6" authorId="0" shapeId="0" xr:uid="{00000000-0006-0000-2900-000001000000}">
      <text>
        <r>
          <rPr>
            <b/>
            <sz val="9"/>
            <color indexed="81"/>
            <rFont val="細明體"/>
            <family val="3"/>
            <charset val="136"/>
          </rPr>
          <t>已經重分類</t>
        </r>
      </text>
    </comment>
    <comment ref="B6" authorId="0" shapeId="0" xr:uid="{00000000-0006-0000-2900-000002000000}">
      <text>
        <r>
          <rPr>
            <b/>
            <sz val="9"/>
            <color indexed="81"/>
            <rFont val="細明體"/>
            <family val="3"/>
            <charset val="136"/>
          </rPr>
          <t>已經重分類</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李正心</author>
  </authors>
  <commentList>
    <comment ref="A10" authorId="0" shapeId="0" xr:uid="{00000000-0006-0000-3200-000001000000}">
      <text>
        <r>
          <rPr>
            <b/>
            <sz val="9"/>
            <color indexed="81"/>
            <rFont val="細明體"/>
            <family val="3"/>
            <charset val="136"/>
          </rPr>
          <t>勞安所</t>
        </r>
      </text>
    </comment>
    <comment ref="A22" authorId="0" shapeId="0" xr:uid="{00000000-0006-0000-3200-000002000000}">
      <text>
        <r>
          <rPr>
            <b/>
            <sz val="9"/>
            <color indexed="81"/>
            <rFont val="細明體"/>
            <family val="3"/>
            <charset val="136"/>
          </rPr>
          <t>勞安所</t>
        </r>
      </text>
    </comment>
    <comment ref="A23" authorId="0" shapeId="0" xr:uid="{00000000-0006-0000-3200-000003000000}">
      <text>
        <r>
          <rPr>
            <b/>
            <sz val="9"/>
            <color indexed="81"/>
            <rFont val="細明體"/>
            <family val="3"/>
            <charset val="136"/>
          </rPr>
          <t>勞安所</t>
        </r>
      </text>
    </comment>
    <comment ref="A30" authorId="0" shapeId="0" xr:uid="{00000000-0006-0000-3200-000004000000}">
      <text>
        <r>
          <rPr>
            <b/>
            <sz val="9"/>
            <color indexed="81"/>
            <rFont val="細明體"/>
            <family val="3"/>
            <charset val="136"/>
          </rPr>
          <t>勞安所</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王瓊瑤</author>
  </authors>
  <commentList>
    <comment ref="I32" authorId="0" shapeId="0" xr:uid="{00000000-0006-0000-3900-000001000000}">
      <text>
        <r>
          <rPr>
            <b/>
            <sz val="9"/>
            <color indexed="81"/>
            <rFont val="細明體"/>
            <family val="3"/>
            <charset val="136"/>
          </rPr>
          <t>王瓊瑤</t>
        </r>
        <r>
          <rPr>
            <b/>
            <sz val="9"/>
            <color indexed="81"/>
            <rFont val="Tahoma"/>
            <family val="2"/>
          </rPr>
          <t>:</t>
        </r>
        <r>
          <rPr>
            <sz val="9"/>
            <color indexed="81"/>
            <rFont val="Tahoma"/>
            <family val="2"/>
          </rPr>
          <t xml:space="preserve">
</t>
        </r>
        <r>
          <rPr>
            <sz val="9"/>
            <color indexed="81"/>
            <rFont val="細明體"/>
            <family val="3"/>
            <charset val="136"/>
          </rPr>
          <t xml:space="preserve">無公式
</t>
        </r>
      </text>
    </comment>
    <comment ref="I34" authorId="0" shapeId="0" xr:uid="{00000000-0006-0000-3900-000002000000}">
      <text>
        <r>
          <rPr>
            <b/>
            <sz val="9"/>
            <color indexed="81"/>
            <rFont val="細明體"/>
            <family val="3"/>
            <charset val="136"/>
          </rPr>
          <t>王瓊瑤</t>
        </r>
        <r>
          <rPr>
            <b/>
            <sz val="9"/>
            <color indexed="81"/>
            <rFont val="Tahoma"/>
            <family val="2"/>
          </rPr>
          <t>:</t>
        </r>
        <r>
          <rPr>
            <sz val="9"/>
            <color indexed="81"/>
            <rFont val="Tahoma"/>
            <family val="2"/>
          </rPr>
          <t xml:space="preserve">
</t>
        </r>
        <r>
          <rPr>
            <sz val="9"/>
            <color indexed="81"/>
            <rFont val="細明體"/>
            <family val="3"/>
            <charset val="136"/>
          </rPr>
          <t xml:space="preserve">無公式
</t>
        </r>
      </text>
    </comment>
    <comment ref="I35" authorId="0" shapeId="0" xr:uid="{00000000-0006-0000-3900-000003000000}">
      <text>
        <r>
          <rPr>
            <b/>
            <sz val="9"/>
            <color indexed="81"/>
            <rFont val="細明體"/>
            <family val="3"/>
            <charset val="136"/>
          </rPr>
          <t>王瓊瑤</t>
        </r>
        <r>
          <rPr>
            <b/>
            <sz val="9"/>
            <color indexed="81"/>
            <rFont val="Tahoma"/>
            <family val="2"/>
          </rPr>
          <t>:</t>
        </r>
        <r>
          <rPr>
            <sz val="9"/>
            <color indexed="81"/>
            <rFont val="Tahoma"/>
            <family val="2"/>
          </rPr>
          <t xml:space="preserve">
</t>
        </r>
        <r>
          <rPr>
            <sz val="9"/>
            <color indexed="81"/>
            <rFont val="細明體"/>
            <family val="3"/>
            <charset val="136"/>
          </rPr>
          <t xml:space="preserve">沒公式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李正心</author>
  </authors>
  <commentList>
    <comment ref="A5" authorId="0" shapeId="0" xr:uid="{00000000-0006-0000-3B00-000001000000}">
      <text>
        <r>
          <rPr>
            <b/>
            <sz val="9"/>
            <color indexed="81"/>
            <rFont val="細明體"/>
            <family val="3"/>
            <charset val="136"/>
          </rPr>
          <t>普通ONLY</t>
        </r>
      </text>
    </comment>
  </commentList>
</comments>
</file>

<file path=xl/sharedStrings.xml><?xml version="1.0" encoding="utf-8"?>
<sst xmlns="http://schemas.openxmlformats.org/spreadsheetml/2006/main" count="2460" uniqueCount="1572">
  <si>
    <t>　  呆帳</t>
    <phoneticPr fontId="6" type="noConversion"/>
  </si>
  <si>
    <r>
      <t>5</t>
    </r>
    <r>
      <rPr>
        <sz val="18"/>
        <rFont val="標楷體"/>
        <family val="4"/>
        <charset val="136"/>
      </rPr>
      <t>年來主要營運項目分析表</t>
    </r>
    <phoneticPr fontId="6" type="noConversion"/>
  </si>
  <si>
    <t>前年度決算數</t>
    <phoneticPr fontId="6" type="noConversion"/>
  </si>
  <si>
    <t>本年度預算數</t>
  </si>
  <si>
    <t>前年度決算數</t>
  </si>
  <si>
    <t>上年度預算數</t>
  </si>
  <si>
    <t>科目及業務計畫項目</t>
  </si>
  <si>
    <t>　  保險給付</t>
    <phoneticPr fontId="6" type="noConversion"/>
  </si>
  <si>
    <t>％</t>
  </si>
  <si>
    <t>-</t>
  </si>
  <si>
    <t xml:space="preserve"> </t>
  </si>
  <si>
    <t>　  提存責任準備</t>
    <phoneticPr fontId="6" type="noConversion"/>
  </si>
  <si>
    <t>保險成本明細表</t>
    <phoneticPr fontId="6" type="noConversion"/>
  </si>
  <si>
    <t>保險成本</t>
    <phoneticPr fontId="6" type="noConversion"/>
  </si>
  <si>
    <t>-</t>
    <phoneticPr fontId="6" type="noConversion"/>
  </si>
  <si>
    <t>科　　　目</t>
  </si>
  <si>
    <t>業務收入</t>
  </si>
  <si>
    <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6" type="noConversion"/>
  </si>
  <si>
    <t>負債</t>
    <phoneticPr fontId="6" type="noConversion"/>
  </si>
  <si>
    <t>　職業災害勞工保護</t>
    <phoneticPr fontId="6" type="noConversion"/>
  </si>
  <si>
    <t>　什項資產</t>
    <phoneticPr fontId="6" type="noConversion"/>
  </si>
  <si>
    <t>　應付款項</t>
    <phoneticPr fontId="6" type="noConversion"/>
  </si>
  <si>
    <t>　預收款項</t>
    <phoneticPr fontId="6" type="noConversion"/>
  </si>
  <si>
    <t>　負債準備</t>
    <phoneticPr fontId="6" type="noConversion"/>
  </si>
  <si>
    <t>　什項負債</t>
    <phoneticPr fontId="6" type="noConversion"/>
  </si>
  <si>
    <t>　累積賸餘</t>
    <phoneticPr fontId="6" type="noConversion"/>
  </si>
  <si>
    <t>業務外費用</t>
    <phoneticPr fontId="6" type="noConversion"/>
  </si>
  <si>
    <t>　　　    普通事故</t>
    <phoneticPr fontId="6" type="noConversion"/>
  </si>
  <si>
    <t>　勞工保險</t>
    <phoneticPr fontId="6" type="noConversion"/>
  </si>
  <si>
    <t>　就業保險</t>
    <phoneticPr fontId="6" type="noConversion"/>
  </si>
  <si>
    <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6" type="noConversion"/>
  </si>
  <si>
    <t>上年度預算數</t>
    <phoneticPr fontId="6" type="noConversion"/>
  </si>
  <si>
    <t>合計</t>
    <phoneticPr fontId="6" type="noConversion"/>
  </si>
  <si>
    <t>　　  短絀、賠償與保險給付</t>
    <phoneticPr fontId="6" type="noConversion"/>
  </si>
  <si>
    <t>　　　  保險給付</t>
    <phoneticPr fontId="6" type="noConversion"/>
  </si>
  <si>
    <t>　　　  提存</t>
    <phoneticPr fontId="6" type="noConversion"/>
  </si>
  <si>
    <t>　　　  各項短絀</t>
    <phoneticPr fontId="6" type="noConversion"/>
  </si>
  <si>
    <t>無形資產</t>
    <phoneticPr fontId="6" type="noConversion"/>
  </si>
  <si>
    <t>　無形資產</t>
    <phoneticPr fontId="6" type="noConversion"/>
  </si>
  <si>
    <r>
      <rPr>
        <sz val="12"/>
        <rFont val="標楷體"/>
        <family val="4"/>
        <charset val="136"/>
      </rPr>
      <t>係申請人溢領保險給付，經函請退還溢領款項，逾期未繳還經移送行政執行署依法執行後，依當年度</t>
    </r>
    <r>
      <rPr>
        <sz val="12"/>
        <rFont val="Times New Roman"/>
        <family val="1"/>
      </rPr>
      <t>1</t>
    </r>
    <r>
      <rPr>
        <sz val="12"/>
        <rFont val="標楷體"/>
        <family val="4"/>
        <charset val="136"/>
      </rPr>
      <t>月</t>
    </r>
    <r>
      <rPr>
        <sz val="12"/>
        <rFont val="Times New Roman"/>
        <family val="1"/>
      </rPr>
      <t>1</t>
    </r>
    <r>
      <rPr>
        <sz val="12"/>
        <rFont val="標楷體"/>
        <family val="4"/>
        <charset val="136"/>
      </rPr>
      <t>日郵政儲金</t>
    </r>
    <r>
      <rPr>
        <sz val="12"/>
        <rFont val="Times New Roman"/>
        <family val="1"/>
      </rPr>
      <t>1</t>
    </r>
    <r>
      <rPr>
        <sz val="12"/>
        <rFont val="標楷體"/>
        <family val="4"/>
        <charset val="136"/>
      </rPr>
      <t>年期定期存款固定利率加計利息所產生之遲延利息。</t>
    </r>
    <phoneticPr fontId="6"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</si>
  <si>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6"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</si>
  <si>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6" type="noConversion"/>
  </si>
  <si>
    <r>
      <rPr>
        <sz val="12"/>
        <rFont val="標楷體"/>
        <family val="4"/>
        <charset val="136"/>
      </rPr>
      <t>項目</t>
    </r>
    <phoneticPr fontId="6" type="noConversion"/>
  </si>
  <si>
    <r>
      <rPr>
        <sz val="12"/>
        <rFont val="標楷體"/>
        <family val="4"/>
        <charset val="136"/>
      </rPr>
      <t>預算數</t>
    </r>
    <phoneticPr fontId="6" type="noConversion"/>
  </si>
  <si>
    <r>
      <rPr>
        <sz val="12"/>
        <rFont val="標楷體"/>
        <family val="4"/>
        <charset val="136"/>
      </rPr>
      <t>說明</t>
    </r>
  </si>
  <si>
    <r>
      <rPr>
        <b/>
        <sz val="12"/>
        <rFont val="標楷體"/>
        <family val="4"/>
        <charset val="136"/>
      </rPr>
      <t>業務活動之現金流量</t>
    </r>
  </si>
  <si>
    <r>
      <rPr>
        <sz val="12"/>
        <rFont val="標楷體"/>
        <family val="4"/>
        <charset val="136"/>
      </rPr>
      <t>千元</t>
    </r>
    <phoneticPr fontId="6" type="noConversion"/>
  </si>
  <si>
    <r>
      <rPr>
        <sz val="12"/>
        <rFont val="標楷體"/>
        <family val="4"/>
        <charset val="136"/>
      </rPr>
      <t>　　</t>
    </r>
    <phoneticPr fontId="6" type="noConversion"/>
  </si>
  <si>
    <r>
      <rPr>
        <b/>
        <sz val="12"/>
        <rFont val="標楷體"/>
        <family val="4"/>
        <charset val="136"/>
      </rPr>
      <t>投資活動之現金流量</t>
    </r>
    <phoneticPr fontId="6" type="noConversion"/>
  </si>
  <si>
    <r>
      <rPr>
        <sz val="12"/>
        <rFont val="標楷體"/>
        <family val="4"/>
        <charset val="136"/>
      </rPr>
      <t>　減少流動金融資產及短期貸墊款</t>
    </r>
    <phoneticPr fontId="6" type="noConversion"/>
  </si>
  <si>
    <r>
      <rPr>
        <sz val="12"/>
        <rFont val="標楷體"/>
        <family val="4"/>
        <charset val="136"/>
      </rPr>
      <t>　增加流動金融資產及短期貸墊款</t>
    </r>
    <phoneticPr fontId="6" type="noConversion"/>
  </si>
  <si>
    <r>
      <rPr>
        <sz val="12"/>
        <rFont val="標楷體"/>
        <family val="4"/>
        <charset val="136"/>
      </rPr>
      <t>　增加投資、長期應收款、貸墊款及準備金</t>
    </r>
    <phoneticPr fontId="6" type="noConversion"/>
  </si>
  <si>
    <r>
      <rPr>
        <sz val="12"/>
        <rFont val="標楷體"/>
        <family val="4"/>
        <charset val="136"/>
      </rPr>
      <t>　增加無形資產、遞延借項及其他資產</t>
    </r>
    <phoneticPr fontId="6" type="noConversion"/>
  </si>
  <si>
    <r>
      <rPr>
        <sz val="12"/>
        <rFont val="標楷體"/>
        <family val="4"/>
        <charset val="136"/>
      </rPr>
      <t>係增加無形資產。</t>
    </r>
    <phoneticPr fontId="6" type="noConversion"/>
  </si>
  <si>
    <r>
      <rPr>
        <b/>
        <sz val="12"/>
        <rFont val="標楷體"/>
        <family val="4"/>
        <charset val="136"/>
      </rPr>
      <t>期初現金及約當現金</t>
    </r>
  </si>
  <si>
    <r>
      <rPr>
        <b/>
        <sz val="12"/>
        <rFont val="標楷體"/>
        <family val="4"/>
        <charset val="136"/>
      </rPr>
      <t>期末現金及約當現金</t>
    </r>
  </si>
  <si>
    <r>
      <rPr>
        <sz val="13"/>
        <rFont val="標楷體"/>
        <family val="4"/>
        <charset val="136"/>
      </rPr>
      <t>三、</t>
    </r>
  </si>
  <si>
    <r>
      <rPr>
        <sz val="12"/>
        <rFont val="標楷體"/>
        <family val="4"/>
        <charset val="136"/>
      </rPr>
      <t>上年度預算數</t>
    </r>
  </si>
  <si>
    <r>
      <rPr>
        <sz val="12"/>
        <rFont val="標楷體"/>
        <family val="4"/>
        <charset val="136"/>
      </rPr>
      <t>本年度預算數</t>
    </r>
  </si>
  <si>
    <r>
      <rPr>
        <sz val="12"/>
        <rFont val="標楷體"/>
        <family val="4"/>
        <charset val="136"/>
      </rPr>
      <t>說　　　明</t>
    </r>
  </si>
  <si>
    <r>
      <rPr>
        <sz val="12"/>
        <rFont val="標楷體"/>
        <family val="4"/>
        <charset val="136"/>
      </rPr>
      <t>金　額</t>
    </r>
  </si>
  <si>
    <r>
      <rPr>
        <sz val="12"/>
        <rFont val="標楷體"/>
        <family val="4"/>
        <charset val="136"/>
      </rPr>
      <t>％</t>
    </r>
  </si>
  <si>
    <r>
      <rPr>
        <sz val="12"/>
        <rFont val="標楷體"/>
        <family val="4"/>
        <charset val="136"/>
      </rPr>
      <t>賸餘之部</t>
    </r>
  </si>
  <si>
    <r>
      <rPr>
        <sz val="12"/>
        <rFont val="標楷體"/>
        <family val="4"/>
        <charset val="136"/>
      </rPr>
      <t>未分配賸餘</t>
    </r>
  </si>
  <si>
    <r>
      <rPr>
        <sz val="12"/>
        <rFont val="標楷體"/>
        <family val="4"/>
        <charset val="136"/>
      </rPr>
      <t>　</t>
    </r>
    <r>
      <rPr>
        <sz val="12"/>
        <rFont val="Times New Roman"/>
        <family val="1"/>
      </rPr>
      <t xml:space="preserve"> </t>
    </r>
  </si>
  <si>
    <r>
      <rPr>
        <sz val="12"/>
        <rFont val="標楷體"/>
        <family val="4"/>
        <charset val="136"/>
      </rPr>
      <t>單位</t>
    </r>
  </si>
  <si>
    <r>
      <rPr>
        <sz val="12"/>
        <rFont val="標楷體"/>
        <family val="4"/>
        <charset val="136"/>
      </rPr>
      <t>預</t>
    </r>
    <r>
      <rPr>
        <sz val="12"/>
        <rFont val="Times New Roman"/>
        <family val="1"/>
      </rPr>
      <t xml:space="preserve"> </t>
    </r>
    <r>
      <rPr>
        <sz val="12"/>
        <rFont val="標楷體"/>
        <family val="4"/>
        <charset val="136"/>
      </rPr>
      <t>算</t>
    </r>
    <r>
      <rPr>
        <sz val="12"/>
        <rFont val="Times New Roman"/>
        <family val="1"/>
      </rPr>
      <t xml:space="preserve"> </t>
    </r>
    <r>
      <rPr>
        <sz val="12"/>
        <rFont val="標楷體"/>
        <family val="4"/>
        <charset val="136"/>
      </rPr>
      <t>數</t>
    </r>
    <phoneticPr fontId="6" type="noConversion"/>
  </si>
  <si>
    <r>
      <rPr>
        <sz val="12"/>
        <rFont val="標楷體"/>
        <family val="4"/>
        <charset val="136"/>
      </rPr>
      <t>數</t>
    </r>
    <r>
      <rPr>
        <sz val="12"/>
        <rFont val="Times New Roman"/>
        <family val="1"/>
      </rPr>
      <t xml:space="preserve">    </t>
    </r>
    <r>
      <rPr>
        <sz val="12"/>
        <rFont val="標楷體"/>
        <family val="4"/>
        <charset val="136"/>
      </rPr>
      <t xml:space="preserve">量
</t>
    </r>
    <r>
      <rPr>
        <sz val="12"/>
        <rFont val="Times New Roman"/>
        <family val="1"/>
      </rPr>
      <t>(</t>
    </r>
    <r>
      <rPr>
        <sz val="12"/>
        <rFont val="標楷體"/>
        <family val="4"/>
        <charset val="136"/>
      </rPr>
      <t>業務量</t>
    </r>
    <r>
      <rPr>
        <sz val="12"/>
        <rFont val="Times New Roman"/>
        <family val="1"/>
      </rPr>
      <t>)</t>
    </r>
    <phoneticPr fontId="6" type="noConversion"/>
  </si>
  <si>
    <r>
      <rPr>
        <sz val="12"/>
        <rFont val="標楷體"/>
        <family val="4"/>
        <charset val="136"/>
      </rPr>
      <t>利</t>
    </r>
    <r>
      <rPr>
        <sz val="12"/>
        <rFont val="Times New Roman"/>
        <family val="1"/>
      </rPr>
      <t>(</t>
    </r>
    <r>
      <rPr>
        <sz val="12"/>
        <rFont val="標楷體"/>
        <family val="4"/>
        <charset val="136"/>
      </rPr>
      <t>費</t>
    </r>
    <r>
      <rPr>
        <sz val="12"/>
        <rFont val="Times New Roman"/>
        <family val="1"/>
      </rPr>
      <t>)</t>
    </r>
    <r>
      <rPr>
        <sz val="12"/>
        <rFont val="標楷體"/>
        <family val="4"/>
        <charset val="136"/>
      </rPr>
      <t>率</t>
    </r>
    <phoneticPr fontId="6" type="noConversion"/>
  </si>
  <si>
    <r>
      <rPr>
        <sz val="12"/>
        <rFont val="標楷體"/>
        <family val="4"/>
        <charset val="136"/>
      </rPr>
      <t>金</t>
    </r>
    <r>
      <rPr>
        <sz val="12"/>
        <rFont val="Times New Roman"/>
        <family val="1"/>
      </rPr>
      <t xml:space="preserve">   </t>
    </r>
    <r>
      <rPr>
        <sz val="12"/>
        <rFont val="標楷體"/>
        <family val="4"/>
        <charset val="136"/>
      </rPr>
      <t>額</t>
    </r>
    <phoneticPr fontId="6" type="noConversion"/>
  </si>
  <si>
    <r>
      <rPr>
        <sz val="12"/>
        <rFont val="標楷體"/>
        <family val="4"/>
        <charset val="136"/>
      </rPr>
      <t>台幣存款及外幣存款。</t>
    </r>
    <phoneticPr fontId="6" type="noConversion"/>
  </si>
  <si>
    <r>
      <rPr>
        <sz val="12"/>
        <rFont val="標楷體"/>
        <family val="4"/>
        <charset val="136"/>
      </rPr>
      <t>本科目全數由勞動部勞工保險局辦理。</t>
    </r>
    <phoneticPr fontId="6" type="noConversion"/>
  </si>
  <si>
    <r>
      <rPr>
        <sz val="12"/>
        <rFont val="標楷體"/>
        <family val="4"/>
        <charset val="136"/>
      </rPr>
      <t>係預估呆帳收回。</t>
    </r>
    <phoneticPr fontId="6" type="noConversion"/>
  </si>
  <si>
    <r>
      <rPr>
        <sz val="12"/>
        <color indexed="8"/>
        <rFont val="標楷體"/>
        <family val="4"/>
        <charset val="136"/>
      </rPr>
      <t>係退保已久投保單位溢繳之保險費。</t>
    </r>
    <phoneticPr fontId="6" type="noConversion"/>
  </si>
  <si>
    <r>
      <rPr>
        <sz val="12"/>
        <rFont val="標楷體"/>
        <family val="4"/>
        <charset val="136"/>
      </rPr>
      <t>前年度決算數</t>
    </r>
  </si>
  <si>
    <r>
      <rPr>
        <sz val="14"/>
        <rFont val="標楷體"/>
        <family val="4"/>
        <charset val="136"/>
      </rPr>
      <t>科</t>
    </r>
    <r>
      <rPr>
        <sz val="14"/>
        <rFont val="Times New Roman"/>
        <family val="1"/>
      </rPr>
      <t xml:space="preserve">  </t>
    </r>
    <r>
      <rPr>
        <sz val="14"/>
        <rFont val="標楷體"/>
        <family val="4"/>
        <charset val="136"/>
      </rPr>
      <t>目</t>
    </r>
    <phoneticPr fontId="6" type="noConversion"/>
  </si>
  <si>
    <r>
      <rPr>
        <sz val="14"/>
        <rFont val="標楷體"/>
        <family val="4"/>
        <charset val="136"/>
      </rPr>
      <t>說</t>
    </r>
    <r>
      <rPr>
        <sz val="14"/>
        <rFont val="Times New Roman"/>
        <family val="1"/>
      </rPr>
      <t xml:space="preserve">   </t>
    </r>
    <r>
      <rPr>
        <sz val="14"/>
        <rFont val="標楷體"/>
        <family val="4"/>
        <charset val="136"/>
      </rPr>
      <t>明</t>
    </r>
    <phoneticPr fontId="6" type="noConversion"/>
  </si>
  <si>
    <r>
      <rPr>
        <sz val="12"/>
        <rFont val="標楷體"/>
        <family val="4"/>
        <charset val="136"/>
      </rPr>
      <t>編列</t>
    </r>
    <r>
      <rPr>
        <sz val="12"/>
        <rFont val="Times New Roman"/>
        <family val="1"/>
      </rPr>
      <t>7</t>
    </r>
    <r>
      <rPr>
        <sz val="12"/>
        <rFont val="標楷體"/>
        <family val="4"/>
        <charset val="136"/>
      </rPr>
      <t>千元，係基金投資之不動產，招租期間之基本水電費等。</t>
    </r>
    <phoneticPr fontId="6" type="noConversion"/>
  </si>
  <si>
    <r>
      <rPr>
        <sz val="12"/>
        <rFont val="標楷體"/>
        <family val="4"/>
        <charset val="136"/>
      </rPr>
      <t>編列</t>
    </r>
    <r>
      <rPr>
        <sz val="12"/>
        <rFont val="Times New Roman"/>
        <family val="1"/>
      </rPr>
      <t>121</t>
    </r>
    <r>
      <rPr>
        <sz val="12"/>
        <rFont val="標楷體"/>
        <family val="4"/>
        <charset val="136"/>
      </rPr>
      <t>千元，係基金投資不動產之保險費用。</t>
    </r>
    <phoneticPr fontId="6" type="noConversion"/>
  </si>
  <si>
    <r>
      <rPr>
        <sz val="12"/>
        <rFont val="標楷體"/>
        <family val="4"/>
        <charset val="136"/>
      </rPr>
      <t>說明</t>
    </r>
    <phoneticPr fontId="6" type="noConversion"/>
  </si>
  <si>
    <r>
      <rPr>
        <sz val="12"/>
        <rFont val="標楷體"/>
        <family val="4"/>
        <charset val="136"/>
      </rPr>
      <t>金額</t>
    </r>
    <phoneticPr fontId="6" type="noConversion"/>
  </si>
  <si>
    <r>
      <rPr>
        <sz val="12"/>
        <rFont val="標楷體"/>
        <family val="4"/>
        <charset val="136"/>
      </rPr>
      <t>科目</t>
    </r>
    <phoneticPr fontId="6" type="noConversion"/>
  </si>
  <si>
    <r>
      <rPr>
        <sz val="12"/>
        <rFont val="標楷體"/>
        <family val="4"/>
        <charset val="136"/>
      </rPr>
      <t>年</t>
    </r>
    <r>
      <rPr>
        <sz val="12"/>
        <rFont val="Times New Roman"/>
        <family val="1"/>
      </rPr>
      <t xml:space="preserve"> </t>
    </r>
    <r>
      <rPr>
        <sz val="12"/>
        <rFont val="標楷體"/>
        <family val="4"/>
        <charset val="136"/>
      </rPr>
      <t>度</t>
    </r>
    <r>
      <rPr>
        <sz val="12"/>
        <rFont val="Times New Roman"/>
        <family val="1"/>
      </rPr>
      <t xml:space="preserve"> </t>
    </r>
    <r>
      <rPr>
        <sz val="12"/>
        <rFont val="標楷體"/>
        <family val="4"/>
        <charset val="136"/>
      </rPr>
      <t>及</t>
    </r>
    <r>
      <rPr>
        <sz val="12"/>
        <rFont val="Times New Roman"/>
        <family val="1"/>
      </rPr>
      <t xml:space="preserve"> </t>
    </r>
    <r>
      <rPr>
        <sz val="12"/>
        <rFont val="標楷體"/>
        <family val="4"/>
        <charset val="136"/>
      </rPr>
      <t>項</t>
    </r>
    <r>
      <rPr>
        <sz val="12"/>
        <rFont val="Times New Roman"/>
        <family val="1"/>
      </rPr>
      <t xml:space="preserve"> </t>
    </r>
    <r>
      <rPr>
        <sz val="12"/>
        <rFont val="標楷體"/>
        <family val="4"/>
        <charset val="136"/>
      </rPr>
      <t>目</t>
    </r>
  </si>
  <si>
    <r>
      <rPr>
        <sz val="12"/>
        <rFont val="標楷體"/>
        <family val="4"/>
        <charset val="136"/>
      </rPr>
      <t>數量</t>
    </r>
    <phoneticPr fontId="6" type="noConversion"/>
  </si>
  <si>
    <r>
      <rPr>
        <sz val="12"/>
        <rFont val="標楷體"/>
        <family val="4"/>
        <charset val="136"/>
      </rPr>
      <t>單位成本
（元）或平
均利</t>
    </r>
    <r>
      <rPr>
        <sz val="12"/>
        <rFont val="Times New Roman"/>
        <family val="1"/>
      </rPr>
      <t>(</t>
    </r>
    <r>
      <rPr>
        <sz val="12"/>
        <rFont val="標楷體"/>
        <family val="4"/>
        <charset val="136"/>
      </rPr>
      <t>費</t>
    </r>
    <r>
      <rPr>
        <sz val="12"/>
        <rFont val="Times New Roman"/>
        <family val="1"/>
      </rPr>
      <t>)</t>
    </r>
    <r>
      <rPr>
        <sz val="12"/>
        <rFont val="標楷體"/>
        <family val="4"/>
        <charset val="136"/>
      </rPr>
      <t>率</t>
    </r>
    <phoneticPr fontId="6" type="noConversion"/>
  </si>
  <si>
    <r>
      <rPr>
        <sz val="12"/>
        <rFont val="標楷體"/>
        <family val="4"/>
        <charset val="136"/>
      </rPr>
      <t>科　　　　　　目</t>
    </r>
  </si>
  <si>
    <r>
      <rPr>
        <sz val="12"/>
        <rFont val="標楷體"/>
        <family val="4"/>
        <charset val="136"/>
      </rPr>
      <t>合計</t>
    </r>
    <phoneticPr fontId="6" type="noConversion"/>
  </si>
  <si>
    <r>
      <rPr>
        <sz val="11"/>
        <rFont val="標楷體"/>
        <family val="4"/>
        <charset val="136"/>
      </rPr>
      <t>投融資業
務成本</t>
    </r>
    <phoneticPr fontId="6" type="noConversion"/>
  </si>
  <si>
    <r>
      <rPr>
        <sz val="11"/>
        <rFont val="標楷體"/>
        <family val="4"/>
        <charset val="136"/>
      </rPr>
      <t>保險成本</t>
    </r>
    <phoneticPr fontId="6" type="noConversion"/>
  </si>
  <si>
    <r>
      <rPr>
        <sz val="11"/>
        <rFont val="標楷體"/>
        <family val="4"/>
        <charset val="136"/>
      </rPr>
      <t>其他業
務成本</t>
    </r>
    <phoneticPr fontId="6" type="noConversion"/>
  </si>
  <si>
    <r>
      <rPr>
        <sz val="11"/>
        <rFont val="標楷體"/>
        <family val="4"/>
        <charset val="136"/>
      </rPr>
      <t>其他業務
外費用</t>
    </r>
    <phoneticPr fontId="6" type="noConversion"/>
  </si>
  <si>
    <r>
      <t xml:space="preserve">      </t>
    </r>
    <r>
      <rPr>
        <sz val="18"/>
        <rFont val="標楷體"/>
        <family val="4"/>
        <charset val="136"/>
      </rPr>
      <t>各項費用</t>
    </r>
    <r>
      <rPr>
        <sz val="18"/>
        <rFont val="Times New Roman"/>
        <family val="1"/>
      </rPr>
      <t xml:space="preserve"> </t>
    </r>
    <r>
      <rPr>
        <sz val="18"/>
        <rFont val="標楷體"/>
        <family val="4"/>
        <charset val="136"/>
      </rPr>
      <t>彙計表</t>
    </r>
    <phoneticPr fontId="6" type="noConversion"/>
  </si>
  <si>
    <r>
      <rPr>
        <sz val="12"/>
        <rFont val="標楷體"/>
        <family val="4"/>
        <charset val="136"/>
      </rPr>
      <t>小計</t>
    </r>
    <phoneticPr fontId="6" type="noConversion"/>
  </si>
  <si>
    <r>
      <rPr>
        <sz val="12"/>
        <rFont val="標楷體"/>
        <family val="4"/>
        <charset val="136"/>
      </rPr>
      <t>投資名稱</t>
    </r>
    <phoneticPr fontId="6" type="noConversion"/>
  </si>
  <si>
    <r>
      <rPr>
        <sz val="12"/>
        <rFont val="標楷體"/>
        <family val="4"/>
        <charset val="136"/>
      </rPr>
      <t>投資金額</t>
    </r>
    <phoneticPr fontId="23" type="noConversion"/>
  </si>
  <si>
    <r>
      <rPr>
        <sz val="12"/>
        <rFont val="標楷體"/>
        <family val="4"/>
        <charset val="136"/>
      </rPr>
      <t>本年度
收入</t>
    </r>
    <phoneticPr fontId="23" type="noConversion"/>
  </si>
  <si>
    <r>
      <rPr>
        <sz val="12"/>
        <rFont val="標楷體"/>
        <family val="4"/>
        <charset val="136"/>
      </rPr>
      <t>以前年度
已投資額</t>
    </r>
    <phoneticPr fontId="23" type="noConversion"/>
  </si>
  <si>
    <r>
      <rPr>
        <sz val="12"/>
        <rFont val="標楷體"/>
        <family val="4"/>
        <charset val="136"/>
      </rPr>
      <t>本年度擬
投資金額</t>
    </r>
    <phoneticPr fontId="23" type="noConversion"/>
  </si>
  <si>
    <r>
      <rPr>
        <sz val="12"/>
        <rFont val="標楷體"/>
        <family val="4"/>
        <charset val="136"/>
      </rPr>
      <t>合計</t>
    </r>
    <phoneticPr fontId="23" type="noConversion"/>
  </si>
  <si>
    <r>
      <rPr>
        <sz val="12"/>
        <rFont val="標楷體"/>
        <family val="4"/>
        <charset val="136"/>
      </rPr>
      <t>保險費由被保險人負擔</t>
    </r>
    <r>
      <rPr>
        <sz val="12"/>
        <rFont val="Times New Roman"/>
        <family val="1"/>
      </rPr>
      <t>20%</t>
    </r>
    <r>
      <rPr>
        <sz val="12"/>
        <rFont val="標楷體"/>
        <family val="4"/>
        <charset val="136"/>
      </rPr>
      <t>，投保單位負擔</t>
    </r>
    <r>
      <rPr>
        <sz val="12"/>
        <rFont val="Times New Roman"/>
        <family val="1"/>
      </rPr>
      <t>70%</t>
    </r>
    <r>
      <rPr>
        <sz val="12"/>
        <rFont val="標楷體"/>
        <family val="4"/>
        <charset val="136"/>
      </rPr>
      <t>，政府補助</t>
    </r>
    <r>
      <rPr>
        <sz val="12"/>
        <rFont val="Times New Roman"/>
        <family val="1"/>
      </rPr>
      <t>10%</t>
    </r>
    <r>
      <rPr>
        <sz val="12"/>
        <rFont val="標楷體"/>
        <family val="4"/>
        <charset val="136"/>
      </rPr>
      <t>。</t>
    </r>
  </si>
  <si>
    <r>
      <rPr>
        <sz val="12"/>
        <rFont val="標楷體"/>
        <family val="4"/>
        <charset val="136"/>
      </rPr>
      <t>科目及業務項目</t>
    </r>
    <phoneticPr fontId="23" type="noConversion"/>
  </si>
  <si>
    <r>
      <rPr>
        <sz val="10.5"/>
        <rFont val="標楷體"/>
        <family val="4"/>
        <charset val="136"/>
      </rPr>
      <t>人次、人日、件數或給付次數</t>
    </r>
    <phoneticPr fontId="23" type="noConversion"/>
  </si>
  <si>
    <r>
      <rPr>
        <sz val="12"/>
        <rFont val="標楷體"/>
        <family val="4"/>
        <charset val="136"/>
      </rPr>
      <t>每單位金額</t>
    </r>
    <r>
      <rPr>
        <sz val="12"/>
        <rFont val="Times New Roman"/>
        <family val="1"/>
      </rPr>
      <t xml:space="preserve">      </t>
    </r>
    <r>
      <rPr>
        <sz val="12"/>
        <rFont val="標楷體"/>
        <family val="4"/>
        <charset val="136"/>
      </rPr>
      <t>（元）</t>
    </r>
    <phoneticPr fontId="23" type="noConversion"/>
  </si>
  <si>
    <r>
      <rPr>
        <sz val="12"/>
        <rFont val="標楷體"/>
        <family val="4"/>
        <charset val="136"/>
      </rPr>
      <t>預算數</t>
    </r>
    <phoneticPr fontId="23" type="noConversion"/>
  </si>
  <si>
    <r>
      <rPr>
        <sz val="12"/>
        <rFont val="標楷體"/>
        <family val="4"/>
        <charset val="136"/>
      </rPr>
      <t>說明</t>
    </r>
    <phoneticPr fontId="23" type="noConversion"/>
  </si>
  <si>
    <t>　投融資業務收入</t>
    <phoneticPr fontId="6" type="noConversion"/>
  </si>
  <si>
    <t>　　存款利息收入</t>
    <phoneticPr fontId="6" type="noConversion"/>
  </si>
  <si>
    <t>　保險收入</t>
    <phoneticPr fontId="6" type="noConversion"/>
  </si>
  <si>
    <t>　　保費收入</t>
    <phoneticPr fontId="6" type="noConversion"/>
  </si>
  <si>
    <t>　其他業務收入</t>
    <phoneticPr fontId="6" type="noConversion"/>
  </si>
  <si>
    <t>　　其他補助收入</t>
    <phoneticPr fontId="6" type="noConversion"/>
  </si>
  <si>
    <t>業務成本與費用</t>
    <phoneticPr fontId="6" type="noConversion"/>
  </si>
  <si>
    <t>　保險成本</t>
    <phoneticPr fontId="6" type="noConversion"/>
  </si>
  <si>
    <t>　　保險給付</t>
    <phoneticPr fontId="6" type="noConversion"/>
  </si>
  <si>
    <t>　　提存責任準備</t>
    <phoneticPr fontId="6" type="noConversion"/>
  </si>
  <si>
    <t>　　呆帳</t>
    <phoneticPr fontId="6" type="noConversion"/>
  </si>
  <si>
    <t>　其他業務成本</t>
    <phoneticPr fontId="6" type="noConversion"/>
  </si>
  <si>
    <t>　　雜項業務成本</t>
    <phoneticPr fontId="6" type="noConversion"/>
  </si>
  <si>
    <t>業務外收入</t>
    <phoneticPr fontId="6" type="noConversion"/>
  </si>
  <si>
    <t>　財務收入</t>
    <phoneticPr fontId="6" type="noConversion"/>
  </si>
  <si>
    <t>　　利息收入</t>
    <phoneticPr fontId="6" type="noConversion"/>
  </si>
  <si>
    <t>　其他業務外收入</t>
    <phoneticPr fontId="6" type="noConversion"/>
  </si>
  <si>
    <t>　　收回呆帳</t>
    <phoneticPr fontId="6" type="noConversion"/>
  </si>
  <si>
    <r>
      <rPr>
        <sz val="12"/>
        <rFont val="標楷體"/>
        <family val="4"/>
        <charset val="136"/>
      </rPr>
      <t>　本期賸餘</t>
    </r>
    <phoneticPr fontId="6" type="noConversion"/>
  </si>
  <si>
    <t>預算數</t>
    <phoneticPr fontId="6" type="noConversion"/>
  </si>
  <si>
    <t>說明</t>
  </si>
  <si>
    <t>科目及業務項目</t>
    <phoneticPr fontId="6" type="noConversion"/>
  </si>
  <si>
    <t>單位</t>
  </si>
  <si>
    <t>投融資業務收入</t>
    <phoneticPr fontId="6" type="noConversion"/>
  </si>
  <si>
    <t>年</t>
    <phoneticPr fontId="6" type="noConversion"/>
  </si>
  <si>
    <t xml:space="preserve">  勞工保險</t>
    <phoneticPr fontId="6" type="noConversion"/>
  </si>
  <si>
    <t>　  融資業務收入</t>
    <phoneticPr fontId="6" type="noConversion"/>
  </si>
  <si>
    <t xml:space="preserve">  　存款利息收入</t>
    <phoneticPr fontId="6" type="noConversion"/>
  </si>
  <si>
    <t xml:space="preserve">  就業保險</t>
    <phoneticPr fontId="6" type="noConversion"/>
  </si>
  <si>
    <t>　  存款利息收入</t>
    <phoneticPr fontId="6" type="noConversion"/>
  </si>
  <si>
    <t xml:space="preserve">      票券</t>
    <phoneticPr fontId="6" type="noConversion"/>
  </si>
  <si>
    <t>　    國內</t>
    <phoneticPr fontId="6" type="noConversion"/>
  </si>
  <si>
    <t>　    國外</t>
    <phoneticPr fontId="6" type="noConversion"/>
  </si>
  <si>
    <t>保險收入</t>
  </si>
  <si>
    <t>　  保費收入</t>
    <phoneticPr fontId="6" type="noConversion"/>
  </si>
  <si>
    <t>　    保費收入</t>
    <phoneticPr fontId="6" type="noConversion"/>
  </si>
  <si>
    <t>　    滯納金收入</t>
    <phoneticPr fontId="6" type="noConversion"/>
  </si>
  <si>
    <t>　  收回責任準備</t>
    <phoneticPr fontId="6" type="noConversion"/>
  </si>
  <si>
    <t>其他業務收入</t>
    <phoneticPr fontId="6" type="noConversion"/>
  </si>
  <si>
    <t>　  其他補助收入</t>
    <phoneticPr fontId="6" type="noConversion"/>
  </si>
  <si>
    <t>　  雜項業務收入</t>
    <phoneticPr fontId="6" type="noConversion"/>
  </si>
  <si>
    <t>投融資業務成本</t>
    <phoneticPr fontId="6" type="noConversion"/>
  </si>
  <si>
    <t>科  目</t>
    <phoneticPr fontId="6" type="noConversion"/>
  </si>
  <si>
    <t xml:space="preserve">      租金與利息</t>
    <phoneticPr fontId="6" type="noConversion"/>
  </si>
  <si>
    <t xml:space="preserve">      其他</t>
    <phoneticPr fontId="6" type="noConversion"/>
  </si>
  <si>
    <t>　    其他</t>
    <phoneticPr fontId="6" type="noConversion"/>
  </si>
  <si>
    <t>　      保險給付</t>
    <phoneticPr fontId="6" type="noConversion"/>
  </si>
  <si>
    <t xml:space="preserve">    其他業務外費用</t>
    <phoneticPr fontId="6" type="noConversion"/>
  </si>
  <si>
    <t xml:space="preserve">      雜項費用</t>
    <phoneticPr fontId="6" type="noConversion"/>
  </si>
  <si>
    <t xml:space="preserve">    財務收入</t>
    <phoneticPr fontId="6" type="noConversion"/>
  </si>
  <si>
    <t xml:space="preserve">      利息收入</t>
    <phoneticPr fontId="6" type="noConversion"/>
  </si>
  <si>
    <t xml:space="preserve">    其他業務外收入</t>
    <phoneticPr fontId="6" type="noConversion"/>
  </si>
  <si>
    <t>　    服務費用</t>
    <phoneticPr fontId="6" type="noConversion"/>
  </si>
  <si>
    <t>　　    水電費</t>
    <phoneticPr fontId="6" type="noConversion"/>
  </si>
  <si>
    <t>　　    修理保養及保固費</t>
    <phoneticPr fontId="6" type="noConversion"/>
  </si>
  <si>
    <t>　　    保險費</t>
    <phoneticPr fontId="6" type="noConversion"/>
  </si>
  <si>
    <t>　　    一般服務費</t>
    <phoneticPr fontId="6" type="noConversion"/>
  </si>
  <si>
    <t>　　    專業服務費</t>
    <phoneticPr fontId="6" type="noConversion"/>
  </si>
  <si>
    <t>　　    土地稅</t>
    <phoneticPr fontId="6" type="noConversion"/>
  </si>
  <si>
    <t>　　    規費</t>
    <phoneticPr fontId="6" type="noConversion"/>
  </si>
  <si>
    <t>　      房屋稅</t>
    <phoneticPr fontId="6" type="noConversion"/>
  </si>
  <si>
    <t>　    其他</t>
    <phoneticPr fontId="6" type="noConversion"/>
  </si>
  <si>
    <t>　      其他費用</t>
    <phoneticPr fontId="6" type="noConversion"/>
  </si>
  <si>
    <t>　      一般服務費</t>
    <phoneticPr fontId="6" type="noConversion"/>
  </si>
  <si>
    <t>　    租金與利息</t>
    <phoneticPr fontId="6" type="noConversion"/>
  </si>
  <si>
    <t>　　    利息</t>
    <phoneticPr fontId="6" type="noConversion"/>
  </si>
  <si>
    <t>　　　  攤銷</t>
    <phoneticPr fontId="6" type="noConversion"/>
  </si>
  <si>
    <t>　        其他費用</t>
    <phoneticPr fontId="6" type="noConversion"/>
  </si>
  <si>
    <t>保費收入</t>
    <phoneticPr fontId="6" type="noConversion"/>
  </si>
  <si>
    <t xml:space="preserve">  　保費收入</t>
    <phoneticPr fontId="6" type="noConversion"/>
  </si>
  <si>
    <t>　    產業勞工及交通公
      用事業之員工</t>
    <phoneticPr fontId="6" type="noConversion"/>
  </si>
  <si>
    <t xml:space="preserve">　    公司、行號之員工 </t>
    <phoneticPr fontId="6" type="noConversion"/>
  </si>
  <si>
    <t>　    漁會之甲類會員</t>
    <phoneticPr fontId="6" type="noConversion"/>
  </si>
  <si>
    <t>　    職業勞工</t>
    <phoneticPr fontId="6" type="noConversion"/>
  </si>
  <si>
    <t>　    其他各業勞工</t>
    <phoneticPr fontId="6" type="noConversion"/>
  </si>
  <si>
    <t>　    被裁減資遣員工</t>
    <phoneticPr fontId="6" type="noConversion"/>
  </si>
  <si>
    <t>　    外僱船員</t>
    <phoneticPr fontId="6" type="noConversion"/>
  </si>
  <si>
    <t>　    育嬰續保人員</t>
    <phoneticPr fontId="6" type="noConversion"/>
  </si>
  <si>
    <t xml:space="preserve">　    新聞、文化、公益
      及合作事業之員工          </t>
    <phoneticPr fontId="6" type="noConversion"/>
  </si>
  <si>
    <t>　    政府機關及公、私
      立學校之員工</t>
    <phoneticPr fontId="6" type="noConversion"/>
  </si>
  <si>
    <t>　    受僱從事漁業生產
      之勞動者</t>
    <phoneticPr fontId="6" type="noConversion"/>
  </si>
  <si>
    <t xml:space="preserve">　    新聞、文化、公益
      及合作事業之員工  </t>
    <phoneticPr fontId="6" type="noConversion"/>
  </si>
  <si>
    <t>　　    政府補助</t>
    <phoneticPr fontId="23" type="noConversion"/>
  </si>
  <si>
    <t>　 　   被保險人負擔</t>
    <phoneticPr fontId="23" type="noConversion"/>
  </si>
  <si>
    <t>　　　  投保單位負擔</t>
    <phoneticPr fontId="23" type="noConversion"/>
  </si>
  <si>
    <t>　　    被保險人負擔</t>
    <phoneticPr fontId="23" type="noConversion"/>
  </si>
  <si>
    <t>　　    投保單位負擔</t>
    <phoneticPr fontId="23" type="noConversion"/>
  </si>
  <si>
    <t>　  　  政府補助</t>
    <phoneticPr fontId="23" type="noConversion"/>
  </si>
  <si>
    <t xml:space="preserve">      政府機關及公、私
      立學校之員工</t>
    <phoneticPr fontId="6" type="noConversion"/>
  </si>
  <si>
    <t xml:space="preserve"> 　   職災續保勞工</t>
    <phoneticPr fontId="6" type="noConversion"/>
  </si>
  <si>
    <t>　　 　 政府補助</t>
    <phoneticPr fontId="23" type="noConversion"/>
  </si>
  <si>
    <t>　 　   政府補助</t>
    <phoneticPr fontId="23" type="noConversion"/>
  </si>
  <si>
    <t xml:space="preserve"> 　 　  被保險人負擔</t>
    <phoneticPr fontId="23" type="noConversion"/>
  </si>
  <si>
    <t>　　　  政府補助</t>
    <phoneticPr fontId="23" type="noConversion"/>
  </si>
  <si>
    <t>　   　 政府補助</t>
    <phoneticPr fontId="23" type="noConversion"/>
  </si>
  <si>
    <t>　      被保險人負擔</t>
    <phoneticPr fontId="23" type="noConversion"/>
  </si>
  <si>
    <t xml:space="preserve"> 　  　 被保險人負擔</t>
    <phoneticPr fontId="23" type="noConversion"/>
  </si>
  <si>
    <t>　   　 專款補助</t>
    <phoneticPr fontId="23" type="noConversion"/>
  </si>
  <si>
    <t xml:space="preserve">  　    被保險人負擔</t>
    <phoneticPr fontId="23" type="noConversion"/>
  </si>
  <si>
    <t>　      投保單位負擔</t>
    <phoneticPr fontId="23" type="noConversion"/>
  </si>
  <si>
    <t xml:space="preserve">    融資業務成本</t>
    <phoneticPr fontId="6" type="noConversion"/>
  </si>
  <si>
    <t xml:space="preserve">      服務費用</t>
    <phoneticPr fontId="6" type="noConversion"/>
  </si>
  <si>
    <t xml:space="preserve">        保險費</t>
    <phoneticPr fontId="6" type="noConversion"/>
  </si>
  <si>
    <t xml:space="preserve">        專業服務費</t>
    <phoneticPr fontId="6" type="noConversion"/>
  </si>
  <si>
    <t xml:space="preserve">        土地稅</t>
    <phoneticPr fontId="6" type="noConversion"/>
  </si>
  <si>
    <t>　  滯納金收入</t>
    <phoneticPr fontId="6" type="noConversion"/>
  </si>
  <si>
    <t xml:space="preserve"> 　 滯納金收入</t>
    <phoneticPr fontId="6" type="noConversion"/>
  </si>
  <si>
    <t>　      各項短絀</t>
    <phoneticPr fontId="6" type="noConversion"/>
  </si>
  <si>
    <r>
      <rPr>
        <b/>
        <sz val="16"/>
        <rFont val="標楷體"/>
        <family val="4"/>
        <charset val="136"/>
      </rPr>
      <t>圖</t>
    </r>
    <r>
      <rPr>
        <b/>
        <sz val="16"/>
        <rFont val="Times New Roman"/>
        <family val="1"/>
      </rPr>
      <t>1</t>
    </r>
    <r>
      <rPr>
        <sz val="16"/>
        <rFont val="Times New Roman"/>
        <family val="1"/>
      </rPr>
      <t/>
    </r>
    <phoneticPr fontId="73" type="noConversion"/>
  </si>
  <si>
    <r>
      <rPr>
        <sz val="12"/>
        <rFont val="標楷體"/>
        <family val="4"/>
        <charset val="136"/>
      </rPr>
      <t>單位：新臺幣千元</t>
    </r>
  </si>
  <si>
    <t>收        入</t>
  </si>
  <si>
    <t>成本與費用及賸餘</t>
    <phoneticPr fontId="73" type="noConversion"/>
  </si>
  <si>
    <t>業務成本與費用</t>
  </si>
  <si>
    <t xml:space="preserve">  投融資業務收入</t>
    <phoneticPr fontId="73" type="noConversion"/>
  </si>
  <si>
    <t xml:space="preserve">  投融資業務成本</t>
    <phoneticPr fontId="73" type="noConversion"/>
  </si>
  <si>
    <t xml:space="preserve">  保險收入</t>
    <phoneticPr fontId="73" type="noConversion"/>
  </si>
  <si>
    <t xml:space="preserve">  保險成本</t>
    <phoneticPr fontId="73" type="noConversion"/>
  </si>
  <si>
    <t xml:space="preserve">  其他業務收入</t>
    <phoneticPr fontId="73" type="noConversion"/>
  </si>
  <si>
    <t xml:space="preserve">  其他業務成本</t>
    <phoneticPr fontId="73" type="noConversion"/>
  </si>
  <si>
    <t>業務外費用</t>
  </si>
  <si>
    <t>本期賸餘</t>
  </si>
  <si>
    <t>收入總額</t>
    <phoneticPr fontId="73" type="noConversion"/>
  </si>
  <si>
    <t>成本、費用及賸餘總額</t>
    <phoneticPr fontId="73" type="noConversion"/>
  </si>
  <si>
    <r>
      <rPr>
        <b/>
        <sz val="16"/>
        <rFont val="標楷體"/>
        <family val="4"/>
        <charset val="136"/>
      </rPr>
      <t>圖</t>
    </r>
    <r>
      <rPr>
        <b/>
        <sz val="16"/>
        <rFont val="Times New Roman"/>
        <family val="1"/>
      </rPr>
      <t>2</t>
    </r>
    <phoneticPr fontId="73" type="noConversion"/>
  </si>
  <si>
    <t>單位：新臺幣千元</t>
  </si>
  <si>
    <r>
      <t xml:space="preserve">                  </t>
    </r>
    <r>
      <rPr>
        <sz val="12"/>
        <rFont val="標楷體"/>
        <family val="4"/>
        <charset val="136"/>
      </rPr>
      <t xml:space="preserve">年度
</t>
    </r>
    <r>
      <rPr>
        <sz val="12"/>
        <rFont val="Times New Roman"/>
        <family val="1"/>
      </rPr>
      <t xml:space="preserve">   </t>
    </r>
    <r>
      <rPr>
        <sz val="12"/>
        <rFont val="標楷體"/>
        <family val="4"/>
        <charset val="136"/>
      </rPr>
      <t>項目　</t>
    </r>
    <phoneticPr fontId="73" type="noConversion"/>
  </si>
  <si>
    <t>收入</t>
  </si>
  <si>
    <t xml:space="preserve">  業務收入</t>
    <phoneticPr fontId="73" type="noConversion"/>
  </si>
  <si>
    <t xml:space="preserve">  業務外收入</t>
    <phoneticPr fontId="73" type="noConversion"/>
  </si>
  <si>
    <t>收入合計</t>
  </si>
  <si>
    <t>費用</t>
    <phoneticPr fontId="73" type="noConversion"/>
  </si>
  <si>
    <t xml:space="preserve">  業務成本與費用</t>
    <phoneticPr fontId="73" type="noConversion"/>
  </si>
  <si>
    <t xml:space="preserve">  業務外費用</t>
    <phoneticPr fontId="73" type="noConversion"/>
  </si>
  <si>
    <t>費用合計</t>
    <phoneticPr fontId="73" type="noConversion"/>
  </si>
  <si>
    <t>本期賸餘</t>
    <phoneticPr fontId="73" type="noConversion"/>
  </si>
  <si>
    <r>
      <t xml:space="preserve">              </t>
    </r>
    <r>
      <rPr>
        <sz val="12"/>
        <rFont val="標楷體"/>
        <family val="4"/>
        <charset val="136"/>
      </rPr>
      <t>年度
項目　</t>
    </r>
    <phoneticPr fontId="73" type="noConversion"/>
  </si>
  <si>
    <r>
      <rPr>
        <b/>
        <sz val="12"/>
        <rFont val="標楷體"/>
        <family val="4"/>
        <charset val="136"/>
      </rPr>
      <t>收入</t>
    </r>
  </si>
  <si>
    <r>
      <rPr>
        <sz val="12"/>
        <rFont val="標楷體"/>
        <family val="4"/>
        <charset val="136"/>
      </rPr>
      <t>業務收入</t>
    </r>
  </si>
  <si>
    <r>
      <rPr>
        <sz val="12"/>
        <rFont val="標楷體"/>
        <family val="4"/>
        <charset val="136"/>
      </rPr>
      <t>業務外收入</t>
    </r>
  </si>
  <si>
    <r>
      <rPr>
        <b/>
        <sz val="12"/>
        <rFont val="標楷體"/>
        <family val="4"/>
        <charset val="136"/>
      </rPr>
      <t>收入合計</t>
    </r>
  </si>
  <si>
    <r>
      <rPr>
        <sz val="12"/>
        <rFont val="標楷體"/>
        <family val="4"/>
        <charset val="136"/>
      </rPr>
      <t>業務成本與費用</t>
    </r>
  </si>
  <si>
    <r>
      <rPr>
        <sz val="12"/>
        <rFont val="標楷體"/>
        <family val="4"/>
        <charset val="136"/>
      </rPr>
      <t>業務外費用</t>
    </r>
  </si>
  <si>
    <r>
      <rPr>
        <b/>
        <sz val="12"/>
        <rFont val="標楷體"/>
        <family val="4"/>
        <charset val="136"/>
      </rPr>
      <t>本期賸餘</t>
    </r>
    <phoneticPr fontId="73" type="noConversion"/>
  </si>
  <si>
    <r>
      <rPr>
        <sz val="11"/>
        <rFont val="標楷體"/>
        <family val="4"/>
        <charset val="136"/>
      </rPr>
      <t>前年度決算數</t>
    </r>
  </si>
  <si>
    <r>
      <rPr>
        <sz val="11"/>
        <rFont val="標楷體"/>
        <family val="4"/>
        <charset val="136"/>
      </rPr>
      <t>本年度預算數</t>
    </r>
  </si>
  <si>
    <r>
      <rPr>
        <sz val="11"/>
        <rFont val="標楷體"/>
        <family val="4"/>
        <charset val="136"/>
      </rPr>
      <t>上年度預算數</t>
    </r>
  </si>
  <si>
    <r>
      <rPr>
        <sz val="11"/>
        <rFont val="標楷體"/>
        <family val="4"/>
        <charset val="136"/>
      </rPr>
      <t>金</t>
    </r>
    <r>
      <rPr>
        <sz val="11"/>
        <rFont val="Times New Roman"/>
        <family val="1"/>
      </rPr>
      <t xml:space="preserve"> </t>
    </r>
    <r>
      <rPr>
        <sz val="11"/>
        <rFont val="標楷體"/>
        <family val="4"/>
        <charset val="136"/>
      </rPr>
      <t>額</t>
    </r>
    <phoneticPr fontId="6" type="noConversion"/>
  </si>
  <si>
    <r>
      <rPr>
        <sz val="11"/>
        <rFont val="標楷體"/>
        <family val="4"/>
        <charset val="136"/>
      </rPr>
      <t>％</t>
    </r>
  </si>
  <si>
    <t>科目</t>
    <phoneticPr fontId="6" type="noConversion"/>
  </si>
  <si>
    <t>資產</t>
    <phoneticPr fontId="6" type="noConversion"/>
  </si>
  <si>
    <t>流動資產</t>
    <phoneticPr fontId="6" type="noConversion"/>
  </si>
  <si>
    <t>　現金</t>
    <phoneticPr fontId="6" type="noConversion"/>
  </si>
  <si>
    <t>　流動金融資產</t>
    <phoneticPr fontId="6" type="noConversion"/>
  </si>
  <si>
    <t>　應收款項</t>
    <phoneticPr fontId="6" type="noConversion"/>
  </si>
  <si>
    <t>　預付款項</t>
    <phoneticPr fontId="6" type="noConversion"/>
  </si>
  <si>
    <t>　短期貸墊款</t>
    <phoneticPr fontId="6" type="noConversion"/>
  </si>
  <si>
    <t>投資、長期應收款、貸墊款及準備金</t>
    <phoneticPr fontId="6" type="noConversion"/>
  </si>
  <si>
    <t>　長期貸款</t>
    <phoneticPr fontId="6" type="noConversion"/>
  </si>
  <si>
    <t>其他資產</t>
    <phoneticPr fontId="6" type="noConversion"/>
  </si>
  <si>
    <t>　什項資產</t>
    <phoneticPr fontId="6" type="noConversion"/>
  </si>
  <si>
    <t>合計</t>
    <phoneticPr fontId="6" type="noConversion"/>
  </si>
  <si>
    <t>負債</t>
    <phoneticPr fontId="6" type="noConversion"/>
  </si>
  <si>
    <t>流動負債</t>
    <phoneticPr fontId="6" type="noConversion"/>
  </si>
  <si>
    <t>　應付款項</t>
    <phoneticPr fontId="6" type="noConversion"/>
  </si>
  <si>
    <t>　預收款項</t>
    <phoneticPr fontId="6" type="noConversion"/>
  </si>
  <si>
    <t>　流動金融負債</t>
    <phoneticPr fontId="6" type="noConversion"/>
  </si>
  <si>
    <t>其他負債</t>
    <phoneticPr fontId="6" type="noConversion"/>
  </si>
  <si>
    <t>　負債準備</t>
    <phoneticPr fontId="6" type="noConversion"/>
  </si>
  <si>
    <t>　什項負債</t>
    <phoneticPr fontId="6" type="noConversion"/>
  </si>
  <si>
    <t>淨值</t>
    <phoneticPr fontId="6" type="noConversion"/>
  </si>
  <si>
    <t>基金</t>
    <phoneticPr fontId="6" type="noConversion"/>
  </si>
  <si>
    <t>　資本公積</t>
    <phoneticPr fontId="6" type="noConversion"/>
  </si>
  <si>
    <t>　累積賸餘</t>
    <phoneticPr fontId="6" type="noConversion"/>
  </si>
  <si>
    <t>　流動金融資產</t>
    <phoneticPr fontId="6" type="noConversion"/>
  </si>
  <si>
    <t>　應收款項</t>
    <phoneticPr fontId="6" type="noConversion"/>
  </si>
  <si>
    <t>其他資產</t>
    <phoneticPr fontId="6" type="noConversion"/>
  </si>
  <si>
    <t>流動負債</t>
    <phoneticPr fontId="6" type="noConversion"/>
  </si>
  <si>
    <t>　短期債務</t>
    <phoneticPr fontId="6" type="noConversion"/>
  </si>
  <si>
    <r>
      <rPr>
        <sz val="12"/>
        <rFont val="標楷體"/>
        <family val="4"/>
        <charset val="136"/>
      </rPr>
      <t>　本期賸餘（短絀）</t>
    </r>
    <phoneticPr fontId="6" type="noConversion"/>
  </si>
  <si>
    <r>
      <t>2.</t>
    </r>
    <r>
      <rPr>
        <sz val="12"/>
        <rFont val="標楷體"/>
        <family val="4"/>
        <charset val="136"/>
      </rPr>
      <t>利息費用</t>
    </r>
    <phoneticPr fontId="6" type="noConversion"/>
  </si>
  <si>
    <r>
      <t>1.</t>
    </r>
    <r>
      <rPr>
        <sz val="12"/>
        <rFont val="標楷體"/>
        <family val="4"/>
        <charset val="136"/>
      </rPr>
      <t xml:space="preserve">提存呆帳
</t>
    </r>
    <r>
      <rPr>
        <sz val="12"/>
        <rFont val="Times New Roman"/>
        <family val="1"/>
      </rPr>
      <t xml:space="preserve">   
   </t>
    </r>
    <phoneticPr fontId="6" type="noConversion"/>
  </si>
  <si>
    <r>
      <t>2.</t>
    </r>
    <r>
      <rPr>
        <sz val="12"/>
        <rFont val="標楷體"/>
        <family val="4"/>
        <charset val="136"/>
      </rPr>
      <t>折舊</t>
    </r>
    <phoneticPr fontId="6" type="noConversion"/>
  </si>
  <si>
    <r>
      <t>3.</t>
    </r>
    <r>
      <rPr>
        <sz val="12"/>
        <rFont val="標楷體"/>
        <family val="4"/>
        <charset val="136"/>
      </rPr>
      <t>攤銷</t>
    </r>
    <phoneticPr fontId="6" type="noConversion"/>
  </si>
  <si>
    <r>
      <rPr>
        <b/>
        <sz val="12"/>
        <rFont val="標楷體"/>
        <family val="4"/>
        <charset val="136"/>
      </rPr>
      <t>　　業務活動之淨現金流入（流出）</t>
    </r>
    <phoneticPr fontId="6" type="noConversion"/>
  </si>
  <si>
    <t>籌資活動之現金流量</t>
    <phoneticPr fontId="6" type="noConversion"/>
  </si>
  <si>
    <r>
      <rPr>
        <sz val="12"/>
        <rFont val="標楷體"/>
        <family val="4"/>
        <charset val="136"/>
      </rPr>
      <t xml:space="preserve">　增加短期債務、流動金融負債及其他負債
</t>
    </r>
    <r>
      <rPr>
        <sz val="12"/>
        <rFont val="Times New Roman"/>
        <family val="1"/>
      </rPr>
      <t xml:space="preserve">    </t>
    </r>
    <phoneticPr fontId="6" type="noConversion"/>
  </si>
  <si>
    <r>
      <rPr>
        <sz val="12"/>
        <rFont val="標楷體"/>
        <family val="4"/>
        <charset val="136"/>
      </rPr>
      <t xml:space="preserve">　減少短期債務、流動金融負債及其他負債
</t>
    </r>
    <r>
      <rPr>
        <sz val="12"/>
        <rFont val="Times New Roman"/>
        <family val="1"/>
      </rPr>
      <t xml:space="preserve">    </t>
    </r>
    <phoneticPr fontId="6" type="noConversion"/>
  </si>
  <si>
    <r>
      <t xml:space="preserve">   </t>
    </r>
    <r>
      <rPr>
        <sz val="12"/>
        <rFont val="標楷體"/>
        <family val="4"/>
        <charset val="136"/>
      </rPr>
      <t>支付利息</t>
    </r>
    <phoneticPr fontId="6" type="noConversion"/>
  </si>
  <si>
    <t xml:space="preserve">  收取利息</t>
    <phoneticPr fontId="6" type="noConversion"/>
  </si>
  <si>
    <r>
      <t xml:space="preserve">    </t>
    </r>
    <r>
      <rPr>
        <sz val="12"/>
        <rFont val="標楷體"/>
        <family val="4"/>
        <charset val="136"/>
      </rPr>
      <t>利息股利之調整</t>
    </r>
    <phoneticPr fontId="6" type="noConversion"/>
  </si>
  <si>
    <t>租金及權利金收入明細表</t>
    <phoneticPr fontId="6" type="noConversion"/>
  </si>
  <si>
    <r>
      <rPr>
        <sz val="12"/>
        <rFont val="標楷體"/>
        <family val="4"/>
        <charset val="136"/>
      </rPr>
      <t>科目及業務項目</t>
    </r>
    <phoneticPr fontId="6" type="noConversion"/>
  </si>
  <si>
    <r>
      <rPr>
        <sz val="12"/>
        <rFont val="標楷體"/>
        <family val="4"/>
        <charset val="136"/>
      </rPr>
      <t>預</t>
    </r>
    <r>
      <rPr>
        <sz val="12"/>
        <rFont val="Times New Roman"/>
        <family val="1"/>
      </rPr>
      <t xml:space="preserve"> </t>
    </r>
    <r>
      <rPr>
        <sz val="12"/>
        <rFont val="標楷體"/>
        <family val="4"/>
        <charset val="136"/>
      </rPr>
      <t>算</t>
    </r>
    <r>
      <rPr>
        <sz val="12"/>
        <rFont val="Times New Roman"/>
        <family val="1"/>
      </rPr>
      <t xml:space="preserve"> </t>
    </r>
    <r>
      <rPr>
        <sz val="12"/>
        <rFont val="標楷體"/>
        <family val="4"/>
        <charset val="136"/>
      </rPr>
      <t>數</t>
    </r>
    <phoneticPr fontId="6" type="noConversion"/>
  </si>
  <si>
    <r>
      <rPr>
        <sz val="12"/>
        <rFont val="標楷體"/>
        <family val="4"/>
        <charset val="136"/>
      </rPr>
      <t>說</t>
    </r>
    <r>
      <rPr>
        <sz val="12"/>
        <rFont val="Times New Roman"/>
        <family val="1"/>
      </rPr>
      <t xml:space="preserve">  </t>
    </r>
    <r>
      <rPr>
        <sz val="12"/>
        <rFont val="標楷體"/>
        <family val="4"/>
        <charset val="136"/>
      </rPr>
      <t>明</t>
    </r>
    <phoneticPr fontId="6" type="noConversion"/>
  </si>
  <si>
    <t>出租資產成本明細表</t>
    <phoneticPr fontId="6" type="noConversion"/>
  </si>
  <si>
    <t>　  投資業務成本</t>
    <phoneticPr fontId="6" type="noConversion"/>
  </si>
  <si>
    <t xml:space="preserve">      折舊、折耗及攤銷</t>
    <phoneticPr fontId="6" type="noConversion"/>
  </si>
  <si>
    <t xml:space="preserve">        投資性不動產折舊</t>
    <phoneticPr fontId="6" type="noConversion"/>
  </si>
  <si>
    <t xml:space="preserve">    投資業務成本</t>
    <phoneticPr fontId="6" type="noConversion"/>
  </si>
  <si>
    <t>投資性不動產</t>
    <phoneticPr fontId="6" type="noConversion"/>
  </si>
  <si>
    <t>出租資
產成本</t>
    <phoneticPr fontId="6" type="noConversion"/>
  </si>
  <si>
    <t>說明</t>
    <phoneticPr fontId="6" type="noConversion"/>
  </si>
  <si>
    <r>
      <rPr>
        <b/>
        <sz val="12"/>
        <rFont val="標楷體"/>
        <family val="4"/>
        <charset val="136"/>
      </rPr>
      <t>籌資活動之現金流量</t>
    </r>
    <phoneticPr fontId="6" type="noConversion"/>
  </si>
  <si>
    <r>
      <t>3.</t>
    </r>
    <r>
      <rPr>
        <sz val="12"/>
        <rFont val="標楷體"/>
        <family val="4"/>
        <charset val="136"/>
      </rPr>
      <t>流動負債淨減</t>
    </r>
    <r>
      <rPr>
        <sz val="12"/>
        <rFont val="Times New Roman"/>
        <family val="1"/>
      </rPr>
      <t xml:space="preserve"> </t>
    </r>
    <phoneticPr fontId="6" type="noConversion"/>
  </si>
  <si>
    <r>
      <rPr>
        <sz val="12"/>
        <rFont val="標楷體"/>
        <family val="4"/>
        <charset val="136"/>
      </rPr>
      <t>係增加長期投資</t>
    </r>
    <r>
      <rPr>
        <sz val="12"/>
        <rFont val="Times New Roman"/>
        <family val="1"/>
      </rPr>
      <t xml:space="preserve">    </t>
    </r>
    <r>
      <rPr>
        <sz val="12"/>
        <rFont val="標楷體"/>
        <family val="4"/>
        <charset val="136"/>
      </rPr>
      <t>千元及長期貸款</t>
    </r>
    <r>
      <rPr>
        <sz val="12"/>
        <rFont val="Times New Roman"/>
        <family val="1"/>
      </rPr>
      <t xml:space="preserve">    </t>
    </r>
    <r>
      <rPr>
        <sz val="12"/>
        <rFont val="標楷體"/>
        <family val="4"/>
        <charset val="136"/>
      </rPr>
      <t>千元。</t>
    </r>
    <phoneticPr fontId="6" type="noConversion"/>
  </si>
  <si>
    <r>
      <rPr>
        <sz val="12"/>
        <rFont val="標楷體"/>
        <family val="4"/>
        <charset val="136"/>
      </rPr>
      <t>係增加流動金融資產</t>
    </r>
    <r>
      <rPr>
        <sz val="12"/>
        <rFont val="Times New Roman"/>
        <family val="1"/>
      </rPr>
      <t xml:space="preserve">    </t>
    </r>
    <r>
      <rPr>
        <sz val="12"/>
        <rFont val="標楷體"/>
        <family val="4"/>
        <charset val="136"/>
      </rPr>
      <t>千元及短期貸款</t>
    </r>
    <r>
      <rPr>
        <sz val="12"/>
        <rFont val="Times New Roman"/>
        <family val="1"/>
      </rPr>
      <t xml:space="preserve">    </t>
    </r>
    <r>
      <rPr>
        <sz val="12"/>
        <rFont val="標楷體"/>
        <family val="4"/>
        <charset val="136"/>
      </rPr>
      <t>千元。</t>
    </r>
    <phoneticPr fontId="6" type="noConversion"/>
  </si>
  <si>
    <t>　非流動金融資產</t>
    <phoneticPr fontId="6" type="noConversion"/>
  </si>
  <si>
    <t xml:space="preserve">  租金及權利金收入</t>
    <phoneticPr fontId="6" type="noConversion"/>
  </si>
  <si>
    <t xml:space="preserve">  出租資產成本</t>
    <phoneticPr fontId="6" type="noConversion"/>
  </si>
  <si>
    <r>
      <t>5.</t>
    </r>
    <r>
      <rPr>
        <sz val="12"/>
        <rFont val="標楷體"/>
        <family val="4"/>
        <charset val="136"/>
      </rPr>
      <t>流動負債淨增</t>
    </r>
    <r>
      <rPr>
        <sz val="12"/>
        <rFont val="Times New Roman"/>
        <family val="1"/>
      </rPr>
      <t xml:space="preserve"> </t>
    </r>
    <phoneticPr fontId="6" type="noConversion"/>
  </si>
  <si>
    <t>　    折舊、折耗及攤銷</t>
    <phoneticPr fontId="6" type="noConversion"/>
  </si>
  <si>
    <t>　　    投資性不動產折舊</t>
    <phoneticPr fontId="6" type="noConversion"/>
  </si>
  <si>
    <r>
      <rPr>
        <sz val="12"/>
        <rFont val="標楷體"/>
        <family val="4"/>
        <charset val="136"/>
      </rPr>
      <t>利息收入</t>
    </r>
    <phoneticPr fontId="6" type="noConversion"/>
  </si>
  <si>
    <r>
      <t>2.</t>
    </r>
    <r>
      <rPr>
        <sz val="12"/>
        <rFont val="標楷體"/>
        <family val="4"/>
        <charset val="136"/>
      </rPr>
      <t>收回責任準備</t>
    </r>
    <r>
      <rPr>
        <sz val="12"/>
        <rFont val="Times New Roman"/>
        <family val="1"/>
      </rPr>
      <t/>
    </r>
    <phoneticPr fontId="6" type="noConversion"/>
  </si>
  <si>
    <r>
      <t xml:space="preserve">    </t>
    </r>
    <r>
      <rPr>
        <sz val="12"/>
        <rFont val="標楷體"/>
        <family val="4"/>
        <charset val="136"/>
      </rPr>
      <t>收取利息</t>
    </r>
    <phoneticPr fontId="6" type="noConversion"/>
  </si>
  <si>
    <r>
      <t xml:space="preserve">    </t>
    </r>
    <r>
      <rPr>
        <sz val="12"/>
        <rFont val="標楷體"/>
        <family val="4"/>
        <charset val="136"/>
      </rPr>
      <t>未計利息股利之本期賸餘（短絀）</t>
    </r>
    <phoneticPr fontId="6" type="noConversion"/>
  </si>
  <si>
    <r>
      <t xml:space="preserve">    </t>
    </r>
    <r>
      <rPr>
        <sz val="12"/>
        <rFont val="標楷體"/>
        <family val="4"/>
        <charset val="136"/>
      </rPr>
      <t>未計利息股利之現金流入（流出）</t>
    </r>
    <phoneticPr fontId="6" type="noConversion"/>
  </si>
  <si>
    <t>　　業務活動之淨現金流入（流出）</t>
    <phoneticPr fontId="6" type="noConversion"/>
  </si>
  <si>
    <t>　　投資活動之淨現金流入（流出）</t>
    <phoneticPr fontId="6" type="noConversion"/>
  </si>
  <si>
    <t>　　籌資活動之淨現金流入（流出）</t>
    <phoneticPr fontId="6" type="noConversion"/>
  </si>
  <si>
    <t>現金及約當現金之淨增（淨減）</t>
    <phoneticPr fontId="6" type="noConversion"/>
  </si>
  <si>
    <t>累積餘絀</t>
    <phoneticPr fontId="6" type="noConversion"/>
  </si>
  <si>
    <t>業務賸餘（短絀）</t>
    <phoneticPr fontId="6" type="noConversion"/>
  </si>
  <si>
    <t>業務外賸餘（短絀）</t>
    <phoneticPr fontId="6" type="noConversion"/>
  </si>
  <si>
    <t>本期賸餘（短絀）</t>
    <phoneticPr fontId="6" type="noConversion"/>
  </si>
  <si>
    <t>　本期賸餘（短絀）</t>
    <phoneticPr fontId="6" type="noConversion"/>
  </si>
  <si>
    <r>
      <t xml:space="preserve">    </t>
    </r>
    <r>
      <rPr>
        <sz val="12"/>
        <rFont val="標楷體"/>
        <family val="4"/>
        <charset val="136"/>
      </rPr>
      <t>未計利息股利之本期賸餘</t>
    </r>
    <r>
      <rPr>
        <sz val="12"/>
        <rFont val="標楷體"/>
        <family val="4"/>
        <charset val="136"/>
      </rPr>
      <t>（短絀）</t>
    </r>
    <phoneticPr fontId="6" type="noConversion"/>
  </si>
  <si>
    <r>
      <t xml:space="preserve">    </t>
    </r>
    <r>
      <rPr>
        <sz val="12"/>
        <rFont val="標楷體"/>
        <family val="4"/>
        <charset val="136"/>
      </rPr>
      <t>未計利息股利之現金流入</t>
    </r>
    <r>
      <rPr>
        <sz val="12"/>
        <rFont val="標楷體"/>
        <family val="4"/>
        <charset val="136"/>
      </rPr>
      <t>（流出）</t>
    </r>
    <phoneticPr fontId="6" type="noConversion"/>
  </si>
  <si>
    <r>
      <t>2.</t>
    </r>
    <r>
      <rPr>
        <sz val="12"/>
        <rFont val="標楷體"/>
        <family val="4"/>
        <charset val="136"/>
      </rPr>
      <t>提存責任準備</t>
    </r>
    <r>
      <rPr>
        <sz val="12"/>
        <rFont val="Times New Roman"/>
        <family val="1"/>
      </rPr>
      <t/>
    </r>
    <phoneticPr fontId="6" type="noConversion"/>
  </si>
  <si>
    <r>
      <t>3.</t>
    </r>
    <r>
      <rPr>
        <sz val="12"/>
        <rFont val="標楷體"/>
        <family val="4"/>
        <charset val="136"/>
      </rPr>
      <t>折舊</t>
    </r>
    <phoneticPr fontId="6" type="noConversion"/>
  </si>
  <si>
    <t>出租資產成本</t>
    <phoneticPr fontId="6" type="noConversion"/>
  </si>
  <si>
    <t>　    稅捐與規費（強制費）</t>
    <phoneticPr fontId="6" type="noConversion"/>
  </si>
  <si>
    <t>累積餘絀</t>
    <phoneticPr fontId="6" type="noConversion"/>
  </si>
  <si>
    <r>
      <rPr>
        <b/>
        <sz val="12"/>
        <rFont val="標楷體"/>
        <family val="4"/>
        <charset val="136"/>
      </rPr>
      <t>　　投資活動之淨現金流入（流出）</t>
    </r>
    <phoneticPr fontId="6" type="noConversion"/>
  </si>
  <si>
    <r>
      <rPr>
        <b/>
        <sz val="12"/>
        <rFont val="標楷體"/>
        <family val="4"/>
        <charset val="136"/>
      </rPr>
      <t>　　籌資活動之淨現金流入（流出）</t>
    </r>
    <phoneticPr fontId="6" type="noConversion"/>
  </si>
  <si>
    <r>
      <rPr>
        <b/>
        <sz val="12"/>
        <rFont val="標楷體"/>
        <family val="4"/>
        <charset val="136"/>
      </rPr>
      <t>現金及約當現金之淨增（淨減）</t>
    </r>
    <phoneticPr fontId="6" type="noConversion"/>
  </si>
  <si>
    <r>
      <rPr>
        <sz val="12"/>
        <rFont val="標楷體"/>
        <family val="4"/>
        <charset val="136"/>
      </rPr>
      <t>編列</t>
    </r>
    <r>
      <rPr>
        <sz val="12"/>
        <rFont val="Times New Roman"/>
        <family val="1"/>
      </rPr>
      <t>0</t>
    </r>
    <r>
      <rPr>
        <sz val="12"/>
        <rFont val="標楷體"/>
        <family val="4"/>
        <charset val="136"/>
      </rPr>
      <t>千元，係應付保管款滿</t>
    </r>
    <r>
      <rPr>
        <sz val="12"/>
        <rFont val="Times New Roman"/>
        <family val="1"/>
      </rPr>
      <t>4</t>
    </r>
    <r>
      <rPr>
        <sz val="12"/>
        <rFont val="標楷體"/>
        <family val="4"/>
        <charset val="136"/>
      </rPr>
      <t>年轉雜項收入後再提出申請。</t>
    </r>
    <phoneticPr fontId="6" type="noConversion"/>
  </si>
  <si>
    <t>　遞延資產</t>
    <phoneticPr fontId="6" type="noConversion"/>
  </si>
  <si>
    <t>　待處理資產</t>
    <phoneticPr fontId="6" type="noConversion"/>
  </si>
  <si>
    <t>　遞延負債</t>
    <phoneticPr fontId="6"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</si>
  <si>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6"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</si>
  <si>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6" type="noConversion"/>
  </si>
  <si>
    <r>
      <rPr>
        <sz val="12"/>
        <rFont val="標楷體"/>
        <family val="4"/>
        <charset val="136"/>
      </rPr>
      <t>項目</t>
    </r>
    <phoneticPr fontId="6" type="noConversion"/>
  </si>
  <si>
    <r>
      <rPr>
        <sz val="12"/>
        <rFont val="標楷體"/>
        <family val="4"/>
        <charset val="136"/>
      </rPr>
      <t>預算數</t>
    </r>
    <phoneticPr fontId="6" type="noConversion"/>
  </si>
  <si>
    <r>
      <rPr>
        <sz val="12"/>
        <rFont val="標楷體"/>
        <family val="4"/>
        <charset val="136"/>
      </rPr>
      <t>　減少投資、長期應收款、貸墊款及準備金</t>
    </r>
    <phoneticPr fontId="6" type="noConversion"/>
  </si>
  <si>
    <t xml:space="preserve">        旅運費</t>
    <phoneticPr fontId="6" type="noConversion"/>
  </si>
  <si>
    <t>　　 　 旅運費</t>
    <phoneticPr fontId="6" type="noConversion"/>
  </si>
  <si>
    <t>　　 　 郵電費</t>
    <phoneticPr fontId="6" type="noConversion"/>
  </si>
  <si>
    <t>　    材料及用品費</t>
    <phoneticPr fontId="6" type="noConversion"/>
  </si>
  <si>
    <t xml:space="preserve">         旅運費</t>
    <phoneticPr fontId="6" type="noConversion"/>
  </si>
  <si>
    <t xml:space="preserve">       材料及用品費</t>
    <phoneticPr fontId="6" type="noConversion"/>
  </si>
  <si>
    <t xml:space="preserve">       折舊、折耗及攤銷</t>
    <phoneticPr fontId="6" type="noConversion"/>
  </si>
  <si>
    <t>材料及用品費</t>
    <phoneticPr fontId="6" type="noConversion"/>
  </si>
  <si>
    <t>　郵電費</t>
    <phoneticPr fontId="6" type="noConversion"/>
  </si>
  <si>
    <r>
      <rPr>
        <b/>
        <sz val="12"/>
        <rFont val="標楷體"/>
        <family val="4"/>
        <charset val="136"/>
      </rPr>
      <t>投資性不動產收入</t>
    </r>
    <phoneticPr fontId="23" type="noConversion"/>
  </si>
  <si>
    <r>
      <rPr>
        <sz val="12"/>
        <rFont val="標楷體"/>
        <family val="4"/>
        <charset val="136"/>
      </rPr>
      <t>宜蘭市和睦路</t>
    </r>
    <r>
      <rPr>
        <sz val="12"/>
        <rFont val="Times New Roman"/>
        <family val="1"/>
      </rPr>
      <t>1-10</t>
    </r>
    <r>
      <rPr>
        <sz val="12"/>
        <rFont val="標楷體"/>
        <family val="4"/>
        <charset val="136"/>
      </rPr>
      <t>號</t>
    </r>
    <phoneticPr fontId="23" type="noConversion"/>
  </si>
  <si>
    <r>
      <rPr>
        <sz val="12"/>
        <rFont val="標楷體"/>
        <family val="4"/>
        <charset val="136"/>
      </rPr>
      <t>澎湖縣馬公市三民路</t>
    </r>
    <r>
      <rPr>
        <sz val="12"/>
        <rFont val="Times New Roman"/>
        <family val="1"/>
      </rPr>
      <t>36</t>
    </r>
    <r>
      <rPr>
        <sz val="12"/>
        <rFont val="標楷體"/>
        <family val="4"/>
        <charset val="136"/>
      </rPr>
      <t>號</t>
    </r>
    <phoneticPr fontId="23" type="noConversion"/>
  </si>
  <si>
    <t>勞動部勞動基金運用局</t>
    <phoneticPr fontId="6" type="noConversion"/>
  </si>
  <si>
    <t>勞動部職業安全衛生署</t>
    <phoneticPr fontId="6" type="noConversion"/>
  </si>
  <si>
    <t>業務活動之現金流量</t>
  </si>
  <si>
    <t>　　</t>
    <phoneticPr fontId="6" type="noConversion"/>
  </si>
  <si>
    <t>期初現金及約當現金</t>
  </si>
  <si>
    <t>　　業務活動之淨現金流入（流出）</t>
    <phoneticPr fontId="6" type="noConversion"/>
  </si>
  <si>
    <t>投資活動之現金流量</t>
    <phoneticPr fontId="6" type="noConversion"/>
  </si>
  <si>
    <t>　減少流動金融資產及短期貸墊款</t>
    <phoneticPr fontId="6" type="noConversion"/>
  </si>
  <si>
    <t>　減少投資、長期應收款、貸墊款及準備金</t>
    <phoneticPr fontId="6" type="noConversion"/>
  </si>
  <si>
    <t>　減少無形資產及其他資產</t>
    <phoneticPr fontId="6" type="noConversion"/>
  </si>
  <si>
    <t>　增加流動金融資產及短期貸墊款</t>
    <phoneticPr fontId="6" type="noConversion"/>
  </si>
  <si>
    <t>　增加投資、長期應收款、貸墊款及準備金</t>
    <phoneticPr fontId="6" type="noConversion"/>
  </si>
  <si>
    <t>　增加無形資產及其他資產</t>
    <phoneticPr fontId="6" type="noConversion"/>
  </si>
  <si>
    <t>　　投資活動之淨現金流入（流出）</t>
    <phoneticPr fontId="6" type="noConversion"/>
  </si>
  <si>
    <t>籌資活動之現金流量</t>
    <phoneticPr fontId="6" type="noConversion"/>
  </si>
  <si>
    <t xml:space="preserve">　增加短期債務、流動金融負債及其他負債
    </t>
    <phoneticPr fontId="6" type="noConversion"/>
  </si>
  <si>
    <t xml:space="preserve">　減少短期債務、流動金融負債及其他負債
    </t>
    <phoneticPr fontId="6" type="noConversion"/>
  </si>
  <si>
    <r>
      <t>1.</t>
    </r>
    <r>
      <rPr>
        <sz val="12"/>
        <rFont val="標楷體"/>
        <family val="4"/>
        <charset val="136"/>
      </rPr>
      <t>利息收入</t>
    </r>
    <phoneticPr fontId="6" type="noConversion"/>
  </si>
  <si>
    <t>期末現金及約當現金</t>
    <phoneticPr fontId="6" type="noConversion"/>
  </si>
  <si>
    <t>租金及權利金收入</t>
    <phoneticPr fontId="6" type="noConversion"/>
  </si>
  <si>
    <t xml:space="preserve">  勞工保險</t>
    <phoneticPr fontId="6" type="noConversion"/>
  </si>
  <si>
    <t>　  投資性不動產收入</t>
    <phoneticPr fontId="6" type="noConversion"/>
  </si>
  <si>
    <t>年</t>
    <phoneticPr fontId="6" type="noConversion"/>
  </si>
  <si>
    <t xml:space="preserve">  就業保險</t>
    <phoneticPr fontId="6" type="noConversion"/>
  </si>
  <si>
    <t xml:space="preserve">  　投資業務收入</t>
    <phoneticPr fontId="6" type="noConversion"/>
  </si>
  <si>
    <t xml:space="preserve">  　  權益證券</t>
    <phoneticPr fontId="6" type="noConversion"/>
  </si>
  <si>
    <t>　  投資業務收入</t>
    <phoneticPr fontId="6" type="noConversion"/>
  </si>
  <si>
    <t xml:space="preserve">      違規罰款收入</t>
    <phoneticPr fontId="6" type="noConversion"/>
  </si>
  <si>
    <t xml:space="preserve">      收回呆帳</t>
    <phoneticPr fontId="6" type="noConversion"/>
  </si>
  <si>
    <t xml:space="preserve">      雜項收入</t>
    <phoneticPr fontId="6" type="noConversion"/>
  </si>
  <si>
    <t xml:space="preserve">    財務收入</t>
    <phoneticPr fontId="6" type="noConversion"/>
  </si>
  <si>
    <t xml:space="preserve">      利息收入</t>
    <phoneticPr fontId="6" type="noConversion"/>
  </si>
  <si>
    <t xml:space="preserve">    其他業務外收入</t>
    <phoneticPr fontId="6" type="noConversion"/>
  </si>
  <si>
    <t xml:space="preserve">      收回呆帳</t>
    <phoneticPr fontId="6" type="noConversion"/>
  </si>
  <si>
    <t>出租資產成本</t>
    <phoneticPr fontId="6" type="noConversion"/>
  </si>
  <si>
    <t xml:space="preserve">        水電費</t>
    <phoneticPr fontId="6" type="noConversion"/>
  </si>
  <si>
    <t xml:space="preserve">        修理保養及保固費</t>
    <phoneticPr fontId="6" type="noConversion"/>
  </si>
  <si>
    <t xml:space="preserve">        一般服務費</t>
    <phoneticPr fontId="6" type="noConversion"/>
  </si>
  <si>
    <t xml:space="preserve">      稅捐與規費（強制費）</t>
    <phoneticPr fontId="6" type="noConversion"/>
  </si>
  <si>
    <t xml:space="preserve">        房屋稅</t>
    <phoneticPr fontId="6" type="noConversion"/>
  </si>
  <si>
    <t xml:space="preserve">        規費</t>
    <phoneticPr fontId="6" type="noConversion"/>
  </si>
  <si>
    <t xml:space="preserve">        其他費用</t>
    <phoneticPr fontId="6" type="noConversion"/>
  </si>
  <si>
    <t>　    服務費用</t>
    <phoneticPr fontId="6" type="noConversion"/>
  </si>
  <si>
    <t>　　 　 印刷裝訂與廣告費</t>
    <phoneticPr fontId="6" type="noConversion"/>
  </si>
  <si>
    <t>　　    用品消耗</t>
    <phoneticPr fontId="6" type="noConversion"/>
  </si>
  <si>
    <t>　    短絀、賠償與保險給付</t>
    <phoneticPr fontId="6" type="noConversion"/>
  </si>
  <si>
    <t>　　    各項短絀</t>
    <phoneticPr fontId="6" type="noConversion"/>
  </si>
  <si>
    <t>　  兌換短絀</t>
    <phoneticPr fontId="6" type="noConversion"/>
  </si>
  <si>
    <t xml:space="preserve">       服務費用</t>
    <phoneticPr fontId="6" type="noConversion"/>
  </si>
  <si>
    <t xml:space="preserve">         郵電費</t>
    <phoneticPr fontId="6" type="noConversion"/>
  </si>
  <si>
    <t xml:space="preserve">         印刷裝訂與廣告費</t>
    <phoneticPr fontId="6" type="noConversion"/>
  </si>
  <si>
    <t xml:space="preserve">         一般服務費</t>
    <phoneticPr fontId="6" type="noConversion"/>
  </si>
  <si>
    <t xml:space="preserve">         專業服務費</t>
    <phoneticPr fontId="6" type="noConversion"/>
  </si>
  <si>
    <t xml:space="preserve">         用品消耗</t>
    <phoneticPr fontId="6" type="noConversion"/>
  </si>
  <si>
    <t xml:space="preserve">         攤銷</t>
    <phoneticPr fontId="6" type="noConversion"/>
  </si>
  <si>
    <t>其他業務成本</t>
    <phoneticPr fontId="6" type="noConversion"/>
  </si>
  <si>
    <t>　  雜項業務成本</t>
    <phoneticPr fontId="6" type="noConversion"/>
  </si>
  <si>
    <t>　      利息</t>
    <phoneticPr fontId="6" type="noConversion"/>
  </si>
  <si>
    <t xml:space="preserve">        其他</t>
    <phoneticPr fontId="6" type="noConversion"/>
  </si>
  <si>
    <t xml:space="preserve">   　   其他</t>
    <phoneticPr fontId="6" type="noConversion"/>
  </si>
  <si>
    <t>　        其他費用</t>
    <phoneticPr fontId="6" type="noConversion"/>
  </si>
  <si>
    <t xml:space="preserve">          其他費用 </t>
    <phoneticPr fontId="6" type="noConversion"/>
  </si>
  <si>
    <t>期初基金數額</t>
    <phoneticPr fontId="6" type="noConversion"/>
  </si>
  <si>
    <t>　加：</t>
    <phoneticPr fontId="6" type="noConversion"/>
  </si>
  <si>
    <t>　　以前年度公積撥充</t>
    <phoneticPr fontId="6" type="noConversion"/>
  </si>
  <si>
    <t>　　賸餘撥充</t>
    <phoneticPr fontId="6" type="noConversion"/>
  </si>
  <si>
    <t>　　其他</t>
    <phoneticPr fontId="6" type="noConversion"/>
  </si>
  <si>
    <t>　減：</t>
    <phoneticPr fontId="6" type="noConversion"/>
  </si>
  <si>
    <t>　　填補短絀</t>
    <phoneticPr fontId="6" type="noConversion"/>
  </si>
  <si>
    <t>期末基金數額</t>
    <phoneticPr fontId="6" type="noConversion"/>
  </si>
  <si>
    <t>　投資性不動產</t>
    <phoneticPr fontId="6" type="noConversion"/>
  </si>
  <si>
    <t>　短期債務</t>
    <phoneticPr fontId="6" type="noConversion"/>
  </si>
  <si>
    <t>　基金</t>
    <phoneticPr fontId="6" type="noConversion"/>
  </si>
  <si>
    <t>公積</t>
    <phoneticPr fontId="6" type="noConversion"/>
  </si>
  <si>
    <t xml:space="preserve">  保險給付</t>
    <phoneticPr fontId="6" type="noConversion"/>
  </si>
  <si>
    <t>　  勞工保險</t>
    <phoneticPr fontId="6" type="noConversion"/>
  </si>
  <si>
    <t>　  就業保險</t>
    <phoneticPr fontId="6" type="noConversion"/>
  </si>
  <si>
    <t>服務費用</t>
  </si>
  <si>
    <t>　水電費</t>
    <phoneticPr fontId="6" type="noConversion"/>
  </si>
  <si>
    <t>　修理保養及保固費</t>
    <phoneticPr fontId="6" type="noConversion"/>
  </si>
  <si>
    <t>　保險費</t>
    <phoneticPr fontId="6" type="noConversion"/>
  </si>
  <si>
    <t>　一般服務費</t>
    <phoneticPr fontId="6" type="noConversion"/>
  </si>
  <si>
    <t>　專業服務費</t>
    <phoneticPr fontId="6" type="noConversion"/>
  </si>
  <si>
    <t>　用品消耗</t>
    <phoneticPr fontId="6" type="noConversion"/>
  </si>
  <si>
    <t>租金與利息</t>
    <phoneticPr fontId="6" type="noConversion"/>
  </si>
  <si>
    <t>　土地稅</t>
    <phoneticPr fontId="6" type="noConversion"/>
  </si>
  <si>
    <t>　房屋稅</t>
    <phoneticPr fontId="6" type="noConversion"/>
  </si>
  <si>
    <t>　規費</t>
    <phoneticPr fontId="6" type="noConversion"/>
  </si>
  <si>
    <t>　提存</t>
    <phoneticPr fontId="6" type="noConversion"/>
  </si>
  <si>
    <t>　其他費用</t>
    <phoneticPr fontId="6" type="noConversion"/>
  </si>
  <si>
    <t>總　　　　　計</t>
    <phoneticPr fontId="6" type="noConversion"/>
  </si>
  <si>
    <t>　攤銷</t>
    <phoneticPr fontId="6" type="noConversion"/>
  </si>
  <si>
    <t>稅捐與規費(強制費)</t>
    <phoneticPr fontId="6" type="noConversion"/>
  </si>
  <si>
    <t>短絀、賠償與保險給付</t>
    <phoneticPr fontId="6" type="noConversion"/>
  </si>
  <si>
    <r>
      <rPr>
        <sz val="12"/>
        <rFont val="標楷體"/>
        <family val="4"/>
        <charset val="136"/>
      </rPr>
      <t>台北市羅斯福路</t>
    </r>
    <r>
      <rPr>
        <sz val="12"/>
        <rFont val="Times New Roman"/>
        <family val="1"/>
      </rPr>
      <t>1</t>
    </r>
    <r>
      <rPr>
        <sz val="12"/>
        <rFont val="標楷體"/>
        <family val="4"/>
        <charset val="136"/>
      </rPr>
      <t>段</t>
    </r>
    <r>
      <rPr>
        <sz val="12"/>
        <rFont val="Times New Roman"/>
        <family val="1"/>
      </rPr>
      <t>4</t>
    </r>
    <r>
      <rPr>
        <sz val="12"/>
        <rFont val="標楷體"/>
        <family val="4"/>
        <charset val="136"/>
      </rPr>
      <t>、</t>
    </r>
    <r>
      <rPr>
        <sz val="12"/>
        <rFont val="Times New Roman"/>
        <family val="1"/>
      </rPr>
      <t>6</t>
    </r>
    <r>
      <rPr>
        <sz val="12"/>
        <rFont val="標楷體"/>
        <family val="4"/>
        <charset val="136"/>
      </rPr>
      <t>號、南海路</t>
    </r>
    <r>
      <rPr>
        <sz val="12"/>
        <rFont val="Times New Roman"/>
        <family val="1"/>
      </rPr>
      <t>1</t>
    </r>
    <r>
      <rPr>
        <sz val="12"/>
        <rFont val="標楷體"/>
        <family val="4"/>
        <charset val="136"/>
      </rPr>
      <t>號</t>
    </r>
    <r>
      <rPr>
        <sz val="12"/>
        <rFont val="Times New Roman"/>
        <family val="1"/>
      </rPr>
      <t>9</t>
    </r>
    <r>
      <rPr>
        <sz val="12"/>
        <rFont val="標楷體"/>
        <family val="4"/>
        <charset val="136"/>
      </rPr>
      <t>樓</t>
    </r>
    <phoneticPr fontId="23" type="noConversion"/>
  </si>
  <si>
    <r>
      <rPr>
        <sz val="12"/>
        <rFont val="標楷體"/>
        <family val="4"/>
        <charset val="136"/>
      </rPr>
      <t>台北市南昌路</t>
    </r>
    <r>
      <rPr>
        <sz val="12"/>
        <rFont val="Times New Roman"/>
        <family val="1"/>
      </rPr>
      <t>1</t>
    </r>
    <r>
      <rPr>
        <sz val="12"/>
        <rFont val="標楷體"/>
        <family val="4"/>
        <charset val="136"/>
      </rPr>
      <t>段</t>
    </r>
    <r>
      <rPr>
        <sz val="12"/>
        <rFont val="Times New Roman"/>
        <family val="1"/>
      </rPr>
      <t>5</t>
    </r>
    <r>
      <rPr>
        <sz val="12"/>
        <rFont val="標楷體"/>
        <family val="4"/>
        <charset val="136"/>
      </rPr>
      <t>號</t>
    </r>
    <r>
      <rPr>
        <sz val="12"/>
        <rFont val="Times New Roman"/>
        <family val="1"/>
      </rPr>
      <t>(</t>
    </r>
    <r>
      <rPr>
        <sz val="12"/>
        <rFont val="標楷體"/>
        <family val="4"/>
        <charset val="136"/>
      </rPr>
      <t>停車場</t>
    </r>
    <r>
      <rPr>
        <sz val="12"/>
        <rFont val="Times New Roman"/>
        <family val="1"/>
      </rPr>
      <t>)</t>
    </r>
    <phoneticPr fontId="23" type="noConversion"/>
  </si>
  <si>
    <r>
      <rPr>
        <sz val="12"/>
        <rFont val="標楷體"/>
        <family val="4"/>
        <charset val="136"/>
      </rPr>
      <t>台北市濟南路</t>
    </r>
    <r>
      <rPr>
        <sz val="12"/>
        <rFont val="Times New Roman"/>
        <family val="1"/>
      </rPr>
      <t>2</t>
    </r>
    <r>
      <rPr>
        <sz val="12"/>
        <rFont val="標楷體"/>
        <family val="4"/>
        <charset val="136"/>
      </rPr>
      <t>段</t>
    </r>
    <r>
      <rPr>
        <sz val="12"/>
        <rFont val="Times New Roman"/>
        <family val="1"/>
      </rPr>
      <t>42</t>
    </r>
    <r>
      <rPr>
        <sz val="12"/>
        <rFont val="標楷體"/>
        <family val="4"/>
        <charset val="136"/>
      </rPr>
      <t>號</t>
    </r>
    <phoneticPr fontId="23" type="noConversion"/>
  </si>
  <si>
    <r>
      <rPr>
        <sz val="12"/>
        <rFont val="標楷體"/>
        <family val="4"/>
        <charset val="136"/>
      </rPr>
      <t>花蓮市自由街</t>
    </r>
    <r>
      <rPr>
        <sz val="12"/>
        <rFont val="Times New Roman"/>
        <family val="1"/>
      </rPr>
      <t>140</t>
    </r>
    <r>
      <rPr>
        <sz val="12"/>
        <rFont val="標楷體"/>
        <family val="4"/>
        <charset val="136"/>
      </rPr>
      <t>號</t>
    </r>
    <phoneticPr fontId="23" type="noConversion"/>
  </si>
  <si>
    <r>
      <rPr>
        <sz val="12"/>
        <rFont val="標楷體"/>
        <family val="4"/>
        <charset val="136"/>
      </rPr>
      <t>台北市杭州南路</t>
    </r>
    <r>
      <rPr>
        <sz val="12"/>
        <rFont val="Times New Roman"/>
        <family val="1"/>
      </rPr>
      <t>1</t>
    </r>
    <r>
      <rPr>
        <sz val="12"/>
        <rFont val="標楷體"/>
        <family val="4"/>
        <charset val="136"/>
      </rPr>
      <t>段</t>
    </r>
    <r>
      <rPr>
        <sz val="12"/>
        <rFont val="Times New Roman"/>
        <family val="1"/>
      </rPr>
      <t>111</t>
    </r>
    <r>
      <rPr>
        <sz val="12"/>
        <rFont val="標楷體"/>
        <family val="4"/>
        <charset val="136"/>
      </rPr>
      <t>巷</t>
    </r>
    <r>
      <rPr>
        <sz val="12"/>
        <rFont val="Times New Roman"/>
        <family val="1"/>
      </rPr>
      <t>13-1</t>
    </r>
    <r>
      <rPr>
        <sz val="12"/>
        <rFont val="標楷體"/>
        <family val="4"/>
        <charset val="136"/>
      </rPr>
      <t>、</t>
    </r>
    <r>
      <rPr>
        <sz val="12"/>
        <rFont val="Times New Roman"/>
        <family val="1"/>
      </rPr>
      <t>13-2</t>
    </r>
    <r>
      <rPr>
        <sz val="12"/>
        <rFont val="標楷體"/>
        <family val="4"/>
        <charset val="136"/>
      </rPr>
      <t>號</t>
    </r>
    <phoneticPr fontId="23" type="noConversion"/>
  </si>
  <si>
    <r>
      <rPr>
        <sz val="12"/>
        <rFont val="標楷體"/>
        <family val="4"/>
        <charset val="136"/>
      </rPr>
      <t>台北市中山區正義段</t>
    </r>
    <r>
      <rPr>
        <sz val="12"/>
        <rFont val="Times New Roman"/>
        <family val="1"/>
      </rPr>
      <t>3</t>
    </r>
    <r>
      <rPr>
        <sz val="12"/>
        <rFont val="標楷體"/>
        <family val="4"/>
        <charset val="136"/>
      </rPr>
      <t>小段</t>
    </r>
    <r>
      <rPr>
        <sz val="12"/>
        <rFont val="Times New Roman"/>
        <family val="1"/>
      </rPr>
      <t>217</t>
    </r>
    <r>
      <rPr>
        <sz val="12"/>
        <rFont val="標楷體"/>
        <family val="4"/>
        <charset val="136"/>
      </rPr>
      <t>地號</t>
    </r>
    <phoneticPr fontId="23" type="noConversion"/>
  </si>
  <si>
    <r>
      <rPr>
        <sz val="12"/>
        <rFont val="標楷體"/>
        <family val="4"/>
        <charset val="136"/>
      </rPr>
      <t>台北市中正區成功段</t>
    </r>
    <r>
      <rPr>
        <sz val="12"/>
        <rFont val="Times New Roman"/>
        <family val="1"/>
      </rPr>
      <t>1</t>
    </r>
    <r>
      <rPr>
        <sz val="12"/>
        <rFont val="標楷體"/>
        <family val="4"/>
        <charset val="136"/>
      </rPr>
      <t>小段</t>
    </r>
    <r>
      <rPr>
        <sz val="12"/>
        <rFont val="Times New Roman"/>
        <family val="1"/>
      </rPr>
      <t>10-1</t>
    </r>
    <r>
      <rPr>
        <sz val="12"/>
        <rFont val="標楷體"/>
        <family val="4"/>
        <charset val="136"/>
      </rPr>
      <t>等地號</t>
    </r>
    <r>
      <rPr>
        <sz val="12"/>
        <rFont val="Times New Roman"/>
        <family val="1"/>
      </rPr>
      <t>(</t>
    </r>
    <r>
      <rPr>
        <sz val="12"/>
        <rFont val="標楷體"/>
        <family val="4"/>
        <charset val="136"/>
      </rPr>
      <t>原希望廣場</t>
    </r>
    <r>
      <rPr>
        <sz val="12"/>
        <rFont val="Times New Roman"/>
        <family val="1"/>
      </rPr>
      <t>)</t>
    </r>
    <phoneticPr fontId="23" type="noConversion"/>
  </si>
  <si>
    <r>
      <rPr>
        <sz val="12"/>
        <rFont val="標楷體"/>
        <family val="4"/>
        <charset val="136"/>
      </rPr>
      <t>台北市林森北路</t>
    </r>
    <r>
      <rPr>
        <sz val="12"/>
        <rFont val="Times New Roman"/>
        <family val="1"/>
      </rPr>
      <t>85</t>
    </r>
    <r>
      <rPr>
        <sz val="12"/>
        <rFont val="標楷體"/>
        <family val="4"/>
        <charset val="136"/>
      </rPr>
      <t>巷</t>
    </r>
    <r>
      <rPr>
        <sz val="12"/>
        <rFont val="Times New Roman"/>
        <family val="1"/>
      </rPr>
      <t>46-1</t>
    </r>
    <r>
      <rPr>
        <sz val="12"/>
        <rFont val="標楷體"/>
        <family val="4"/>
        <charset val="136"/>
      </rPr>
      <t>、</t>
    </r>
    <r>
      <rPr>
        <sz val="12"/>
        <rFont val="Times New Roman"/>
        <family val="1"/>
      </rPr>
      <t>46-2</t>
    </r>
    <r>
      <rPr>
        <sz val="12"/>
        <rFont val="標楷體"/>
        <family val="4"/>
        <charset val="136"/>
      </rPr>
      <t>、</t>
    </r>
    <r>
      <rPr>
        <sz val="12"/>
        <rFont val="Times New Roman"/>
        <family val="1"/>
      </rPr>
      <t>46-3</t>
    </r>
    <r>
      <rPr>
        <sz val="12"/>
        <rFont val="標楷體"/>
        <family val="4"/>
        <charset val="136"/>
      </rPr>
      <t>號</t>
    </r>
    <phoneticPr fontId="6" type="noConversion"/>
  </si>
  <si>
    <t>　  　  被保險人負擔</t>
    <phoneticPr fontId="23" type="noConversion"/>
  </si>
  <si>
    <t xml:space="preserve">      職業訓練機構接受
      訓練者</t>
    <phoneticPr fontId="6" type="noConversion"/>
  </si>
  <si>
    <t>　 　   投保單位負擔</t>
    <phoneticPr fontId="23" type="noConversion"/>
  </si>
  <si>
    <t>　　 　 被保險人負擔</t>
    <phoneticPr fontId="23" type="noConversion"/>
  </si>
  <si>
    <t xml:space="preserve">      公司、行號之員工          </t>
    <phoneticPr fontId="6" type="noConversion"/>
  </si>
  <si>
    <t xml:space="preserve"> 　     政府補助</t>
    <phoneticPr fontId="23" type="noConversion"/>
  </si>
  <si>
    <t>　　  　被保險人負擔</t>
    <phoneticPr fontId="23" type="noConversion"/>
  </si>
  <si>
    <t>　調整項目</t>
    <phoneticPr fontId="6" type="noConversion"/>
  </si>
  <si>
    <r>
      <rPr>
        <sz val="10"/>
        <rFont val="標楷體"/>
        <family val="4"/>
        <charset val="136"/>
      </rPr>
      <t>％</t>
    </r>
  </si>
  <si>
    <r>
      <t xml:space="preserve">      </t>
    </r>
    <r>
      <rPr>
        <sz val="10"/>
        <rFont val="標楷體"/>
        <family val="4"/>
        <charset val="136"/>
      </rPr>
      <t xml:space="preserve">
</t>
    </r>
    <r>
      <rPr>
        <sz val="10"/>
        <rFont val="Times New Roman"/>
        <family val="1"/>
      </rPr>
      <t xml:space="preserve">   
     </t>
    </r>
    <phoneticPr fontId="6" type="noConversion"/>
  </si>
  <si>
    <t xml:space="preserve">  收取利息</t>
    <phoneticPr fontId="6" type="noConversion"/>
  </si>
  <si>
    <t xml:space="preserve">  旅運費</t>
    <phoneticPr fontId="6" type="noConversion"/>
  </si>
  <si>
    <r>
      <t>4.</t>
    </r>
    <r>
      <rPr>
        <sz val="12"/>
        <rFont val="標楷體"/>
        <family val="4"/>
        <charset val="136"/>
      </rPr>
      <t>攤銷</t>
    </r>
    <phoneticPr fontId="6" type="noConversion"/>
  </si>
  <si>
    <r>
      <rPr>
        <sz val="12"/>
        <rFont val="標楷體"/>
        <family val="4"/>
        <charset val="136"/>
      </rPr>
      <t>係勞工保險業務減少其他資產千元。</t>
    </r>
    <phoneticPr fontId="6" type="noConversion"/>
  </si>
  <si>
    <t>期末現金及約當現金</t>
  </si>
  <si>
    <t xml:space="preserve">  利息股利之調整</t>
    <phoneticPr fontId="6" type="noConversion"/>
  </si>
  <si>
    <t xml:space="preserve">  未計利息股利之本期賸餘（短絀）</t>
    <phoneticPr fontId="6" type="noConversion"/>
  </si>
  <si>
    <t xml:space="preserve">  未計利息股利之現金流入（流出）</t>
    <phoneticPr fontId="6" type="noConversion"/>
  </si>
  <si>
    <t xml:space="preserve">  收取利息</t>
    <phoneticPr fontId="6" type="noConversion"/>
  </si>
  <si>
    <t xml:space="preserve">  支付利息</t>
    <phoneticPr fontId="6" type="noConversion"/>
  </si>
  <si>
    <t>　　折減基金繳庫</t>
    <phoneticPr fontId="6" type="noConversion"/>
  </si>
  <si>
    <r>
      <t xml:space="preserve">  </t>
    </r>
    <r>
      <rPr>
        <sz val="12"/>
        <rFont val="標楷體"/>
        <family val="4"/>
        <charset val="136"/>
      </rPr>
      <t>支付利息</t>
    </r>
    <phoneticPr fontId="6" type="noConversion"/>
  </si>
  <si>
    <t>　  籌資活動之淨現金流入（流出）</t>
    <phoneticPr fontId="6" type="noConversion"/>
  </si>
  <si>
    <r>
      <rPr>
        <sz val="12"/>
        <rFont val="標楷體"/>
        <family val="4"/>
        <charset val="136"/>
      </rPr>
      <t>編列千元，係基金委託評選案審查文件郵費等。</t>
    </r>
    <phoneticPr fontId="6" type="noConversion"/>
  </si>
  <si>
    <t xml:space="preserve">  就業保險</t>
    <phoneticPr fontId="6" type="noConversion"/>
  </si>
  <si>
    <r>
      <rPr>
        <b/>
        <sz val="12"/>
        <rFont val="標楷體"/>
        <family val="4"/>
        <charset val="136"/>
      </rPr>
      <t>保險給付</t>
    </r>
    <phoneticPr fontId="23" type="noConversion"/>
  </si>
  <si>
    <t>　  保費收入</t>
    <phoneticPr fontId="6" type="noConversion"/>
  </si>
  <si>
    <t>預(決)算數</t>
    <phoneticPr fontId="6" type="noConversion"/>
  </si>
  <si>
    <r>
      <t xml:space="preserve">           </t>
    </r>
    <r>
      <rPr>
        <sz val="12"/>
        <rFont val="標楷體"/>
        <family val="4"/>
        <charset val="136"/>
      </rPr>
      <t>複檢費用</t>
    </r>
    <phoneticPr fontId="23" type="noConversion"/>
  </si>
  <si>
    <r>
      <t xml:space="preserve">           </t>
    </r>
    <r>
      <rPr>
        <sz val="12"/>
        <rFont val="標楷體"/>
        <family val="4"/>
        <charset val="136"/>
      </rPr>
      <t>傷病給付</t>
    </r>
    <phoneticPr fontId="23" type="noConversion"/>
  </si>
  <si>
    <r>
      <t xml:space="preserve">           </t>
    </r>
    <r>
      <rPr>
        <sz val="12"/>
        <rFont val="標楷體"/>
        <family val="4"/>
        <charset val="136"/>
      </rPr>
      <t>失能給付</t>
    </r>
    <phoneticPr fontId="23" type="noConversion"/>
  </si>
  <si>
    <r>
      <t xml:space="preserve">           </t>
    </r>
    <r>
      <rPr>
        <sz val="12"/>
        <rFont val="標楷體"/>
        <family val="4"/>
        <charset val="136"/>
      </rPr>
      <t>死亡給付</t>
    </r>
    <phoneticPr fontId="23" type="noConversion"/>
  </si>
  <si>
    <r>
      <rPr>
        <b/>
        <sz val="12"/>
        <rFont val="標楷體"/>
        <family val="4"/>
        <charset val="136"/>
      </rPr>
      <t>　</t>
    </r>
    <r>
      <rPr>
        <b/>
        <sz val="12"/>
        <rFont val="Times New Roman"/>
        <family val="1"/>
      </rPr>
      <t xml:space="preserve">   </t>
    </r>
    <r>
      <rPr>
        <b/>
        <sz val="12"/>
        <rFont val="標楷體"/>
        <family val="4"/>
        <charset val="136"/>
      </rPr>
      <t>現金給付</t>
    </r>
    <phoneticPr fontId="23" type="noConversion"/>
  </si>
  <si>
    <t>業務外收入</t>
    <phoneticPr fontId="6" type="noConversion"/>
  </si>
  <si>
    <t>記得要改圖表內數字</t>
    <phoneticPr fontId="6" type="noConversion"/>
  </si>
  <si>
    <t>檢核</t>
    <phoneticPr fontId="6" type="noConversion"/>
  </si>
  <si>
    <t>檢核</t>
    <phoneticPr fontId="6" type="noConversion"/>
  </si>
  <si>
    <t xml:space="preserve">  </t>
    <phoneticPr fontId="6" type="noConversion"/>
  </si>
  <si>
    <r>
      <rPr>
        <sz val="12"/>
        <rFont val="標楷體"/>
        <family val="4"/>
        <charset val="136"/>
      </rPr>
      <t>編列</t>
    </r>
    <r>
      <rPr>
        <sz val="12"/>
        <rFont val="標楷體"/>
        <family val="4"/>
        <charset val="136"/>
      </rPr>
      <t>千元，係基金委託經營外聘委員之旅運費等。</t>
    </r>
    <phoneticPr fontId="6" type="noConversion"/>
  </si>
  <si>
    <r>
      <rPr>
        <sz val="12"/>
        <rFont val="標楷體"/>
        <family val="4"/>
        <charset val="136"/>
      </rPr>
      <t>編列</t>
    </r>
    <r>
      <rPr>
        <sz val="12"/>
        <rFont val="標楷體"/>
        <family val="4"/>
        <charset val="136"/>
      </rPr>
      <t>千元，係基金國外委託經營之評選文件印刷費等。</t>
    </r>
    <phoneticPr fontId="6" type="noConversion"/>
  </si>
  <si>
    <r>
      <rPr>
        <sz val="12"/>
        <rFont val="標楷體"/>
        <family val="4"/>
        <charset val="136"/>
      </rPr>
      <t>編列</t>
    </r>
    <r>
      <rPr>
        <sz val="12"/>
        <rFont val="標楷體"/>
        <family val="4"/>
        <charset val="136"/>
      </rPr>
      <t>千元，係基金委託經營評選會議便當等。</t>
    </r>
    <phoneticPr fontId="6" type="noConversion"/>
  </si>
  <si>
    <t xml:space="preserve">        攤銷</t>
    <phoneticPr fontId="6" type="noConversion"/>
  </si>
  <si>
    <t>貸款
年度</t>
    <phoneticPr fontId="23" type="noConversion"/>
  </si>
  <si>
    <t>期初貸出
餘額</t>
    <phoneticPr fontId="23" type="noConversion"/>
  </si>
  <si>
    <t>本年度收回
金額</t>
    <phoneticPr fontId="23" type="noConversion"/>
  </si>
  <si>
    <t>農保組及基金運用局</t>
    <phoneticPr fontId="6" type="noConversion"/>
  </si>
  <si>
    <t>保費組</t>
    <phoneticPr fontId="6" type="noConversion"/>
  </si>
  <si>
    <t xml:space="preserve"> </t>
    <phoneticPr fontId="6" type="noConversion"/>
  </si>
  <si>
    <t>合計</t>
    <phoneticPr fontId="6" type="noConversion"/>
  </si>
  <si>
    <t>本年度貸出
金額</t>
    <phoneticPr fontId="23" type="noConversion"/>
  </si>
  <si>
    <t>比較增減</t>
    <phoneticPr fontId="6" type="noConversion"/>
  </si>
  <si>
    <r>
      <rPr>
        <sz val="12"/>
        <rFont val="標楷體"/>
        <family val="4"/>
        <charset val="136"/>
      </rPr>
      <t>本科目全數由勞動部勞動基金運用局辦理。</t>
    </r>
    <phoneticPr fontId="6" type="noConversion"/>
  </si>
  <si>
    <t>　　國庫增撥數</t>
    <phoneticPr fontId="6" type="noConversion"/>
  </si>
  <si>
    <t>計畫名稱</t>
    <phoneticPr fontId="23" type="noConversion"/>
  </si>
  <si>
    <t>國庫帳戶台幣存款，由勞動部勞工保險局辦理。</t>
    <phoneticPr fontId="6" type="noConversion"/>
  </si>
  <si>
    <r>
      <t xml:space="preserve">
</t>
    </r>
    <r>
      <rPr>
        <sz val="12"/>
        <rFont val="標楷體"/>
        <family val="4"/>
        <charset val="136"/>
      </rPr>
      <t>係依據行政院</t>
    </r>
    <r>
      <rPr>
        <sz val="12"/>
        <rFont val="Times New Roman"/>
        <family val="1"/>
      </rPr>
      <t>89</t>
    </r>
    <r>
      <rPr>
        <sz val="12"/>
        <rFont val="標楷體"/>
        <family val="4"/>
        <charset val="136"/>
      </rPr>
      <t>年</t>
    </r>
    <r>
      <rPr>
        <sz val="12"/>
        <rFont val="Times New Roman"/>
        <family val="1"/>
      </rPr>
      <t>5</t>
    </r>
    <r>
      <rPr>
        <sz val="12"/>
        <rFont val="標楷體"/>
        <family val="4"/>
        <charset val="136"/>
      </rPr>
      <t>月</t>
    </r>
    <r>
      <rPr>
        <sz val="12"/>
        <rFont val="Times New Roman"/>
        <family val="1"/>
      </rPr>
      <t>18</t>
    </r>
    <r>
      <rPr>
        <sz val="12"/>
        <rFont val="標楷體"/>
        <family val="4"/>
        <charset val="136"/>
      </rPr>
      <t>日台</t>
    </r>
    <r>
      <rPr>
        <sz val="12"/>
        <rFont val="Times New Roman"/>
        <family val="1"/>
      </rPr>
      <t>89</t>
    </r>
    <r>
      <rPr>
        <sz val="12"/>
        <rFont val="標楷體"/>
        <family val="4"/>
        <charset val="136"/>
      </rPr>
      <t>忠一字第</t>
    </r>
    <r>
      <rPr>
        <sz val="12"/>
        <rFont val="Times New Roman"/>
        <family val="1"/>
      </rPr>
      <t>09118</t>
    </r>
    <r>
      <rPr>
        <sz val="12"/>
        <rFont val="標楷體"/>
        <family val="4"/>
        <charset val="136"/>
      </rPr>
      <t>號函辦理農保短期週轉。</t>
    </r>
    <phoneticPr fontId="6" type="noConversion"/>
  </si>
  <si>
    <t>截至本年度
累計
貸出餘額</t>
    <phoneticPr fontId="23" type="noConversion"/>
  </si>
  <si>
    <t xml:space="preserve">
</t>
    <phoneticPr fontId="6" type="noConversion"/>
  </si>
  <si>
    <t>2.</t>
    <phoneticPr fontId="6" type="noConversion"/>
  </si>
  <si>
    <t xml:space="preserve">
1.
2.</t>
    <phoneticPr fontId="6" type="noConversion"/>
  </si>
  <si>
    <t>　　  農保</t>
  </si>
  <si>
    <t>　　  農保</t>
    <phoneticPr fontId="6" type="noConversion"/>
  </si>
  <si>
    <t>　　  農職保</t>
  </si>
  <si>
    <t xml:space="preserve"> 農保及農職保</t>
    <phoneticPr fontId="6" type="noConversion"/>
  </si>
  <si>
    <t>註：百分比及前年度決算數細數之和與總數或略有出入，係四捨五入關係。以下各表同。</t>
    <phoneticPr fontId="6" type="noConversion"/>
  </si>
  <si>
    <t>營運量</t>
  </si>
  <si>
    <t>營運量</t>
    <phoneticPr fontId="6" type="noConversion"/>
  </si>
  <si>
    <t>利率</t>
  </si>
  <si>
    <t>利率</t>
    <phoneticPr fontId="6" type="noConversion"/>
  </si>
  <si>
    <t>收入</t>
    <phoneticPr fontId="6" type="noConversion"/>
  </si>
  <si>
    <t xml:space="preserve">  農保及農職保</t>
    <phoneticPr fontId="6" type="noConversion"/>
  </si>
  <si>
    <t xml:space="preserve">      農保</t>
    <phoneticPr fontId="6" type="noConversion"/>
  </si>
  <si>
    <t xml:space="preserve">      農職保</t>
    <phoneticPr fontId="6" type="noConversion"/>
  </si>
  <si>
    <t>　農保及農職保</t>
    <phoneticPr fontId="6" type="noConversion"/>
  </si>
  <si>
    <t xml:space="preserve">        農保</t>
    <phoneticPr fontId="6" type="noConversion"/>
  </si>
  <si>
    <t xml:space="preserve">        農職保</t>
    <phoneticPr fontId="6" type="noConversion"/>
  </si>
  <si>
    <t xml:space="preserve">     農保</t>
    <phoneticPr fontId="6" type="noConversion"/>
  </si>
  <si>
    <t xml:space="preserve">     農職保</t>
    <phoneticPr fontId="6" type="noConversion"/>
  </si>
  <si>
    <t xml:space="preserve">        農保</t>
    <phoneticPr fontId="6" type="noConversion"/>
  </si>
  <si>
    <t xml:space="preserve">        農保</t>
    <phoneticPr fontId="6" type="noConversion"/>
  </si>
  <si>
    <t>　　　    農保</t>
    <phoneticPr fontId="6" type="noConversion"/>
  </si>
  <si>
    <t>　　　    農職保</t>
    <phoneticPr fontId="6" type="noConversion"/>
  </si>
  <si>
    <t>　農保及農職保</t>
    <phoneticPr fontId="6" type="noConversion"/>
  </si>
  <si>
    <t>　  農保及農職保</t>
    <phoneticPr fontId="6" type="noConversion"/>
  </si>
  <si>
    <r>
      <rPr>
        <sz val="12"/>
        <rFont val="標楷體"/>
        <family val="4"/>
        <charset val="136"/>
      </rPr>
      <t>台北市大安區懷生段</t>
    </r>
    <r>
      <rPr>
        <sz val="12"/>
        <rFont val="Times New Roman"/>
        <family val="1"/>
      </rPr>
      <t>4</t>
    </r>
    <r>
      <rPr>
        <sz val="12"/>
        <rFont val="標楷體"/>
        <family val="4"/>
        <charset val="136"/>
      </rPr>
      <t>小段</t>
    </r>
    <r>
      <rPr>
        <sz val="12"/>
        <rFont val="Times New Roman"/>
        <family val="1"/>
      </rPr>
      <t>350</t>
    </r>
    <r>
      <rPr>
        <sz val="12"/>
        <rFont val="標楷體"/>
        <family val="4"/>
        <charset val="136"/>
      </rPr>
      <t>地號</t>
    </r>
    <phoneticPr fontId="23" type="noConversion"/>
  </si>
  <si>
    <t>　農保及農職保</t>
    <phoneticPr fontId="6" type="noConversion"/>
  </si>
  <si>
    <t xml:space="preserve">    農保 </t>
    <phoneticPr fontId="6" type="noConversion"/>
  </si>
  <si>
    <t xml:space="preserve">  　  保費收入</t>
    <phoneticPr fontId="6" type="noConversion"/>
  </si>
  <si>
    <t>　  農職保</t>
    <phoneticPr fontId="6" type="noConversion"/>
  </si>
  <si>
    <t xml:space="preserve">   　 保費收入</t>
    <phoneticPr fontId="6" type="noConversion"/>
  </si>
  <si>
    <t>　      被保險人負擔</t>
    <phoneticPr fontId="23" type="noConversion"/>
  </si>
  <si>
    <t>　      政府補助</t>
    <phoneticPr fontId="23" type="noConversion"/>
  </si>
  <si>
    <t xml:space="preserve"> 　   滯納金收入 </t>
    <phoneticPr fontId="6" type="noConversion"/>
  </si>
  <si>
    <t>　  　農職保</t>
    <phoneticPr fontId="6" type="noConversion"/>
  </si>
  <si>
    <t>其他</t>
    <phoneticPr fontId="6" type="noConversion"/>
  </si>
  <si>
    <t xml:space="preserve">房屋及
建築  </t>
    <phoneticPr fontId="103" type="noConversion"/>
  </si>
  <si>
    <t>機械及
設備</t>
    <phoneticPr fontId="103" type="noConversion"/>
  </si>
  <si>
    <t>什 項 
設 備</t>
    <phoneticPr fontId="103" type="noConversion"/>
  </si>
  <si>
    <t>租賃
權益</t>
    <phoneticPr fontId="103" type="noConversion"/>
  </si>
  <si>
    <t>租賃權
益改良</t>
    <phoneticPr fontId="6" type="noConversion"/>
  </si>
  <si>
    <t xml:space="preserve"> </t>
    <phoneticPr fontId="103" type="noConversion"/>
  </si>
  <si>
    <t>　勞工保險</t>
    <phoneticPr fontId="6" type="noConversion"/>
  </si>
  <si>
    <t>本期賸餘（短絀）</t>
  </si>
  <si>
    <r>
      <rPr>
        <sz val="12"/>
        <rFont val="標楷體"/>
        <family val="4"/>
        <charset val="136"/>
      </rPr>
      <t>係申請人溢領保險給付，經函請退還溢領款項，逾期未繳還經移送行政執行署依法執行後，依當年度</t>
    </r>
    <r>
      <rPr>
        <sz val="12"/>
        <rFont val="Times New Roman"/>
        <family val="1"/>
      </rPr>
      <t>1</t>
    </r>
    <r>
      <rPr>
        <sz val="12"/>
        <rFont val="標楷體"/>
        <family val="4"/>
        <charset val="136"/>
      </rPr>
      <t>月</t>
    </r>
    <r>
      <rPr>
        <sz val="12"/>
        <rFont val="Times New Roman"/>
        <family val="1"/>
      </rPr>
      <t>1</t>
    </r>
    <r>
      <rPr>
        <sz val="12"/>
        <rFont val="標楷體"/>
        <family val="4"/>
        <charset val="136"/>
      </rPr>
      <t>日郵政儲金</t>
    </r>
    <r>
      <rPr>
        <sz val="12"/>
        <rFont val="Times New Roman"/>
        <family val="1"/>
      </rPr>
      <t>1</t>
    </r>
    <r>
      <rPr>
        <sz val="12"/>
        <rFont val="標楷體"/>
        <family val="4"/>
        <charset val="136"/>
      </rPr>
      <t>年期定期存款固定利率加計利息所產生之遲延利息。</t>
    </r>
    <phoneticPr fontId="6" type="noConversion"/>
  </si>
  <si>
    <r>
      <rPr>
        <sz val="12"/>
        <rFont val="標楷體"/>
        <family val="4"/>
        <charset val="136"/>
      </rPr>
      <t>係被保險人貸款違約金收入。</t>
    </r>
    <phoneticPr fontId="6" type="noConversion"/>
  </si>
  <si>
    <t>不動產、廠房及設備</t>
    <phoneticPr fontId="6" type="noConversion"/>
  </si>
  <si>
    <t>投資性
不動產</t>
    <phoneticPr fontId="6" type="noConversion"/>
  </si>
  <si>
    <t>前年度決算資產原值</t>
    <phoneticPr fontId="6" type="noConversion"/>
  </si>
  <si>
    <t>上年度預計增減資產原值</t>
    <phoneticPr fontId="6" type="noConversion"/>
  </si>
  <si>
    <t>本年度預計增減資產原值</t>
    <phoneticPr fontId="6" type="noConversion"/>
  </si>
  <si>
    <t>資產重估增值額</t>
    <phoneticPr fontId="6" type="noConversion"/>
  </si>
  <si>
    <t>本年度(12月底)止資產總額</t>
    <phoneticPr fontId="6" type="noConversion"/>
  </si>
  <si>
    <t>本年度應提折舊額</t>
    <phoneticPr fontId="6" type="noConversion"/>
  </si>
  <si>
    <t>項目</t>
    <phoneticPr fontId="6" type="noConversion"/>
  </si>
  <si>
    <t>土地
改
良物</t>
    <phoneticPr fontId="103" type="noConversion"/>
  </si>
  <si>
    <t>交通
及運
輸設備</t>
    <phoneticPr fontId="6" type="noConversion"/>
  </si>
  <si>
    <t>生產
性
植物</t>
    <phoneticPr fontId="6" type="noConversion"/>
  </si>
  <si>
    <t xml:space="preserve">   投資性
    不動產
    折舊</t>
    <phoneticPr fontId="6" type="noConversion"/>
  </si>
  <si>
    <t xml:space="preserve"> 出租資產
  成本</t>
    <phoneticPr fontId="6" type="noConversion"/>
  </si>
  <si>
    <t>短期貸款</t>
    <phoneticPr fontId="6" type="noConversion"/>
  </si>
  <si>
    <t>應收到期長期貸款</t>
    <phoneticPr fontId="6" type="noConversion"/>
  </si>
  <si>
    <t>小計</t>
    <phoneticPr fontId="6" type="noConversion"/>
  </si>
  <si>
    <t>長期貸款</t>
    <phoneticPr fontId="6" type="noConversion"/>
  </si>
  <si>
    <t>減:轉列應收到期長期貸款</t>
    <phoneticPr fontId="6" type="noConversion"/>
  </si>
  <si>
    <r>
      <rPr>
        <sz val="12"/>
        <rFont val="標楷體"/>
        <family val="4"/>
        <charset val="136"/>
      </rPr>
      <t>備註</t>
    </r>
    <phoneticPr fontId="23" type="noConversion"/>
  </si>
  <si>
    <t>資產折舊明細表</t>
    <phoneticPr fontId="6" type="noConversion"/>
  </si>
  <si>
    <t>　　    攤銷</t>
    <phoneticPr fontId="6" type="noConversion"/>
  </si>
  <si>
    <r>
      <rPr>
        <sz val="12"/>
        <rFont val="標楷體"/>
        <family val="4"/>
        <charset val="136"/>
      </rPr>
      <t>係依據勞動部改制前之行政院勞工委員會</t>
    </r>
    <r>
      <rPr>
        <sz val="12"/>
        <rFont val="Times New Roman"/>
        <family val="1"/>
      </rPr>
      <t>93</t>
    </r>
    <r>
      <rPr>
        <sz val="12"/>
        <rFont val="標楷體"/>
        <family val="4"/>
        <charset val="136"/>
      </rPr>
      <t>年</t>
    </r>
    <r>
      <rPr>
        <sz val="12"/>
        <rFont val="Times New Roman"/>
        <family val="1"/>
      </rPr>
      <t>10</t>
    </r>
    <r>
      <rPr>
        <sz val="12"/>
        <rFont val="標楷體"/>
        <family val="4"/>
        <charset val="136"/>
      </rPr>
      <t>月</t>
    </r>
    <r>
      <rPr>
        <sz val="12"/>
        <rFont val="Times New Roman"/>
        <family val="1"/>
      </rPr>
      <t>26</t>
    </r>
    <r>
      <rPr>
        <sz val="12"/>
        <rFont val="標楷體"/>
        <family val="4"/>
        <charset val="136"/>
      </rPr>
      <t>日勞保</t>
    </r>
    <r>
      <rPr>
        <sz val="12"/>
        <rFont val="Times New Roman"/>
        <family val="1"/>
      </rPr>
      <t>1</t>
    </r>
    <r>
      <rPr>
        <sz val="12"/>
        <rFont val="標楷體"/>
        <family val="4"/>
        <charset val="136"/>
      </rPr>
      <t>字第</t>
    </r>
    <r>
      <rPr>
        <sz val="12"/>
        <rFont val="Times New Roman"/>
        <family val="1"/>
      </rPr>
      <t>0930051342</t>
    </r>
    <r>
      <rPr>
        <sz val="12"/>
        <rFont val="標楷體"/>
        <family val="4"/>
        <charset val="136"/>
      </rPr>
      <t>號函示，同意投保單位繳納保險費之金額差異在新臺幣</t>
    </r>
    <r>
      <rPr>
        <sz val="12"/>
        <rFont val="Times New Roman"/>
        <family val="1"/>
      </rPr>
      <t>10</t>
    </r>
    <r>
      <rPr>
        <sz val="12"/>
        <rFont val="標楷體"/>
        <family val="4"/>
        <charset val="136"/>
      </rPr>
      <t>元以下者，轉列雜項費用編列</t>
    </r>
    <r>
      <rPr>
        <sz val="12"/>
        <rFont val="Times New Roman"/>
        <family val="1"/>
      </rPr>
      <t>11</t>
    </r>
    <r>
      <rPr>
        <sz val="12"/>
        <rFont val="標楷體"/>
        <family val="4"/>
        <charset val="136"/>
      </rPr>
      <t>千元</t>
    </r>
    <r>
      <rPr>
        <sz val="12"/>
        <rFont val="新細明體"/>
        <family val="1"/>
        <charset val="136"/>
      </rPr>
      <t>。</t>
    </r>
    <phoneticPr fontId="6" type="noConversion"/>
  </si>
  <si>
    <t>　農保及農職保</t>
    <phoneticPr fontId="6" type="noConversion"/>
  </si>
  <si>
    <t xml:space="preserve">         </t>
    <phoneticPr fontId="6" type="noConversion"/>
  </si>
  <si>
    <r>
      <rPr>
        <sz val="12"/>
        <rFont val="標楷體"/>
        <family val="4"/>
        <charset val="136"/>
      </rPr>
      <t>係農職保收入減支出後之虧損數</t>
    </r>
    <r>
      <rPr>
        <sz val="12"/>
        <rFont val="Times New Roman"/>
        <family val="1"/>
      </rPr>
      <t>13,829</t>
    </r>
    <r>
      <rPr>
        <sz val="12"/>
        <rFont val="標楷體"/>
        <family val="4"/>
        <charset val="136"/>
      </rPr>
      <t>千元，依農民健康保險條例第</t>
    </r>
    <r>
      <rPr>
        <sz val="12"/>
        <rFont val="Times New Roman"/>
        <family val="1"/>
      </rPr>
      <t>44</t>
    </r>
    <r>
      <rPr>
        <sz val="12"/>
        <rFont val="標楷體"/>
        <family val="4"/>
        <charset val="136"/>
      </rPr>
      <t>條之</t>
    </r>
    <r>
      <rPr>
        <sz val="12"/>
        <rFont val="Times New Roman"/>
        <family val="1"/>
      </rPr>
      <t>3</t>
    </r>
    <r>
      <rPr>
        <sz val="12"/>
        <rFont val="標楷體"/>
        <family val="4"/>
        <charset val="136"/>
      </rPr>
      <t>規定，由主管機關撥補。</t>
    </r>
    <phoneticPr fontId="6" type="noConversion"/>
  </si>
  <si>
    <r>
      <rPr>
        <sz val="12"/>
        <rFont val="標楷體"/>
        <family val="4"/>
        <charset val="136"/>
      </rPr>
      <t>編列</t>
    </r>
    <r>
      <rPr>
        <sz val="12"/>
        <rFont val="Times New Roman"/>
        <family val="1"/>
      </rPr>
      <t>506</t>
    </r>
    <r>
      <rPr>
        <sz val="12"/>
        <rFont val="標楷體"/>
        <family val="4"/>
        <charset val="136"/>
      </rPr>
      <t>千元，係建置就業保險基金投資整合資訊系統，依使用年限編列攤銷費用。</t>
    </r>
    <phoneticPr fontId="6" type="noConversion"/>
  </si>
  <si>
    <t>勞動部及所屬機關</t>
    <phoneticPr fontId="6" type="noConversion"/>
  </si>
  <si>
    <r>
      <t>1.</t>
    </r>
    <r>
      <rPr>
        <sz val="12"/>
        <rFont val="標楷體"/>
        <family val="4"/>
        <charset val="136"/>
      </rPr>
      <t xml:space="preserve">提存呆帳
</t>
    </r>
    <r>
      <rPr>
        <sz val="12"/>
        <rFont val="Times New Roman"/>
        <family val="1"/>
      </rPr>
      <t xml:space="preserve">   
   </t>
    </r>
    <phoneticPr fontId="6" type="noConversion"/>
  </si>
  <si>
    <r>
      <t>7.</t>
    </r>
    <r>
      <rPr>
        <sz val="12"/>
        <rFont val="標楷體"/>
        <family val="4"/>
        <charset val="136"/>
      </rPr>
      <t>其他</t>
    </r>
    <r>
      <rPr>
        <sz val="12"/>
        <rFont val="Times New Roman"/>
        <family val="1"/>
      </rPr>
      <t xml:space="preserve"> </t>
    </r>
    <phoneticPr fontId="6" type="noConversion"/>
  </si>
  <si>
    <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6" type="noConversion"/>
  </si>
  <si>
    <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6" type="noConversion"/>
  </si>
  <si>
    <t>收支餘絀預計表</t>
    <phoneticPr fontId="6" type="noConversion"/>
  </si>
  <si>
    <t>前年度決算數</t>
    <phoneticPr fontId="6" type="noConversion"/>
  </si>
  <si>
    <t>本年度預算數</t>
    <phoneticPr fontId="6" type="noConversion"/>
  </si>
  <si>
    <t>上年度預算數</t>
    <phoneticPr fontId="6" type="noConversion"/>
  </si>
  <si>
    <t>比較增減</t>
    <phoneticPr fontId="6" type="noConversion"/>
  </si>
  <si>
    <t>金 額</t>
    <phoneticPr fontId="6" type="noConversion"/>
  </si>
  <si>
    <t>　租金及權利金收入</t>
    <phoneticPr fontId="6" type="noConversion"/>
  </si>
  <si>
    <t>　　投資性不動產收入</t>
    <phoneticPr fontId="6" type="noConversion"/>
  </si>
  <si>
    <t>　投融資業務收入</t>
    <phoneticPr fontId="6" type="noConversion"/>
  </si>
  <si>
    <r>
      <t>　　投資業務收入</t>
    </r>
    <r>
      <rPr>
        <sz val="9"/>
        <rFont val="Times New Roman"/>
        <family val="1"/>
      </rPr>
      <t/>
    </r>
    <phoneticPr fontId="6" type="noConversion"/>
  </si>
  <si>
    <t>　　  就業保險</t>
    <phoneticPr fontId="6" type="noConversion"/>
  </si>
  <si>
    <t>　　融資業務收入</t>
    <phoneticPr fontId="6" type="noConversion"/>
  </si>
  <si>
    <t>　　  就業保險</t>
    <phoneticPr fontId="6" type="noConversion"/>
  </si>
  <si>
    <t>　　手續費收入</t>
    <phoneticPr fontId="6" type="noConversion"/>
  </si>
  <si>
    <t>　　存款利息收入</t>
    <phoneticPr fontId="6" type="noConversion"/>
  </si>
  <si>
    <t>　　  農保</t>
    <phoneticPr fontId="6" type="noConversion"/>
  </si>
  <si>
    <t>　　  農職保</t>
    <phoneticPr fontId="6" type="noConversion"/>
  </si>
  <si>
    <t>　保險收入</t>
    <phoneticPr fontId="6" type="noConversion"/>
  </si>
  <si>
    <t>　　保費收入</t>
    <phoneticPr fontId="6" type="noConversion"/>
  </si>
  <si>
    <t xml:space="preserve">  　收回責任準備</t>
    <phoneticPr fontId="6" type="noConversion"/>
  </si>
  <si>
    <t>　其他業務收入</t>
    <phoneticPr fontId="6" type="noConversion"/>
  </si>
  <si>
    <t>　　其他補助收入</t>
    <phoneticPr fontId="6" type="noConversion"/>
  </si>
  <si>
    <t>　　雜項業務收入</t>
    <phoneticPr fontId="6" type="noConversion"/>
  </si>
  <si>
    <t>-</t>
    <phoneticPr fontId="6" type="noConversion"/>
  </si>
  <si>
    <t>業務成本與費用</t>
    <phoneticPr fontId="6" type="noConversion"/>
  </si>
  <si>
    <t xml:space="preserve">  出租資產成本</t>
    <phoneticPr fontId="6" type="noConversion"/>
  </si>
  <si>
    <t>　　投資性不動產成本</t>
    <phoneticPr fontId="6" type="noConversion"/>
  </si>
  <si>
    <t xml:space="preserve">  投融資業務成本</t>
    <phoneticPr fontId="6" type="noConversion"/>
  </si>
  <si>
    <t>　　投資業務成本</t>
    <phoneticPr fontId="6" type="noConversion"/>
  </si>
  <si>
    <t>　　融資業務成本</t>
    <phoneticPr fontId="6" type="noConversion"/>
  </si>
  <si>
    <t>　　兌換短絀</t>
    <phoneticPr fontId="6" type="noConversion"/>
  </si>
  <si>
    <t>　　  就業保險</t>
    <phoneticPr fontId="6" type="noConversion"/>
  </si>
  <si>
    <t>　保險成本</t>
    <phoneticPr fontId="6" type="noConversion"/>
  </si>
  <si>
    <t>　　保險給付</t>
    <phoneticPr fontId="6" type="noConversion"/>
  </si>
  <si>
    <t>　　提存責任準備</t>
    <phoneticPr fontId="6" type="noConversion"/>
  </si>
  <si>
    <t>　　呆帳</t>
    <phoneticPr fontId="6" type="noConversion"/>
  </si>
  <si>
    <t>　　  就業保險</t>
    <phoneticPr fontId="6" type="noConversion"/>
  </si>
  <si>
    <t>　其他業務成本</t>
    <phoneticPr fontId="6" type="noConversion"/>
  </si>
  <si>
    <t>　　雜項業務成本</t>
    <phoneticPr fontId="6" type="noConversion"/>
  </si>
  <si>
    <t>　　  農保</t>
    <phoneticPr fontId="6" type="noConversion"/>
  </si>
  <si>
    <t>業務賸餘（短絀）</t>
    <phoneticPr fontId="6" type="noConversion"/>
  </si>
  <si>
    <t>業務外收入</t>
    <phoneticPr fontId="6" type="noConversion"/>
  </si>
  <si>
    <t>　財務收入</t>
    <phoneticPr fontId="6" type="noConversion"/>
  </si>
  <si>
    <t>　　利息收入</t>
    <phoneticPr fontId="6" type="noConversion"/>
  </si>
  <si>
    <t>　其他業務外收入</t>
    <phoneticPr fontId="6" type="noConversion"/>
  </si>
  <si>
    <t>　　違規罰款收入</t>
    <phoneticPr fontId="6" type="noConversion"/>
  </si>
  <si>
    <t>　　收回呆帳</t>
    <phoneticPr fontId="6" type="noConversion"/>
  </si>
  <si>
    <t>　　雜項收入</t>
    <phoneticPr fontId="6" type="noConversion"/>
  </si>
  <si>
    <t>　　  農民保險</t>
    <phoneticPr fontId="6" type="noConversion"/>
  </si>
  <si>
    <t>業務外費用</t>
    <phoneticPr fontId="6" type="noConversion"/>
  </si>
  <si>
    <t>　其他業務外費用</t>
    <phoneticPr fontId="6" type="noConversion"/>
  </si>
  <si>
    <t>　　雜項費用</t>
    <phoneticPr fontId="6" type="noConversion"/>
  </si>
  <si>
    <t>業務外賸餘（短絀）</t>
    <phoneticPr fontId="6" type="noConversion"/>
  </si>
  <si>
    <t>本期賸餘（短絀）</t>
    <phoneticPr fontId="6" type="noConversion"/>
  </si>
  <si>
    <t>項    目</t>
    <phoneticPr fontId="6" type="noConversion"/>
  </si>
  <si>
    <t>收入合計</t>
    <phoneticPr fontId="6" type="noConversion"/>
  </si>
  <si>
    <t>成本合計</t>
    <phoneticPr fontId="6" type="noConversion"/>
  </si>
  <si>
    <t>差異數</t>
    <phoneticPr fontId="6" type="noConversion"/>
  </si>
  <si>
    <t>前年度決算數</t>
    <phoneticPr fontId="6" type="noConversion"/>
  </si>
  <si>
    <t>勞工保險－普通</t>
    <phoneticPr fontId="6" type="noConversion"/>
  </si>
  <si>
    <t>勞工保險－職災</t>
    <phoneticPr fontId="6" type="noConversion"/>
  </si>
  <si>
    <t>就業保險</t>
    <phoneticPr fontId="6" type="noConversion"/>
  </si>
  <si>
    <t>農民保險</t>
    <phoneticPr fontId="6" type="noConversion"/>
  </si>
  <si>
    <t>職災保護－已加保勞工</t>
    <phoneticPr fontId="6" type="noConversion"/>
  </si>
  <si>
    <t>職災保護－未加保勞工</t>
    <phoneticPr fontId="6" type="noConversion"/>
  </si>
  <si>
    <t>合計</t>
    <phoneticPr fontId="6" type="noConversion"/>
  </si>
  <si>
    <t>本年度預算數</t>
    <phoneticPr fontId="6" type="noConversion"/>
  </si>
  <si>
    <t>上年度預算數</t>
    <phoneticPr fontId="6" type="noConversion"/>
  </si>
  <si>
    <t>公式</t>
    <phoneticPr fontId="6" type="noConversion"/>
  </si>
  <si>
    <r>
      <rPr>
        <sz val="12"/>
        <rFont val="標楷體"/>
        <family val="4"/>
        <charset val="136"/>
      </rPr>
      <t>編列千元，係基金投資之不動產，辦理相關業務所需旅運費等。</t>
    </r>
    <phoneticPr fontId="6" type="noConversion"/>
  </si>
  <si>
    <t>合    計</t>
    <phoneticPr fontId="6" type="noConversion"/>
  </si>
  <si>
    <t>普通組50千元
保費組12千元</t>
    <phoneticPr fontId="6" type="noConversion"/>
  </si>
  <si>
    <t>　  呆帳(農保)</t>
    <phoneticPr fontId="6" type="noConversion"/>
  </si>
  <si>
    <t>　  提存責任準備(農職保)</t>
    <phoneticPr fontId="6" type="noConversion"/>
  </si>
  <si>
    <t>勞動部勞工保險局</t>
    <phoneticPr fontId="6" type="noConversion"/>
  </si>
  <si>
    <t>　　收回責任準備</t>
    <phoneticPr fontId="6" type="noConversion"/>
  </si>
  <si>
    <r>
      <t>3.</t>
    </r>
    <r>
      <rPr>
        <sz val="12"/>
        <rFont val="標楷體"/>
        <family val="4"/>
        <charset val="136"/>
      </rPr>
      <t>流動資產淨增</t>
    </r>
    <phoneticPr fontId="6"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</si>
  <si>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phoneticPr fontId="6" type="noConversion"/>
  </si>
  <si>
    <r>
      <rPr>
        <sz val="12"/>
        <rFont val="標楷體"/>
        <family val="4"/>
        <charset val="136"/>
      </rPr>
      <t>合計</t>
    </r>
    <phoneticPr fontId="6" type="noConversion"/>
  </si>
  <si>
    <t>　水電費</t>
    <phoneticPr fontId="6" type="noConversion"/>
  </si>
  <si>
    <t>　郵電費</t>
    <phoneticPr fontId="6" type="noConversion"/>
  </si>
  <si>
    <t>　旅運費</t>
    <phoneticPr fontId="6" type="noConversion"/>
  </si>
  <si>
    <t>　修理保養及保固費</t>
    <phoneticPr fontId="6" type="noConversion"/>
  </si>
  <si>
    <t>　使用材料費</t>
    <phoneticPr fontId="6" type="noConversion"/>
  </si>
  <si>
    <t>　用品消耗</t>
    <phoneticPr fontId="6" type="noConversion"/>
  </si>
  <si>
    <t>租金與利息</t>
    <phoneticPr fontId="6" type="noConversion"/>
  </si>
  <si>
    <t>　房租</t>
    <phoneticPr fontId="6" type="noConversion"/>
  </si>
  <si>
    <t>　交通及運輸設備租金</t>
    <phoneticPr fontId="6" type="noConversion"/>
  </si>
  <si>
    <t>折舊、折耗及攤銷</t>
    <phoneticPr fontId="6" type="noConversion"/>
  </si>
  <si>
    <t>　投資性不動產折舊</t>
    <phoneticPr fontId="6" type="noConversion"/>
  </si>
  <si>
    <t>　攤銷</t>
    <phoneticPr fontId="6" type="noConversion"/>
  </si>
  <si>
    <t>稅捐與規費(強制費)</t>
    <phoneticPr fontId="6" type="noConversion"/>
  </si>
  <si>
    <t>　土地稅</t>
    <phoneticPr fontId="6" type="noConversion"/>
  </si>
  <si>
    <t>　房屋稅</t>
    <phoneticPr fontId="6" type="noConversion"/>
  </si>
  <si>
    <t>　規費</t>
    <phoneticPr fontId="6" type="noConversion"/>
  </si>
  <si>
    <t>會費、捐助、補助、分攤、救助（濟）與交流活動費</t>
    <phoneticPr fontId="6" type="noConversion"/>
  </si>
  <si>
    <t>　會費</t>
    <phoneticPr fontId="6" type="noConversion"/>
  </si>
  <si>
    <t>　捐助、補助與獎助</t>
    <phoneticPr fontId="6" type="noConversion"/>
  </si>
  <si>
    <t>短絀、賠償與保險給付</t>
    <phoneticPr fontId="6" type="noConversion"/>
  </si>
  <si>
    <t>　各項短絀</t>
    <phoneticPr fontId="6" type="noConversion"/>
  </si>
  <si>
    <t>　保險給付</t>
    <phoneticPr fontId="6" type="noConversion"/>
  </si>
  <si>
    <t>　提存</t>
    <phoneticPr fontId="6" type="noConversion"/>
  </si>
  <si>
    <t>其他</t>
    <phoneticPr fontId="6" type="noConversion"/>
  </si>
  <si>
    <t>總　　　　　計</t>
    <phoneticPr fontId="6" type="noConversion"/>
  </si>
  <si>
    <r>
      <rPr>
        <sz val="11.5"/>
        <rFont val="標楷體"/>
        <family val="4"/>
        <charset val="136"/>
      </rPr>
      <t>平均月投保
薪資</t>
    </r>
    <r>
      <rPr>
        <sz val="11.5"/>
        <rFont val="Times New Roman"/>
        <family val="1"/>
      </rPr>
      <t xml:space="preserve"> (</t>
    </r>
    <r>
      <rPr>
        <sz val="11.5"/>
        <rFont val="標楷體"/>
        <family val="4"/>
        <charset val="136"/>
      </rPr>
      <t>元</t>
    </r>
    <r>
      <rPr>
        <sz val="11.5"/>
        <rFont val="Times New Roman"/>
        <family val="1"/>
      </rPr>
      <t>)</t>
    </r>
    <phoneticPr fontId="6" type="noConversion"/>
  </si>
  <si>
    <r>
      <rPr>
        <sz val="12"/>
        <rFont val="標楷體"/>
        <family val="4"/>
        <charset val="136"/>
      </rPr>
      <t>　</t>
    </r>
    <r>
      <rPr>
        <sz val="12"/>
        <rFont val="Times New Roman"/>
        <family val="1"/>
      </rPr>
      <t xml:space="preserve">       </t>
    </r>
    <r>
      <rPr>
        <sz val="12"/>
        <rFont val="標楷體"/>
        <family val="4"/>
        <charset val="136"/>
      </rPr>
      <t>門診費用</t>
    </r>
    <phoneticPr fontId="23" type="noConversion"/>
  </si>
  <si>
    <t>　　  勞職保及保護</t>
    <phoneticPr fontId="6" type="noConversion"/>
  </si>
  <si>
    <r>
      <t xml:space="preserve">    </t>
    </r>
    <r>
      <rPr>
        <b/>
        <sz val="12"/>
        <rFont val="標楷體"/>
        <family val="4"/>
        <charset val="136"/>
      </rPr>
      <t>勞工保險</t>
    </r>
    <phoneticPr fontId="23" type="noConversion"/>
  </si>
  <si>
    <r>
      <t xml:space="preserve">           </t>
    </r>
    <r>
      <rPr>
        <sz val="12"/>
        <rFont val="標楷體"/>
        <family val="4"/>
        <charset val="136"/>
      </rPr>
      <t>委託鑑定費用</t>
    </r>
    <phoneticPr fontId="23" type="noConversion"/>
  </si>
  <si>
    <r>
      <t xml:space="preserve">           </t>
    </r>
    <r>
      <rPr>
        <sz val="12"/>
        <rFont val="標楷體"/>
        <family val="4"/>
        <charset val="136"/>
      </rPr>
      <t>病歷查詢費</t>
    </r>
    <phoneticPr fontId="23" type="noConversion"/>
  </si>
  <si>
    <r>
      <t xml:space="preserve">           </t>
    </r>
    <r>
      <rPr>
        <sz val="12"/>
        <rFont val="標楷體"/>
        <family val="4"/>
        <charset val="136"/>
      </rPr>
      <t>特約醫師審查費</t>
    </r>
    <phoneticPr fontId="23" type="noConversion"/>
  </si>
  <si>
    <t>職業災害預防</t>
    <phoneticPr fontId="23" type="noConversion"/>
  </si>
  <si>
    <t>強化職業衛生危害調查、評估、控制技術與管理效能及系統</t>
    <phoneticPr fontId="23" type="noConversion"/>
  </si>
  <si>
    <t>提升勞工健康檢查品質與資訊管理</t>
    <phoneticPr fontId="23" type="noConversion"/>
  </si>
  <si>
    <t>提升勞工職災預防及工安意識</t>
    <phoneticPr fontId="23" type="noConversion"/>
  </si>
  <si>
    <t>機械災害預防及工業區職業安全衛生促進</t>
    <phoneticPr fontId="23" type="noConversion"/>
  </si>
  <si>
    <t>職業災害勞工重建</t>
    <phoneticPr fontId="23" type="noConversion"/>
  </si>
  <si>
    <t>職災勞工復工及重返職場服務</t>
    <phoneticPr fontId="23" type="noConversion"/>
  </si>
  <si>
    <t>勞職保及保護</t>
    <phoneticPr fontId="23" type="noConversion"/>
  </si>
  <si>
    <r>
      <t xml:space="preserve">           </t>
    </r>
    <r>
      <rPr>
        <sz val="12"/>
        <rFont val="標楷體"/>
        <family val="4"/>
        <charset val="136"/>
      </rPr>
      <t xml:space="preserve">補助職業災害勞工醫療期間
</t>
    </r>
    <r>
      <rPr>
        <sz val="12"/>
        <rFont val="Times New Roman"/>
        <family val="1"/>
      </rPr>
      <t xml:space="preserve">           </t>
    </r>
    <r>
      <rPr>
        <sz val="12"/>
        <rFont val="標楷體"/>
        <family val="4"/>
        <charset val="136"/>
      </rPr>
      <t xml:space="preserve">退保自願參加勞工保險者保
</t>
    </r>
    <r>
      <rPr>
        <sz val="12"/>
        <rFont val="Times New Roman"/>
        <family val="1"/>
      </rPr>
      <t xml:space="preserve">           </t>
    </r>
    <r>
      <rPr>
        <sz val="12"/>
        <rFont val="標楷體"/>
        <family val="4"/>
        <charset val="136"/>
      </rPr>
      <t>費</t>
    </r>
    <phoneticPr fontId="23" type="noConversion"/>
  </si>
  <si>
    <t>預防職業病健康檢查</t>
    <phoneticPr fontId="23" type="noConversion"/>
  </si>
  <si>
    <r>
      <rPr>
        <sz val="11.5"/>
        <rFont val="標楷體"/>
        <family val="4"/>
        <charset val="136"/>
      </rPr>
      <t>保險費
率</t>
    </r>
    <r>
      <rPr>
        <sz val="11.5"/>
        <rFont val="Times New Roman"/>
        <family val="1"/>
      </rPr>
      <t>(%)</t>
    </r>
    <phoneticPr fontId="6" type="noConversion"/>
  </si>
  <si>
    <t>科目及業務項目</t>
    <phoneticPr fontId="6" type="noConversion"/>
  </si>
  <si>
    <r>
      <rPr>
        <sz val="12"/>
        <rFont val="標楷體"/>
        <family val="4"/>
        <charset val="136"/>
      </rPr>
      <t>預算數</t>
    </r>
    <phoneticPr fontId="6" type="noConversion"/>
  </si>
  <si>
    <r>
      <rPr>
        <sz val="11.5"/>
        <rFont val="標楷體"/>
        <family val="4"/>
        <charset val="136"/>
      </rPr>
      <t xml:space="preserve">投保人數
</t>
    </r>
    <r>
      <rPr>
        <sz val="11.5"/>
        <rFont val="Times New Roman"/>
        <family val="1"/>
      </rPr>
      <t>(</t>
    </r>
    <r>
      <rPr>
        <sz val="11.5"/>
        <rFont val="標楷體"/>
        <family val="4"/>
        <charset val="136"/>
      </rPr>
      <t>人</t>
    </r>
    <r>
      <rPr>
        <sz val="11.5"/>
        <rFont val="Times New Roman"/>
        <family val="1"/>
      </rPr>
      <t>)</t>
    </r>
    <phoneticPr fontId="6" type="noConversion"/>
  </si>
  <si>
    <r>
      <rPr>
        <sz val="11.5"/>
        <rFont val="標楷體"/>
        <family val="4"/>
        <charset val="136"/>
      </rPr>
      <t>金額</t>
    </r>
    <phoneticPr fontId="6" type="noConversion"/>
  </si>
  <si>
    <t>保費收入</t>
    <phoneticPr fontId="6" type="noConversion"/>
  </si>
  <si>
    <t>　勞工保險</t>
    <phoneticPr fontId="6" type="noConversion"/>
  </si>
  <si>
    <t>1.</t>
    <phoneticPr fontId="6" type="noConversion"/>
  </si>
  <si>
    <t xml:space="preserve">  　保費收入</t>
    <phoneticPr fontId="6" type="noConversion"/>
  </si>
  <si>
    <t>　    產業勞工及交通公
      用事業之員工</t>
    <phoneticPr fontId="6" type="noConversion"/>
  </si>
  <si>
    <t xml:space="preserve">　    公司、行號之員工 </t>
    <phoneticPr fontId="6" type="noConversion"/>
  </si>
  <si>
    <t>2.</t>
    <phoneticPr fontId="6" type="noConversion"/>
  </si>
  <si>
    <t xml:space="preserve">　    新聞、文化、公益
      及合作事業之員工          </t>
    <phoneticPr fontId="6" type="noConversion"/>
  </si>
  <si>
    <t>　    政府機關及公、私
      立學校之員工</t>
    <phoneticPr fontId="6" type="noConversion"/>
  </si>
  <si>
    <t>　    受僱從事漁業生產
      之勞動者</t>
    <phoneticPr fontId="6" type="noConversion"/>
  </si>
  <si>
    <t>　    職業訓練機構接受
      訓練者</t>
    <phoneticPr fontId="6" type="noConversion"/>
  </si>
  <si>
    <t>　    職業勞工</t>
    <phoneticPr fontId="6" type="noConversion"/>
  </si>
  <si>
    <t>　    漁會之甲類會員</t>
    <phoneticPr fontId="6" type="noConversion"/>
  </si>
  <si>
    <t>　    其他各業勞工</t>
    <phoneticPr fontId="6" type="noConversion"/>
  </si>
  <si>
    <t>　    被裁減資遣員工</t>
    <phoneticPr fontId="6" type="noConversion"/>
  </si>
  <si>
    <t>　    外僱船員</t>
    <phoneticPr fontId="6" type="noConversion"/>
  </si>
  <si>
    <t>　    職災續保勞工</t>
    <phoneticPr fontId="6" type="noConversion"/>
  </si>
  <si>
    <t>　    育嬰續保人員</t>
    <phoneticPr fontId="6" type="noConversion"/>
  </si>
  <si>
    <t xml:space="preserve">    滯納金收入</t>
    <phoneticPr fontId="6" type="noConversion"/>
  </si>
  <si>
    <t>　就業保險</t>
    <phoneticPr fontId="6" type="noConversion"/>
  </si>
  <si>
    <t xml:space="preserve">  　保費收入</t>
    <phoneticPr fontId="6" type="noConversion"/>
  </si>
  <si>
    <t>1.</t>
    <phoneticPr fontId="6" type="noConversion"/>
  </si>
  <si>
    <t xml:space="preserve">投保人數係參酌歷年統計資料就保人數均逐年穩定成長因素編列。
</t>
    <phoneticPr fontId="6" type="noConversion"/>
  </si>
  <si>
    <t>　    產業勞工及交通公
      用事業之員工</t>
    <phoneticPr fontId="6" type="noConversion"/>
  </si>
  <si>
    <t xml:space="preserve">　    公司、行號之員工          </t>
    <phoneticPr fontId="6" type="noConversion"/>
  </si>
  <si>
    <t>平均月投保薪資係參酌歷年統計資料編列。</t>
    <phoneticPr fontId="6" type="noConversion"/>
  </si>
  <si>
    <t xml:space="preserve">　    新聞、文化、公益
      及合作事業之員工  </t>
    <phoneticPr fontId="6" type="noConversion"/>
  </si>
  <si>
    <t>　    其他各業勞工</t>
    <phoneticPr fontId="6" type="noConversion"/>
  </si>
  <si>
    <t>　  滯納金收入</t>
    <phoneticPr fontId="6" type="noConversion"/>
  </si>
  <si>
    <t>　農保及農職保</t>
    <phoneticPr fontId="6" type="noConversion"/>
  </si>
  <si>
    <t>　  農保</t>
    <phoneticPr fontId="6" type="noConversion"/>
  </si>
  <si>
    <t xml:space="preserve">  　  保費收入</t>
    <phoneticPr fontId="6" type="noConversion"/>
  </si>
  <si>
    <t xml:space="preserve">      滯納金收入</t>
    <phoneticPr fontId="6" type="noConversion"/>
  </si>
  <si>
    <t>　  農職保</t>
    <phoneticPr fontId="6" type="noConversion"/>
  </si>
  <si>
    <t>　勞職保及保護</t>
    <phoneticPr fontId="6" type="noConversion"/>
  </si>
  <si>
    <t xml:space="preserve">  　保費收入</t>
    <phoneticPr fontId="6" type="noConversion"/>
  </si>
  <si>
    <t>　    產業勞工及交通公
      用事業之員工</t>
    <phoneticPr fontId="6" type="noConversion"/>
  </si>
  <si>
    <t xml:space="preserve">　    公司、行號之員工 </t>
    <phoneticPr fontId="6" type="noConversion"/>
  </si>
  <si>
    <t xml:space="preserve">　    新聞、文化、公益
      及合作事業之員工          </t>
    <phoneticPr fontId="6" type="noConversion"/>
  </si>
  <si>
    <t>　    政府機關及公、私
      立學校之員工</t>
    <phoneticPr fontId="6" type="noConversion"/>
  </si>
  <si>
    <t>　    其他各業勞工</t>
    <phoneticPr fontId="6" type="noConversion"/>
  </si>
  <si>
    <t>　    家庭傭用外籍幫傭
      與外籍看護工</t>
    <phoneticPr fontId="6" type="noConversion"/>
  </si>
  <si>
    <t>　    受僱從事漁業生產
      之勞動者</t>
    <phoneticPr fontId="6" type="noConversion"/>
  </si>
  <si>
    <t>　    職業勞工</t>
    <phoneticPr fontId="6" type="noConversion"/>
  </si>
  <si>
    <t>　    漁會之甲類會員</t>
    <phoneticPr fontId="6" type="noConversion"/>
  </si>
  <si>
    <t>　    職業訓練機構接受
      訓練者</t>
    <phoneticPr fontId="6" type="noConversion"/>
  </si>
  <si>
    <t>　    非登記有案事業單
      位之勞工，公告納
      為自願加保者</t>
    <phoneticPr fontId="6" type="noConversion"/>
  </si>
  <si>
    <t>　    外僱船員</t>
    <phoneticPr fontId="6" type="noConversion"/>
  </si>
  <si>
    <t>　    特別加保對象</t>
    <phoneticPr fontId="6" type="noConversion"/>
  </si>
  <si>
    <t>　    已領取老年給付勞
      工再參加勞職保及
      保護者</t>
    <phoneticPr fontId="6" type="noConversion"/>
  </si>
  <si>
    <t xml:space="preserve">        利息</t>
    <phoneticPr fontId="6" type="noConversion"/>
  </si>
  <si>
    <t xml:space="preserve">      租金與利息</t>
    <phoneticPr fontId="6" type="noConversion"/>
  </si>
  <si>
    <t xml:space="preserve">    雜項業務成本(農保)</t>
    <phoneticPr fontId="6" type="noConversion"/>
  </si>
  <si>
    <t xml:space="preserve">  農保及農職保</t>
    <phoneticPr fontId="6" type="noConversion"/>
  </si>
  <si>
    <t xml:space="preserve">        其他費用</t>
    <phoneticPr fontId="6" type="noConversion"/>
  </si>
  <si>
    <t xml:space="preserve">      其他</t>
    <phoneticPr fontId="6" type="noConversion"/>
  </si>
  <si>
    <t xml:space="preserve">    雜項業務成本</t>
    <phoneticPr fontId="6" type="noConversion"/>
  </si>
  <si>
    <t xml:space="preserve">  就業保險</t>
    <phoneticPr fontId="6" type="noConversion"/>
  </si>
  <si>
    <t>其他業務成本</t>
    <phoneticPr fontId="6"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</si>
  <si>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6"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</si>
  <si>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6" type="noConversion"/>
  </si>
  <si>
    <r>
      <t xml:space="preserve">           </t>
    </r>
    <r>
      <rPr>
        <sz val="12"/>
        <rFont val="標楷體"/>
        <family val="4"/>
        <charset val="136"/>
      </rPr>
      <t>照護補助</t>
    </r>
    <phoneticPr fontId="23" type="noConversion"/>
  </si>
  <si>
    <t>　  勞職保及保護</t>
    <phoneticPr fontId="6" type="noConversion"/>
  </si>
  <si>
    <r>
      <t xml:space="preserve">           </t>
    </r>
    <r>
      <rPr>
        <sz val="12"/>
        <rFont val="標楷體"/>
        <family val="4"/>
        <charset val="136"/>
      </rPr>
      <t>失蹤給付</t>
    </r>
    <phoneticPr fontId="23" type="noConversion"/>
  </si>
  <si>
    <t>職業衛生與健康管理</t>
    <phoneticPr fontId="23" type="noConversion"/>
  </si>
  <si>
    <t>職業及機械設備安全輔導</t>
    <phoneticPr fontId="23" type="noConversion"/>
  </si>
  <si>
    <t>高風險產業職災預防輔導</t>
    <phoneticPr fontId="23" type="noConversion"/>
  </si>
  <si>
    <t>總  計</t>
    <phoneticPr fontId="6" type="noConversion"/>
  </si>
  <si>
    <t xml:space="preserve">  勞職保及保護</t>
    <phoneticPr fontId="6" type="noConversion"/>
  </si>
  <si>
    <t>台幣存款。</t>
    <phoneticPr fontId="6" type="noConversion"/>
  </si>
  <si>
    <t>職業傷病預防</t>
    <phoneticPr fontId="23" type="noConversion"/>
  </si>
  <si>
    <t>職業傷病通報、職業災害勞工轉介及個案服務</t>
    <phoneticPr fontId="23" type="noConversion"/>
  </si>
  <si>
    <t>科目</t>
    <phoneticPr fontId="6" type="noConversion"/>
  </si>
  <si>
    <t>預算數</t>
    <phoneticPr fontId="6" type="noConversion"/>
  </si>
  <si>
    <t>預計執行內容</t>
    <phoneticPr fontId="6" type="noConversion"/>
  </si>
  <si>
    <t>業務支出部分</t>
    <phoneticPr fontId="6" type="noConversion"/>
  </si>
  <si>
    <t xml:space="preserve">  其他業務成本</t>
    <phoneticPr fontId="6" type="noConversion"/>
  </si>
  <si>
    <t>科　　　　目</t>
    <phoneticPr fontId="6" type="noConversion"/>
  </si>
  <si>
    <t>上年度最高</t>
    <phoneticPr fontId="6" type="noConversion"/>
  </si>
  <si>
    <r>
      <t>本年度增減</t>
    </r>
    <r>
      <rPr>
        <sz val="12"/>
        <rFont val="Times New Roman"/>
        <family val="1"/>
      </rPr>
      <t>(-)</t>
    </r>
    <r>
      <rPr>
        <sz val="12"/>
        <rFont val="標楷體"/>
        <family val="4"/>
        <charset val="136"/>
      </rPr>
      <t>數</t>
    </r>
    <phoneticPr fontId="6" type="noConversion"/>
  </si>
  <si>
    <t>本年度最高</t>
    <phoneticPr fontId="6" type="noConversion"/>
  </si>
  <si>
    <t>說　　　　明</t>
    <phoneticPr fontId="6" type="noConversion"/>
  </si>
  <si>
    <t>可進用員額數</t>
    <phoneticPr fontId="6" type="noConversion"/>
  </si>
  <si>
    <t>正式員
額薪資</t>
    <phoneticPr fontId="6" type="noConversion"/>
  </si>
  <si>
    <t>退休及卹償金</t>
  </si>
  <si>
    <r>
      <t>總</t>
    </r>
    <r>
      <rPr>
        <sz val="12"/>
        <rFont val="標楷體"/>
        <family val="4"/>
        <charset val="136"/>
      </rPr>
      <t>計</t>
    </r>
    <phoneticPr fontId="6" type="noConversion"/>
  </si>
  <si>
    <t xml:space="preserve">  勞職保及保護</t>
    <phoneticPr fontId="6" type="noConversion"/>
  </si>
  <si>
    <t xml:space="preserve">    雜項業務成本</t>
    <phoneticPr fontId="6" type="noConversion"/>
  </si>
  <si>
    <t>　　  服務費用</t>
    <phoneticPr fontId="6" type="noConversion"/>
  </si>
  <si>
    <t>　　　  水電費</t>
    <phoneticPr fontId="6" type="noConversion"/>
  </si>
  <si>
    <t>　　　  郵電費</t>
    <phoneticPr fontId="6" type="noConversion"/>
  </si>
  <si>
    <t>　　　  旅運費</t>
    <phoneticPr fontId="6" type="noConversion"/>
  </si>
  <si>
    <t>　　　  保險費</t>
    <phoneticPr fontId="6" type="noConversion"/>
  </si>
  <si>
    <t>　　　  一般服務費</t>
    <phoneticPr fontId="6" type="noConversion"/>
  </si>
  <si>
    <t>　　　  專業服務費</t>
    <phoneticPr fontId="6" type="noConversion"/>
  </si>
  <si>
    <t>　　  材料及用品費</t>
    <phoneticPr fontId="6" type="noConversion"/>
  </si>
  <si>
    <t>　　　  使用材料費</t>
    <phoneticPr fontId="6" type="noConversion"/>
  </si>
  <si>
    <t>　　　  用品消耗</t>
    <phoneticPr fontId="6" type="noConversion"/>
  </si>
  <si>
    <t>　　  租金與利息</t>
    <phoneticPr fontId="6" type="noConversion"/>
  </si>
  <si>
    <t>　　　  地租及水租</t>
    <phoneticPr fontId="6" type="noConversion"/>
  </si>
  <si>
    <t>　　　  房租</t>
    <phoneticPr fontId="6" type="noConversion"/>
  </si>
  <si>
    <t>　　　  機器租金</t>
    <phoneticPr fontId="6" type="noConversion"/>
  </si>
  <si>
    <t>　　　  交通及運輸設備租金</t>
    <phoneticPr fontId="6" type="noConversion"/>
  </si>
  <si>
    <t>　　　  什項設備租金</t>
    <phoneticPr fontId="6" type="noConversion"/>
  </si>
  <si>
    <t>　　  會費、捐助、補助、分攤
　　  、救助(濟)與交流活動費</t>
    <phoneticPr fontId="6" type="noConversion"/>
  </si>
  <si>
    <t>　　　  捐助、補助與獎助</t>
    <phoneticPr fontId="6" type="noConversion"/>
  </si>
  <si>
    <t>　　　  補貼(償)、獎勵、慰問
　　　  與救助(濟)</t>
    <phoneticPr fontId="6" type="noConversion"/>
  </si>
  <si>
    <t>　勞職保及保護</t>
    <phoneticPr fontId="6" type="noConversion"/>
  </si>
  <si>
    <t>　  雜項業務成本</t>
    <phoneticPr fontId="6" type="noConversion"/>
  </si>
  <si>
    <t>　　  服務費用</t>
    <phoneticPr fontId="6" type="noConversion"/>
  </si>
  <si>
    <t>　　　  水電費</t>
    <phoneticPr fontId="6" type="noConversion"/>
  </si>
  <si>
    <t>　　　  郵電費</t>
    <phoneticPr fontId="6" type="noConversion"/>
  </si>
  <si>
    <t>　　　  旅運費</t>
    <phoneticPr fontId="6" type="noConversion"/>
  </si>
  <si>
    <t>　　　  保險費</t>
    <phoneticPr fontId="6" type="noConversion"/>
  </si>
  <si>
    <t>　　　  一般服務費</t>
    <phoneticPr fontId="6" type="noConversion"/>
  </si>
  <si>
    <t>　　　  專業服務費</t>
    <phoneticPr fontId="6" type="noConversion"/>
  </si>
  <si>
    <t>　　  材料及用品費</t>
    <phoneticPr fontId="6" type="noConversion"/>
  </si>
  <si>
    <t>　　　  使用材料費</t>
    <phoneticPr fontId="6" type="noConversion"/>
  </si>
  <si>
    <t>　　　  用品消耗</t>
    <phoneticPr fontId="6" type="noConversion"/>
  </si>
  <si>
    <t>　　　  地租及水租</t>
    <phoneticPr fontId="6" type="noConversion"/>
  </si>
  <si>
    <t>　　　  房租</t>
    <phoneticPr fontId="6" type="noConversion"/>
  </si>
  <si>
    <t>　　　  機器租金</t>
    <phoneticPr fontId="6" type="noConversion"/>
  </si>
  <si>
    <t>　　　  交通及運輸設備租金</t>
    <phoneticPr fontId="6" type="noConversion"/>
  </si>
  <si>
    <t>　　　  什項設備租金</t>
    <phoneticPr fontId="6" type="noConversion"/>
  </si>
  <si>
    <t>　　  會費、捐助、補助、分攤
　　  、救助(濟)與交流活動費</t>
    <phoneticPr fontId="6" type="noConversion"/>
  </si>
  <si>
    <t>　　　  捐助、補助與獎助</t>
    <phoneticPr fontId="6" type="noConversion"/>
  </si>
  <si>
    <t>　媒體政策及業務宣導費</t>
    <phoneticPr fontId="6" type="noConversion"/>
  </si>
  <si>
    <t>　　　  媒體政策及業務宣導費</t>
    <phoneticPr fontId="6" type="noConversion"/>
  </si>
  <si>
    <t>　　　  媒體政策及業務宣導費</t>
    <phoneticPr fontId="6" type="noConversion"/>
  </si>
  <si>
    <t>　勞職保及保護</t>
    <phoneticPr fontId="6" type="noConversion"/>
  </si>
  <si>
    <r>
      <t>編列</t>
    </r>
    <r>
      <rPr>
        <sz val="12"/>
        <rFont val="Times New Roman"/>
        <family val="1"/>
      </rPr>
      <t>1</t>
    </r>
    <r>
      <rPr>
        <sz val="12"/>
        <rFont val="標楷體"/>
        <family val="4"/>
        <charset val="136"/>
      </rPr>
      <t>千元，係基金投資之不動產，刊登房屋出租公告等。</t>
    </r>
    <phoneticPr fontId="6" type="noConversion"/>
  </si>
  <si>
    <r>
      <rPr>
        <sz val="12"/>
        <rFont val="標楷體"/>
        <family val="4"/>
        <charset val="136"/>
      </rPr>
      <t>編列</t>
    </r>
    <r>
      <rPr>
        <sz val="12"/>
        <rFont val="Times New Roman"/>
        <family val="1"/>
      </rPr>
      <t>68,000</t>
    </r>
    <r>
      <rPr>
        <sz val="12"/>
        <rFont val="標楷體"/>
        <family val="4"/>
        <charset val="136"/>
      </rPr>
      <t>千元，由勞動部勞工保險局辦理，係辦理被保險人貸款之手續費。</t>
    </r>
    <r>
      <rPr>
        <sz val="12"/>
        <color indexed="12"/>
        <rFont val="Times New Roman"/>
        <family val="1"/>
      </rPr>
      <t/>
    </r>
    <phoneticPr fontId="6" type="noConversion"/>
  </si>
  <si>
    <t xml:space="preserve">  勞職保及保護</t>
    <phoneticPr fontId="6" type="noConversion"/>
  </si>
  <si>
    <t>　勞職保及保護</t>
    <phoneticPr fontId="6" type="noConversion"/>
  </si>
  <si>
    <t>　使用材料費</t>
    <phoneticPr fontId="6" type="noConversion"/>
  </si>
  <si>
    <t>　地租及水租</t>
    <phoneticPr fontId="6" type="noConversion"/>
  </si>
  <si>
    <t>　房租</t>
    <phoneticPr fontId="6" type="noConversion"/>
  </si>
  <si>
    <t>　機器租金</t>
    <phoneticPr fontId="6" type="noConversion"/>
  </si>
  <si>
    <t>　什項設備租金</t>
    <phoneticPr fontId="6" type="noConversion"/>
  </si>
  <si>
    <t>會費、捐助、補助、分攤、救助（濟）與交流活動費</t>
    <phoneticPr fontId="6" type="noConversion"/>
  </si>
  <si>
    <t>保險費全部由投保單位負擔。</t>
    <phoneticPr fontId="6" type="noConversion"/>
  </si>
  <si>
    <t xml:space="preserve"> 　   特別加保對象</t>
    <phoneticPr fontId="6" type="noConversion"/>
  </si>
  <si>
    <t>　    家庭僱用外籍幫傭
      與外籍看護工</t>
    <phoneticPr fontId="6" type="noConversion"/>
  </si>
  <si>
    <r>
      <rPr>
        <sz val="12"/>
        <rFont val="標楷體"/>
        <family val="4"/>
        <charset val="136"/>
      </rPr>
      <t>保險費由被保險人負擔</t>
    </r>
    <r>
      <rPr>
        <sz val="12"/>
        <rFont val="Times New Roman"/>
        <family val="1"/>
      </rPr>
      <t>20%</t>
    </r>
    <r>
      <rPr>
        <sz val="12"/>
        <rFont val="標楷體"/>
        <family val="4"/>
        <charset val="136"/>
      </rPr>
      <t>，政府補助</t>
    </r>
    <r>
      <rPr>
        <sz val="12"/>
        <rFont val="Times New Roman"/>
        <family val="1"/>
      </rPr>
      <t>80%</t>
    </r>
    <r>
      <rPr>
        <sz val="12"/>
        <rFont val="標楷體"/>
        <family val="4"/>
        <charset val="136"/>
      </rPr>
      <t>。</t>
    </r>
    <phoneticPr fontId="23" type="noConversion"/>
  </si>
  <si>
    <t>保險費全部由投保單位負擔。</t>
    <phoneticPr fontId="6" type="noConversion"/>
  </si>
  <si>
    <t xml:space="preserve">      非登記有案事業單
      位之勞工，公告納
      為自願加保者 </t>
    <phoneticPr fontId="6" type="noConversion"/>
  </si>
  <si>
    <r>
      <rPr>
        <sz val="12"/>
        <rFont val="標楷體"/>
        <family val="4"/>
        <charset val="136"/>
      </rPr>
      <t>保險費由被保險人負擔</t>
    </r>
    <r>
      <rPr>
        <sz val="12"/>
        <rFont val="Times New Roman"/>
        <family val="1"/>
      </rPr>
      <t>80%</t>
    </r>
    <r>
      <rPr>
        <sz val="12"/>
        <rFont val="標楷體"/>
        <family val="4"/>
        <charset val="136"/>
      </rPr>
      <t>，政府補助</t>
    </r>
    <r>
      <rPr>
        <sz val="12"/>
        <rFont val="Times New Roman"/>
        <family val="1"/>
      </rPr>
      <t>20%</t>
    </r>
    <r>
      <rPr>
        <sz val="12"/>
        <rFont val="標楷體"/>
        <family val="4"/>
        <charset val="136"/>
      </rPr>
      <t>。</t>
    </r>
    <phoneticPr fontId="23" type="noConversion"/>
  </si>
  <si>
    <t>保險費全部由投保單位負擔。</t>
    <phoneticPr fontId="23" type="noConversion"/>
  </si>
  <si>
    <t>業務外賸餘（短絀）</t>
    <phoneticPr fontId="6" type="noConversion"/>
  </si>
  <si>
    <t>　　雜項費用</t>
    <phoneticPr fontId="6" type="noConversion"/>
  </si>
  <si>
    <t>　其他業務外費用</t>
    <phoneticPr fontId="6" type="noConversion"/>
  </si>
  <si>
    <t>業務外費用</t>
    <phoneticPr fontId="6" type="noConversion"/>
  </si>
  <si>
    <t>　　雜項收入</t>
    <phoneticPr fontId="6" type="noConversion"/>
  </si>
  <si>
    <t>　　收回呆帳</t>
    <phoneticPr fontId="6" type="noConversion"/>
  </si>
  <si>
    <t>　　違規罰款收入</t>
    <phoneticPr fontId="6" type="noConversion"/>
  </si>
  <si>
    <t>　其他業務外收入</t>
    <phoneticPr fontId="6" type="noConversion"/>
  </si>
  <si>
    <t>　　利息收入</t>
    <phoneticPr fontId="6" type="noConversion"/>
  </si>
  <si>
    <t>　財務收入</t>
    <phoneticPr fontId="6" type="noConversion"/>
  </si>
  <si>
    <t>業務外收入</t>
    <phoneticPr fontId="6" type="noConversion"/>
  </si>
  <si>
    <t>業務賸餘（短絀）</t>
    <phoneticPr fontId="6" type="noConversion"/>
  </si>
  <si>
    <t>　　雜項業務成本</t>
    <phoneticPr fontId="6" type="noConversion"/>
  </si>
  <si>
    <t>　其他業務成本</t>
    <phoneticPr fontId="6" type="noConversion"/>
  </si>
  <si>
    <t>　　呆帳</t>
    <phoneticPr fontId="6" type="noConversion"/>
  </si>
  <si>
    <t>　　提存責任準備</t>
    <phoneticPr fontId="6" type="noConversion"/>
  </si>
  <si>
    <t>　　保險給付</t>
    <phoneticPr fontId="6" type="noConversion"/>
  </si>
  <si>
    <t>　保險成本</t>
    <phoneticPr fontId="6" type="noConversion"/>
  </si>
  <si>
    <t>　　兌換短絀</t>
    <phoneticPr fontId="6" type="noConversion"/>
  </si>
  <si>
    <t>　　融資業務成本</t>
    <phoneticPr fontId="6" type="noConversion"/>
  </si>
  <si>
    <t>　　投資業務成本</t>
    <phoneticPr fontId="6" type="noConversion"/>
  </si>
  <si>
    <t xml:space="preserve">  投融資業務成本</t>
    <phoneticPr fontId="6" type="noConversion"/>
  </si>
  <si>
    <r>
      <t>　　</t>
    </r>
    <r>
      <rPr>
        <sz val="9"/>
        <rFont val="標楷體"/>
        <family val="4"/>
        <charset val="136"/>
      </rPr>
      <t>投資性不動產成本</t>
    </r>
    <phoneticPr fontId="6" type="noConversion"/>
  </si>
  <si>
    <t xml:space="preserve">  出租資產成本</t>
    <phoneticPr fontId="6" type="noConversion"/>
  </si>
  <si>
    <t>業務成本與費用</t>
    <phoneticPr fontId="6" type="noConversion"/>
  </si>
  <si>
    <t>　　雜項業務收入</t>
    <phoneticPr fontId="6" type="noConversion"/>
  </si>
  <si>
    <t>　　其他補助收入</t>
    <phoneticPr fontId="6" type="noConversion"/>
  </si>
  <si>
    <t>　其他業務收入</t>
    <phoneticPr fontId="6" type="noConversion"/>
  </si>
  <si>
    <t xml:space="preserve">  　收回責任準備</t>
    <phoneticPr fontId="6" type="noConversion"/>
  </si>
  <si>
    <t>　　保費收入</t>
    <phoneticPr fontId="6" type="noConversion"/>
  </si>
  <si>
    <t>　保險收入</t>
    <phoneticPr fontId="6" type="noConversion"/>
  </si>
  <si>
    <t>　　存款利息收入</t>
    <phoneticPr fontId="6" type="noConversion"/>
  </si>
  <si>
    <t>　　手續費收入</t>
    <phoneticPr fontId="6" type="noConversion"/>
  </si>
  <si>
    <t>　　兌換賸餘</t>
    <phoneticPr fontId="6" type="noConversion"/>
  </si>
  <si>
    <t>　　融資業務收入</t>
    <phoneticPr fontId="6" type="noConversion"/>
  </si>
  <si>
    <t>　　投資業務收入</t>
    <phoneticPr fontId="6" type="noConversion"/>
  </si>
  <si>
    <t>　投融資業務收入</t>
    <phoneticPr fontId="6" type="noConversion"/>
  </si>
  <si>
    <r>
      <t>　　</t>
    </r>
    <r>
      <rPr>
        <sz val="9"/>
        <rFont val="標楷體"/>
        <family val="4"/>
        <charset val="136"/>
      </rPr>
      <t>投資性不動產收入</t>
    </r>
    <phoneticPr fontId="6" type="noConversion"/>
  </si>
  <si>
    <t>　租金及權利金收入</t>
    <phoneticPr fontId="6" type="noConversion"/>
  </si>
  <si>
    <r>
      <rPr>
        <sz val="11"/>
        <rFont val="標楷體"/>
        <family val="4"/>
        <charset val="136"/>
      </rPr>
      <t>金</t>
    </r>
    <r>
      <rPr>
        <sz val="11"/>
        <rFont val="Times New Roman"/>
        <family val="1"/>
      </rPr>
      <t xml:space="preserve"> </t>
    </r>
    <r>
      <rPr>
        <sz val="11"/>
        <rFont val="標楷體"/>
        <family val="4"/>
        <charset val="136"/>
      </rPr>
      <t>額</t>
    </r>
    <phoneticPr fontId="6"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</si>
  <si>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6"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</si>
  <si>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6" type="noConversion"/>
  </si>
  <si>
    <t>現金及約當現金之淨增（淨減）</t>
    <phoneticPr fontId="6" type="noConversion"/>
  </si>
  <si>
    <t>　　籌資活動之淨現金流入（流出）</t>
    <phoneticPr fontId="6" type="noConversion"/>
  </si>
  <si>
    <t>係增加其他負債0千元。</t>
    <phoneticPr fontId="6" type="noConversion"/>
  </si>
  <si>
    <t xml:space="preserve">　增加短期債務、流動金融負債及其他負債
    </t>
    <phoneticPr fontId="6" type="noConversion"/>
  </si>
  <si>
    <t>籌資活動之現金流量</t>
    <phoneticPr fontId="6" type="noConversion"/>
  </si>
  <si>
    <t>　　投資活動之淨現金流入（流出）</t>
    <phoneticPr fontId="6" type="noConversion"/>
  </si>
  <si>
    <r>
      <rPr>
        <sz val="12"/>
        <rFont val="標楷體"/>
        <family val="4"/>
        <charset val="136"/>
      </rPr>
      <t>係增加無形資產。</t>
    </r>
    <phoneticPr fontId="6" type="noConversion"/>
  </si>
  <si>
    <t>　增加無形資產、遞延借項及其他資產</t>
    <phoneticPr fontId="6" type="noConversion"/>
  </si>
  <si>
    <t>　增加流動金融資產及短期貸墊款</t>
    <phoneticPr fontId="6" type="noConversion"/>
  </si>
  <si>
    <t xml:space="preserve">  收取利息</t>
    <phoneticPr fontId="6" type="noConversion"/>
  </si>
  <si>
    <t>　減少投資、長期應收款、貸墊款及準備金</t>
    <phoneticPr fontId="6" type="noConversion"/>
  </si>
  <si>
    <t>　減少流動金融資產及短期貸墊款</t>
    <phoneticPr fontId="6" type="noConversion"/>
  </si>
  <si>
    <t>投資活動之現金流量</t>
    <phoneticPr fontId="6" type="noConversion"/>
  </si>
  <si>
    <t>　　業務活動之淨現金流入（流出）</t>
    <phoneticPr fontId="6" type="noConversion"/>
  </si>
  <si>
    <t xml:space="preserve">  未計利息股利之現金流入（流出）</t>
    <phoneticPr fontId="6" type="noConversion"/>
  </si>
  <si>
    <r>
      <rPr>
        <sz val="12"/>
        <rFont val="標楷體"/>
        <family val="4"/>
        <charset val="136"/>
      </rPr>
      <t>千元</t>
    </r>
    <phoneticPr fontId="6" type="noConversion"/>
  </si>
  <si>
    <r>
      <t>7.</t>
    </r>
    <r>
      <rPr>
        <sz val="12"/>
        <rFont val="標楷體"/>
        <family val="4"/>
        <charset val="136"/>
      </rPr>
      <t>其他</t>
    </r>
    <phoneticPr fontId="6" type="noConversion"/>
  </si>
  <si>
    <t>　　</t>
    <phoneticPr fontId="6" type="noConversion"/>
  </si>
  <si>
    <r>
      <t>4.</t>
    </r>
    <r>
      <rPr>
        <sz val="12"/>
        <rFont val="標楷體"/>
        <family val="4"/>
        <charset val="136"/>
      </rPr>
      <t>攤銷</t>
    </r>
    <phoneticPr fontId="6" type="noConversion"/>
  </si>
  <si>
    <r>
      <t>3.</t>
    </r>
    <r>
      <rPr>
        <sz val="12"/>
        <rFont val="標楷體"/>
        <family val="4"/>
        <charset val="136"/>
      </rPr>
      <t>折舊</t>
    </r>
    <phoneticPr fontId="6" type="noConversion"/>
  </si>
  <si>
    <t>合計</t>
    <phoneticPr fontId="6" type="noConversion"/>
  </si>
  <si>
    <t>　累積賸餘</t>
    <phoneticPr fontId="6" type="noConversion"/>
  </si>
  <si>
    <t>累積餘絀</t>
    <phoneticPr fontId="6" type="noConversion"/>
  </si>
  <si>
    <t>　資本公積</t>
    <phoneticPr fontId="6" type="noConversion"/>
  </si>
  <si>
    <t>公積</t>
    <phoneticPr fontId="6" type="noConversion"/>
  </si>
  <si>
    <t>　基金</t>
    <phoneticPr fontId="6" type="noConversion"/>
  </si>
  <si>
    <t>基金</t>
    <phoneticPr fontId="6" type="noConversion"/>
  </si>
  <si>
    <t>淨值</t>
    <phoneticPr fontId="6" type="noConversion"/>
  </si>
  <si>
    <t>　什項負債</t>
    <phoneticPr fontId="6" type="noConversion"/>
  </si>
  <si>
    <t>　負債準備</t>
    <phoneticPr fontId="6" type="noConversion"/>
  </si>
  <si>
    <t>　遞延負債</t>
    <phoneticPr fontId="6" type="noConversion"/>
  </si>
  <si>
    <t>其他負債</t>
    <phoneticPr fontId="6" type="noConversion"/>
  </si>
  <si>
    <t>　流動金融負債</t>
    <phoneticPr fontId="6" type="noConversion"/>
  </si>
  <si>
    <t>　預收款項</t>
    <phoneticPr fontId="6" type="noConversion"/>
  </si>
  <si>
    <t>　應付款項</t>
    <phoneticPr fontId="6" type="noConversion"/>
  </si>
  <si>
    <t>流動負債</t>
    <phoneticPr fontId="6" type="noConversion"/>
  </si>
  <si>
    <t>負債</t>
    <phoneticPr fontId="6" type="noConversion"/>
  </si>
  <si>
    <t>合計</t>
    <phoneticPr fontId="6" type="noConversion"/>
  </si>
  <si>
    <t>　待處理資產</t>
    <phoneticPr fontId="6" type="noConversion"/>
  </si>
  <si>
    <t>　什項資產</t>
    <phoneticPr fontId="6" type="noConversion"/>
  </si>
  <si>
    <t>　遞延資產</t>
    <phoneticPr fontId="6" type="noConversion"/>
  </si>
  <si>
    <t>其他資產</t>
    <phoneticPr fontId="6" type="noConversion"/>
  </si>
  <si>
    <t>　投資性不動產</t>
    <phoneticPr fontId="6" type="noConversion"/>
  </si>
  <si>
    <t>投資性不動產</t>
    <phoneticPr fontId="6" type="noConversion"/>
  </si>
  <si>
    <t>　長期貸款</t>
    <phoneticPr fontId="6" type="noConversion"/>
  </si>
  <si>
    <t xml:space="preserve">  非流動金融資產</t>
    <phoneticPr fontId="6" type="noConversion"/>
  </si>
  <si>
    <t>投資、長期應收款、貸墊款及準備金</t>
    <phoneticPr fontId="6" type="noConversion"/>
  </si>
  <si>
    <t>　短期貸墊款</t>
    <phoneticPr fontId="6" type="noConversion"/>
  </si>
  <si>
    <t>　預付款項</t>
    <phoneticPr fontId="6" type="noConversion"/>
  </si>
  <si>
    <t>　應收款項</t>
    <phoneticPr fontId="6" type="noConversion"/>
  </si>
  <si>
    <t>　流動金融資產</t>
    <phoneticPr fontId="6" type="noConversion"/>
  </si>
  <si>
    <t>　現金</t>
    <phoneticPr fontId="6" type="noConversion"/>
  </si>
  <si>
    <t>流動資產</t>
    <phoneticPr fontId="6" type="noConversion"/>
  </si>
  <si>
    <t>資產</t>
    <phoneticPr fontId="6" type="noConversion"/>
  </si>
  <si>
    <t>比較增減</t>
    <phoneticPr fontId="6" type="noConversion"/>
  </si>
  <si>
    <t>科目</t>
    <phoneticPr fontId="6" type="noConversion"/>
  </si>
  <si>
    <t>本期賸餘（短絀）</t>
    <phoneticPr fontId="6" type="noConversion"/>
  </si>
  <si>
    <t>業務外賸餘（短絀）</t>
    <phoneticPr fontId="6" type="noConversion"/>
  </si>
  <si>
    <t>　　雜項費用</t>
    <phoneticPr fontId="6" type="noConversion"/>
  </si>
  <si>
    <t>　其他業務外費用</t>
    <phoneticPr fontId="6" type="noConversion"/>
  </si>
  <si>
    <t>業務外費用</t>
    <phoneticPr fontId="6" type="noConversion"/>
  </si>
  <si>
    <t>　　違規罰款收入</t>
    <phoneticPr fontId="6" type="noConversion"/>
  </si>
  <si>
    <t>　其他業務外收入</t>
    <phoneticPr fontId="6" type="noConversion"/>
  </si>
  <si>
    <t>　　利息收入</t>
    <phoneticPr fontId="6" type="noConversion"/>
  </si>
  <si>
    <t>　財務收入</t>
    <phoneticPr fontId="6" type="noConversion"/>
  </si>
  <si>
    <t>業務外收入</t>
    <phoneticPr fontId="6" type="noConversion"/>
  </si>
  <si>
    <t>業務賸餘（短絀）</t>
    <phoneticPr fontId="6" type="noConversion"/>
  </si>
  <si>
    <t>　其他業務成本</t>
    <phoneticPr fontId="6" type="noConversion"/>
  </si>
  <si>
    <t>　　呆帳</t>
    <phoneticPr fontId="6" type="noConversion"/>
  </si>
  <si>
    <t>　　提存責任準備</t>
    <phoneticPr fontId="6" type="noConversion"/>
  </si>
  <si>
    <t>　　兌換短絀</t>
    <phoneticPr fontId="6" type="noConversion"/>
  </si>
  <si>
    <t>　　投資業務成本</t>
    <phoneticPr fontId="6" type="noConversion"/>
  </si>
  <si>
    <t xml:space="preserve">  投融資業務成本</t>
    <phoneticPr fontId="6" type="noConversion"/>
  </si>
  <si>
    <t>業務成本與費用</t>
    <phoneticPr fontId="6" type="noConversion"/>
  </si>
  <si>
    <t xml:space="preserve">  　收回責任準備</t>
    <phoneticPr fontId="6" type="noConversion"/>
  </si>
  <si>
    <t>　　保費收入</t>
    <phoneticPr fontId="6" type="noConversion"/>
  </si>
  <si>
    <t>　　兌換賸餘</t>
    <phoneticPr fontId="6" type="noConversion"/>
  </si>
  <si>
    <t>　　投資業務收入</t>
    <phoneticPr fontId="6" type="noConversion"/>
  </si>
  <si>
    <t>　投融資業務收入</t>
    <phoneticPr fontId="6" type="noConversion"/>
  </si>
  <si>
    <r>
      <rPr>
        <sz val="11"/>
        <rFont val="標楷體"/>
        <family val="4"/>
        <charset val="136"/>
      </rPr>
      <t>金</t>
    </r>
    <r>
      <rPr>
        <sz val="11"/>
        <rFont val="Times New Roman"/>
        <family val="1"/>
      </rPr>
      <t xml:space="preserve"> </t>
    </r>
    <r>
      <rPr>
        <sz val="11"/>
        <rFont val="標楷體"/>
        <family val="4"/>
        <charset val="136"/>
      </rPr>
      <t>額</t>
    </r>
    <phoneticPr fontId="6" type="noConversion"/>
  </si>
  <si>
    <r>
      <rPr>
        <b/>
        <sz val="12"/>
        <rFont val="標楷體"/>
        <family val="4"/>
        <charset val="136"/>
      </rPr>
      <t>現金及約當現金之淨增（淨減）</t>
    </r>
    <phoneticPr fontId="6" type="noConversion"/>
  </si>
  <si>
    <r>
      <rPr>
        <b/>
        <sz val="12"/>
        <rFont val="標楷體"/>
        <family val="4"/>
        <charset val="136"/>
      </rPr>
      <t>　　籌資活動之淨現金流入（流出）</t>
    </r>
    <phoneticPr fontId="6" type="noConversion"/>
  </si>
  <si>
    <r>
      <rPr>
        <sz val="12"/>
        <rFont val="標楷體"/>
        <family val="4"/>
        <charset val="136"/>
      </rPr>
      <t>支付利息</t>
    </r>
    <r>
      <rPr>
        <sz val="12"/>
        <rFont val="Times New Roman"/>
        <family val="1"/>
      </rPr>
      <t xml:space="preserve"> </t>
    </r>
    <r>
      <rPr>
        <sz val="12"/>
        <rFont val="標楷體"/>
        <family val="4"/>
        <charset val="136"/>
      </rPr>
      <t>千元。</t>
    </r>
    <phoneticPr fontId="6" type="noConversion"/>
  </si>
  <si>
    <r>
      <t xml:space="preserve">   </t>
    </r>
    <r>
      <rPr>
        <sz val="12"/>
        <rFont val="標楷體"/>
        <family val="4"/>
        <charset val="136"/>
      </rPr>
      <t>支付利息</t>
    </r>
    <phoneticPr fontId="6" type="noConversion"/>
  </si>
  <si>
    <r>
      <rPr>
        <sz val="12"/>
        <rFont val="標楷體"/>
        <family val="4"/>
        <charset val="136"/>
      </rPr>
      <t>係減少其他負債</t>
    </r>
    <r>
      <rPr>
        <sz val="12"/>
        <rFont val="標楷體"/>
        <family val="4"/>
        <charset val="136"/>
      </rPr>
      <t>千元。</t>
    </r>
    <phoneticPr fontId="6" type="noConversion"/>
  </si>
  <si>
    <r>
      <rPr>
        <sz val="12"/>
        <rFont val="標楷體"/>
        <family val="4"/>
        <charset val="136"/>
      </rPr>
      <t xml:space="preserve">　減少短期債務、流動金融負債及其他負債
</t>
    </r>
    <r>
      <rPr>
        <sz val="12"/>
        <rFont val="Times New Roman"/>
        <family val="1"/>
      </rPr>
      <t xml:space="preserve">    </t>
    </r>
    <phoneticPr fontId="6" type="noConversion"/>
  </si>
  <si>
    <r>
      <rPr>
        <sz val="12"/>
        <rFont val="標楷體"/>
        <family val="4"/>
        <charset val="136"/>
      </rPr>
      <t>係增加短期債務</t>
    </r>
    <r>
      <rPr>
        <sz val="12"/>
        <rFont val="Times New Roman"/>
        <family val="1"/>
      </rPr>
      <t xml:space="preserve">  </t>
    </r>
    <r>
      <rPr>
        <sz val="12"/>
        <rFont val="標楷體"/>
        <family val="4"/>
        <charset val="136"/>
      </rPr>
      <t>千元及勞工保險業務其他負債</t>
    </r>
    <r>
      <rPr>
        <sz val="12"/>
        <rFont val="Times New Roman"/>
        <family val="1"/>
      </rPr>
      <t xml:space="preserve">    </t>
    </r>
    <r>
      <rPr>
        <sz val="12"/>
        <rFont val="標楷體"/>
        <family val="4"/>
        <charset val="136"/>
      </rPr>
      <t>千元。</t>
    </r>
    <phoneticPr fontId="6" type="noConversion"/>
  </si>
  <si>
    <r>
      <rPr>
        <sz val="12"/>
        <rFont val="標楷體"/>
        <family val="4"/>
        <charset val="136"/>
      </rPr>
      <t xml:space="preserve">　增加短期債務、流動金融負債及其他負債
</t>
    </r>
    <r>
      <rPr>
        <sz val="12"/>
        <rFont val="Times New Roman"/>
        <family val="1"/>
      </rPr>
      <t xml:space="preserve">    </t>
    </r>
    <phoneticPr fontId="6" type="noConversion"/>
  </si>
  <si>
    <r>
      <rPr>
        <b/>
        <sz val="12"/>
        <rFont val="標楷體"/>
        <family val="4"/>
        <charset val="136"/>
      </rPr>
      <t>籌資活動之現金流量</t>
    </r>
    <phoneticPr fontId="6" type="noConversion"/>
  </si>
  <si>
    <r>
      <rPr>
        <b/>
        <sz val="12"/>
        <rFont val="標楷體"/>
        <family val="4"/>
        <charset val="136"/>
      </rPr>
      <t>　　投資活動之淨現金流入（流出）</t>
    </r>
    <phoneticPr fontId="6" type="noConversion"/>
  </si>
  <si>
    <r>
      <rPr>
        <sz val="12"/>
        <rFont val="標楷體"/>
        <family val="4"/>
        <charset val="136"/>
      </rPr>
      <t>　增加無形資產、遞延借項及其他資產</t>
    </r>
    <phoneticPr fontId="6" type="noConversion"/>
  </si>
  <si>
    <r>
      <rPr>
        <sz val="12"/>
        <rFont val="標楷體"/>
        <family val="4"/>
        <charset val="136"/>
      </rPr>
      <t>　增加投資、長期應收款、貸墊款及準備金</t>
    </r>
    <phoneticPr fontId="6" type="noConversion"/>
  </si>
  <si>
    <r>
      <rPr>
        <sz val="12"/>
        <rFont val="標楷體"/>
        <family val="4"/>
        <charset val="136"/>
      </rPr>
      <t>　增加流動金融資產及短期貸墊款</t>
    </r>
    <phoneticPr fontId="6" type="noConversion"/>
  </si>
  <si>
    <r>
      <t xml:space="preserve">    </t>
    </r>
    <r>
      <rPr>
        <sz val="12"/>
        <rFont val="標楷體"/>
        <family val="4"/>
        <charset val="136"/>
      </rPr>
      <t>收取利息</t>
    </r>
    <phoneticPr fontId="6" type="noConversion"/>
  </si>
  <si>
    <r>
      <rPr>
        <sz val="12"/>
        <rFont val="標楷體"/>
        <family val="4"/>
        <charset val="136"/>
      </rPr>
      <t>　減少流動金融資產及短期貸墊款</t>
    </r>
    <phoneticPr fontId="6" type="noConversion"/>
  </si>
  <si>
    <r>
      <rPr>
        <b/>
        <sz val="12"/>
        <rFont val="標楷體"/>
        <family val="4"/>
        <charset val="136"/>
      </rPr>
      <t>投資活動之現金流量</t>
    </r>
    <phoneticPr fontId="6" type="noConversion"/>
  </si>
  <si>
    <r>
      <rPr>
        <b/>
        <sz val="12"/>
        <rFont val="標楷體"/>
        <family val="4"/>
        <charset val="136"/>
      </rPr>
      <t>　　業務活動之淨現金流入（流出）</t>
    </r>
    <phoneticPr fontId="6" type="noConversion"/>
  </si>
  <si>
    <t>　無形資產</t>
    <phoneticPr fontId="6" type="noConversion"/>
  </si>
  <si>
    <t>無形資產</t>
    <phoneticPr fontId="6" type="noConversion"/>
  </si>
  <si>
    <t>業務外賸餘（短絀）</t>
    <phoneticPr fontId="6" type="noConversion"/>
  </si>
  <si>
    <t xml:space="preserve">    雜項收入</t>
    <phoneticPr fontId="6" type="noConversion"/>
  </si>
  <si>
    <t xml:space="preserve">    收回呆帳</t>
    <phoneticPr fontId="6" type="noConversion"/>
  </si>
  <si>
    <t xml:space="preserve">    違規罰款收入</t>
    <phoneticPr fontId="6" type="noConversion"/>
  </si>
  <si>
    <t xml:space="preserve">  其他業務外收入</t>
    <phoneticPr fontId="6" type="noConversion"/>
  </si>
  <si>
    <t>　　雜項業務成本</t>
    <phoneticPr fontId="6" type="noConversion"/>
  </si>
  <si>
    <t>　  呆帳</t>
    <phoneticPr fontId="6" type="noConversion"/>
  </si>
  <si>
    <t xml:space="preserve">　  保險給付  </t>
    <phoneticPr fontId="6" type="noConversion"/>
  </si>
  <si>
    <t xml:space="preserve">  保險成本</t>
    <phoneticPr fontId="6" type="noConversion"/>
  </si>
  <si>
    <t>　保險收入</t>
    <phoneticPr fontId="6" type="noConversion"/>
  </si>
  <si>
    <t>　　存款利息收入</t>
    <phoneticPr fontId="6" type="noConversion"/>
  </si>
  <si>
    <t xml:space="preserve">      </t>
    <phoneticPr fontId="6" type="noConversion"/>
  </si>
  <si>
    <t>1.</t>
    <phoneticPr fontId="6" type="noConversion"/>
  </si>
  <si>
    <t>2.</t>
    <phoneticPr fontId="6" type="noConversion"/>
  </si>
  <si>
    <r>
      <t>編列</t>
    </r>
    <r>
      <rPr>
        <sz val="12"/>
        <rFont val="Times New Roman"/>
        <family val="1"/>
      </rPr>
      <t>30,000</t>
    </r>
    <r>
      <rPr>
        <sz val="12"/>
        <rFont val="標楷體"/>
        <family val="4"/>
        <charset val="136"/>
      </rPr>
      <t>千元，係職災勞工保護主動服務慰問金之經費。</t>
    </r>
    <phoneticPr fontId="6" type="noConversion"/>
  </si>
  <si>
    <r>
      <rPr>
        <b/>
        <sz val="12"/>
        <rFont val="標楷體"/>
        <family val="4"/>
        <charset val="136"/>
      </rPr>
      <t xml:space="preserve">   醫療給付</t>
    </r>
    <r>
      <rPr>
        <b/>
        <sz val="12"/>
        <rFont val="Times New Roman"/>
        <family val="1"/>
      </rPr>
      <t xml:space="preserve"> </t>
    </r>
    <phoneticPr fontId="23" type="noConversion"/>
  </si>
  <si>
    <t xml:space="preserve">   失能補助</t>
    <phoneticPr fontId="23" type="noConversion"/>
  </si>
  <si>
    <t xml:space="preserve">   死亡補助</t>
    <phoneticPr fontId="23" type="noConversion"/>
  </si>
  <si>
    <t xml:space="preserve">   職業疾病生活津貼</t>
    <phoneticPr fontId="23"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</si>
  <si>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住院費用</t>
    </r>
    <phoneticPr fontId="23" type="noConversion"/>
  </si>
  <si>
    <r>
      <rPr>
        <sz val="10.6"/>
        <rFont val="標楷體"/>
        <family val="4"/>
        <charset val="136"/>
      </rPr>
      <t>　</t>
    </r>
    <r>
      <rPr>
        <sz val="10.6"/>
        <rFont val="Times New Roman"/>
        <family val="1"/>
      </rPr>
      <t xml:space="preserve">         </t>
    </r>
    <r>
      <rPr>
        <sz val="10.6"/>
        <rFont val="標楷體"/>
        <family val="4"/>
        <charset val="136"/>
      </rPr>
      <t>職業疾病相當勞保失能給付
　</t>
    </r>
    <r>
      <rPr>
        <sz val="10.6"/>
        <rFont val="Times New Roman"/>
        <family val="1"/>
      </rPr>
      <t xml:space="preserve">  </t>
    </r>
    <r>
      <rPr>
        <sz val="10.6"/>
        <rFont val="標楷體"/>
        <family val="4"/>
        <charset val="136"/>
      </rPr>
      <t>　</t>
    </r>
    <r>
      <rPr>
        <sz val="10.6"/>
        <rFont val="Times New Roman"/>
        <family val="1"/>
      </rPr>
      <t xml:space="preserve">   1-3</t>
    </r>
    <r>
      <rPr>
        <sz val="10.6"/>
        <rFont val="標楷體"/>
        <family val="4"/>
        <charset val="136"/>
      </rPr>
      <t>等級且喪失全部工作能力</t>
    </r>
    <phoneticPr fontId="23"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</si>
  <si>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1-7</t>
    </r>
    <r>
      <rPr>
        <sz val="10.5"/>
        <rFont val="標楷體"/>
        <family val="4"/>
        <charset val="136"/>
      </rPr>
      <t>等級且喪失部分工作能力</t>
    </r>
    <phoneticPr fontId="23" type="noConversion"/>
  </si>
  <si>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8-10</t>
    </r>
    <r>
      <rPr>
        <sz val="10.5"/>
        <rFont val="標楷體"/>
        <family val="4"/>
        <charset val="136"/>
      </rPr>
      <t>等級且喪失部分工作能力</t>
    </r>
    <phoneticPr fontId="23" type="noConversion"/>
  </si>
  <si>
    <t xml:space="preserve">   失能生活津貼</t>
    <phoneticPr fontId="23" type="noConversion"/>
  </si>
  <si>
    <r>
      <rPr>
        <sz val="10.5"/>
        <rFont val="標楷體"/>
        <family val="4"/>
        <charset val="136"/>
      </rPr>
      <t>　</t>
    </r>
    <r>
      <rPr>
        <sz val="10.5"/>
        <rFont val="Times New Roman"/>
        <family val="1"/>
      </rPr>
      <t xml:space="preserve">         </t>
    </r>
    <r>
      <rPr>
        <sz val="10.5"/>
        <rFont val="標楷體"/>
        <family val="4"/>
        <charset val="136"/>
      </rPr>
      <t>符合勞保失能給付
　</t>
    </r>
    <r>
      <rPr>
        <sz val="10.5"/>
        <rFont val="Times New Roman"/>
        <family val="1"/>
      </rPr>
      <t xml:space="preserve">         1-3</t>
    </r>
    <r>
      <rPr>
        <sz val="10.5"/>
        <rFont val="標楷體"/>
        <family val="4"/>
        <charset val="136"/>
      </rPr>
      <t>等級且喪失全部工作能力</t>
    </r>
    <phoneticPr fontId="23" type="noConversion"/>
  </si>
  <si>
    <r>
      <rPr>
        <sz val="10.5"/>
        <rFont val="標楷體"/>
        <family val="4"/>
        <charset val="136"/>
      </rPr>
      <t>　</t>
    </r>
    <r>
      <rPr>
        <sz val="10.5"/>
        <rFont val="Times New Roman"/>
        <family val="1"/>
      </rPr>
      <t xml:space="preserve">         </t>
    </r>
    <r>
      <rPr>
        <sz val="10.5"/>
        <rFont val="標楷體"/>
        <family val="4"/>
        <charset val="136"/>
      </rPr>
      <t>符合勞保失能給付
　</t>
    </r>
    <r>
      <rPr>
        <sz val="10.5"/>
        <rFont val="Times New Roman"/>
        <family val="1"/>
      </rPr>
      <t xml:space="preserve">         1-7</t>
    </r>
    <r>
      <rPr>
        <sz val="10.5"/>
        <rFont val="標楷體"/>
        <family val="4"/>
        <charset val="136"/>
      </rPr>
      <t>等級且喪失部分工作能力</t>
    </r>
    <phoneticPr fontId="23" type="noConversion"/>
  </si>
  <si>
    <t xml:space="preserve">   職業訓練生活津貼</t>
    <phoneticPr fontId="23" type="noConversion"/>
  </si>
  <si>
    <t xml:space="preserve">   器具補助</t>
    <phoneticPr fontId="23" type="noConversion"/>
  </si>
  <si>
    <t xml:space="preserve">   看護補助</t>
    <phoneticPr fontId="23" type="noConversion"/>
  </si>
  <si>
    <t xml:space="preserve">   家屬補助</t>
    <phoneticPr fontId="23"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</si>
  <si>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1-3</t>
    </r>
    <r>
      <rPr>
        <sz val="10.5"/>
        <rFont val="標楷體"/>
        <family val="4"/>
        <charset val="136"/>
      </rPr>
      <t>等級且喪失全部工作能力</t>
    </r>
    <phoneticPr fontId="23"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</si>
  <si>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1-7</t>
    </r>
    <r>
      <rPr>
        <sz val="10.5"/>
        <rFont val="標楷體"/>
        <family val="4"/>
        <charset val="136"/>
      </rPr>
      <t>等級且喪失部分工作能力</t>
    </r>
    <phoneticPr fontId="23" type="noConversion"/>
  </si>
  <si>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8-10</t>
    </r>
    <r>
      <rPr>
        <sz val="10.5"/>
        <rFont val="標楷體"/>
        <family val="4"/>
        <charset val="136"/>
      </rPr>
      <t>等級且喪失部分工作能力</t>
    </r>
    <r>
      <rPr>
        <sz val="10.5"/>
        <rFont val="Times New Roman"/>
        <family val="1"/>
      </rPr>
      <t xml:space="preserve"> </t>
    </r>
    <phoneticPr fontId="23" type="noConversion"/>
  </si>
  <si>
    <r>
      <rPr>
        <b/>
        <sz val="12"/>
        <rFont val="標楷體"/>
        <family val="4"/>
        <charset val="136"/>
      </rPr>
      <t xml:space="preserve">   職業疾病生活津貼</t>
    </r>
    <r>
      <rPr>
        <b/>
        <sz val="12"/>
        <rFont val="Times New Roman"/>
        <family val="1"/>
      </rPr>
      <t>-</t>
    </r>
    <r>
      <rPr>
        <b/>
        <sz val="12"/>
        <rFont val="標楷體"/>
        <family val="4"/>
        <charset val="136"/>
      </rPr>
      <t>勞保
   效力終止</t>
    </r>
    <phoneticPr fontId="23" type="noConversion"/>
  </si>
  <si>
    <t xml:space="preserve">   複檢費用</t>
    <phoneticPr fontId="23" type="noConversion"/>
  </si>
  <si>
    <t xml:space="preserve">   委託鑑定費用</t>
    <phoneticPr fontId="23" type="noConversion"/>
  </si>
  <si>
    <t>　捐助、補助與獎助</t>
    <phoneticPr fontId="6" type="noConversion"/>
  </si>
  <si>
    <t>　印刷裝訂及公告費</t>
    <phoneticPr fontId="6" type="noConversion"/>
  </si>
  <si>
    <t xml:space="preserve">  勞職保及保護</t>
    <phoneticPr fontId="6" type="noConversion"/>
  </si>
  <si>
    <t>　　　  印刷裝訂及公告費</t>
    <phoneticPr fontId="6" type="noConversion"/>
  </si>
  <si>
    <t xml:space="preserve">　減少短期債務、流動金融負債及其他負債
    </t>
    <phoneticPr fontId="6" type="noConversion"/>
  </si>
  <si>
    <t>　其他籌資活動之現金流出</t>
    <phoneticPr fontId="6" type="noConversion"/>
  </si>
  <si>
    <t>　什項負債</t>
    <phoneticPr fontId="6" type="noConversion"/>
  </si>
  <si>
    <t>　負債準備</t>
    <phoneticPr fontId="6" type="noConversion"/>
  </si>
  <si>
    <t>其他負債</t>
    <phoneticPr fontId="6" type="noConversion"/>
  </si>
  <si>
    <t>　應付款項</t>
    <phoneticPr fontId="6" type="noConversion"/>
  </si>
  <si>
    <t>　無形資產</t>
    <phoneticPr fontId="6" type="noConversion"/>
  </si>
  <si>
    <t>投資、長期應收款、貸墊款及準備金</t>
    <phoneticPr fontId="6" type="noConversion"/>
  </si>
  <si>
    <t>　預付款項</t>
    <phoneticPr fontId="6" type="noConversion"/>
  </si>
  <si>
    <t xml:space="preserve">  流動金融資產</t>
    <phoneticPr fontId="6" type="noConversion"/>
  </si>
  <si>
    <t>流動資產</t>
    <phoneticPr fontId="6" type="noConversion"/>
  </si>
  <si>
    <t>科目</t>
    <phoneticPr fontId="6"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</si>
  <si>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6"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</si>
  <si>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6"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</si>
  <si>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6" type="noConversion"/>
  </si>
  <si>
    <r>
      <rPr>
        <sz val="12"/>
        <rFont val="標楷體"/>
        <family val="4"/>
        <charset val="136"/>
      </rPr>
      <t>項目</t>
    </r>
    <phoneticPr fontId="6" type="noConversion"/>
  </si>
  <si>
    <r>
      <rPr>
        <sz val="12"/>
        <rFont val="標楷體"/>
        <family val="4"/>
        <charset val="136"/>
      </rPr>
      <t>預算數</t>
    </r>
    <phoneticPr fontId="6" type="noConversion"/>
  </si>
  <si>
    <r>
      <rPr>
        <sz val="12"/>
        <rFont val="標楷體"/>
        <family val="4"/>
        <charset val="136"/>
      </rPr>
      <t>說明</t>
    </r>
    <phoneticPr fontId="6" type="noConversion"/>
  </si>
  <si>
    <r>
      <rPr>
        <sz val="12"/>
        <rFont val="標楷體"/>
        <family val="4"/>
        <charset val="136"/>
      </rPr>
      <t>　本期賸餘（短絀）</t>
    </r>
    <phoneticPr fontId="6" type="noConversion"/>
  </si>
  <si>
    <r>
      <t xml:space="preserve">    </t>
    </r>
    <r>
      <rPr>
        <sz val="12"/>
        <rFont val="標楷體"/>
        <family val="4"/>
        <charset val="136"/>
      </rPr>
      <t>利息股利之調整</t>
    </r>
    <phoneticPr fontId="6" type="noConversion"/>
  </si>
  <si>
    <r>
      <rPr>
        <sz val="12"/>
        <rFont val="標楷體"/>
        <family val="4"/>
        <charset val="136"/>
      </rPr>
      <t>　調整項目</t>
    </r>
    <phoneticPr fontId="6" type="noConversion"/>
  </si>
  <si>
    <r>
      <t>1.</t>
    </r>
    <r>
      <rPr>
        <sz val="12"/>
        <rFont val="標楷體"/>
        <family val="4"/>
        <charset val="136"/>
      </rPr>
      <t xml:space="preserve">提存呆帳
</t>
    </r>
    <r>
      <rPr>
        <sz val="12"/>
        <rFont val="Times New Roman"/>
        <family val="1"/>
      </rPr>
      <t xml:space="preserve">   
   </t>
    </r>
    <phoneticPr fontId="6" type="noConversion"/>
  </si>
  <si>
    <r>
      <rPr>
        <sz val="12"/>
        <rFont val="標楷體"/>
        <family val="4"/>
        <charset val="136"/>
      </rPr>
      <t>千元</t>
    </r>
    <phoneticPr fontId="6" type="noConversion"/>
  </si>
  <si>
    <r>
      <rPr>
        <sz val="12"/>
        <rFont val="標楷體"/>
        <family val="4"/>
        <charset val="136"/>
      </rPr>
      <t>　減少流動金融資產及短期貸墊款</t>
    </r>
    <phoneticPr fontId="6" type="noConversion"/>
  </si>
  <si>
    <r>
      <t>係減少流動金融資產</t>
    </r>
    <r>
      <rPr>
        <sz val="12"/>
        <rFont val="Times New Roman"/>
        <family val="1"/>
      </rPr>
      <t>667,290</t>
    </r>
    <r>
      <rPr>
        <sz val="12"/>
        <rFont val="標楷體"/>
        <family val="4"/>
        <charset val="136"/>
      </rPr>
      <t>千元。</t>
    </r>
    <phoneticPr fontId="6" type="noConversion"/>
  </si>
  <si>
    <r>
      <rPr>
        <sz val="12"/>
        <rFont val="標楷體"/>
        <family val="4"/>
        <charset val="136"/>
      </rPr>
      <t>　增加流動金融資產及短期貸墊款</t>
    </r>
    <phoneticPr fontId="6" type="noConversion"/>
  </si>
  <si>
    <r>
      <rPr>
        <sz val="12"/>
        <rFont val="標楷體"/>
        <family val="4"/>
        <charset val="136"/>
      </rPr>
      <t>　增加投資、長期應收款、貸墊款及準備金</t>
    </r>
    <phoneticPr fontId="6" type="noConversion"/>
  </si>
  <si>
    <r>
      <rPr>
        <sz val="12"/>
        <rFont val="標楷體"/>
        <family val="4"/>
        <charset val="136"/>
      </rPr>
      <t>　增加無形資產、遞延借項及其他資產</t>
    </r>
    <phoneticPr fontId="6" type="noConversion"/>
  </si>
  <si>
    <r>
      <rPr>
        <sz val="12"/>
        <rFont val="標楷體"/>
        <family val="4"/>
        <charset val="136"/>
      </rPr>
      <t>支付利息千元。</t>
    </r>
    <phoneticPr fontId="6" type="noConversion"/>
  </si>
  <si>
    <r>
      <rPr>
        <sz val="12"/>
        <rFont val="Times New Roman"/>
        <family val="1"/>
      </rPr>
      <t>111</t>
    </r>
    <r>
      <rPr>
        <sz val="12"/>
        <rFont val="標楷體"/>
        <family val="4"/>
        <charset val="136"/>
      </rPr>
      <t>年</t>
    </r>
    <r>
      <rPr>
        <sz val="12"/>
        <rFont val="Times New Roman"/>
        <family val="1"/>
      </rPr>
      <t>4</t>
    </r>
    <r>
      <rPr>
        <sz val="12"/>
        <rFont val="標楷體"/>
        <family val="4"/>
        <charset val="136"/>
      </rPr>
      <t>月底勞工保險職業災害部分之現金及約當現金</t>
    </r>
    <r>
      <rPr>
        <sz val="12"/>
        <rFont val="Times New Roman"/>
        <family val="1"/>
      </rPr>
      <t>2,209,559</t>
    </r>
    <r>
      <rPr>
        <sz val="12"/>
        <rFont val="標楷體"/>
        <family val="4"/>
        <charset val="136"/>
      </rPr>
      <t>千元，配合「勞職保及保護」業務於</t>
    </r>
    <r>
      <rPr>
        <sz val="12"/>
        <rFont val="Times New Roman"/>
        <family val="1"/>
      </rPr>
      <t>111</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日開辦，移列至該業務。</t>
    </r>
    <phoneticPr fontId="6" type="noConversion"/>
  </si>
  <si>
    <r>
      <t>配合本業務於</t>
    </r>
    <r>
      <rPr>
        <sz val="12"/>
        <rFont val="Times New Roman"/>
        <family val="1"/>
      </rPr>
      <t>111</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日開辦，由勞工保險職業災害部分及職業災害勞工保護部分之</t>
    </r>
    <r>
      <rPr>
        <sz val="12"/>
        <rFont val="Times New Roman"/>
        <family val="1"/>
      </rPr>
      <t>111</t>
    </r>
    <r>
      <rPr>
        <sz val="12"/>
        <rFont val="標楷體"/>
        <family val="4"/>
        <charset val="136"/>
      </rPr>
      <t>年</t>
    </r>
    <r>
      <rPr>
        <sz val="12"/>
        <rFont val="Times New Roman"/>
        <family val="1"/>
      </rPr>
      <t>4</t>
    </r>
    <r>
      <rPr>
        <sz val="12"/>
        <rFont val="標楷體"/>
        <family val="4"/>
        <charset val="136"/>
      </rPr>
      <t>月底現金及約當現金共計</t>
    </r>
    <r>
      <rPr>
        <sz val="12"/>
        <rFont val="Times New Roman"/>
        <family val="1"/>
      </rPr>
      <t>4,321,047</t>
    </r>
    <r>
      <rPr>
        <sz val="12"/>
        <rFont val="標楷體"/>
        <family val="4"/>
        <charset val="136"/>
      </rPr>
      <t>千元，移列至本業務。</t>
    </r>
    <phoneticPr fontId="6" type="noConversion"/>
  </si>
  <si>
    <t>　其他籌資活動之現金流入</t>
    <phoneticPr fontId="6" type="noConversion"/>
  </si>
  <si>
    <r>
      <rPr>
        <sz val="12"/>
        <rFont val="標楷體"/>
        <family val="4"/>
        <charset val="136"/>
      </rPr>
      <t>係增加其他負債</t>
    </r>
    <r>
      <rPr>
        <sz val="12"/>
        <rFont val="Times New Roman"/>
        <family val="1"/>
      </rPr>
      <t>36,343,568</t>
    </r>
    <r>
      <rPr>
        <sz val="12"/>
        <rFont val="標楷體"/>
        <family val="4"/>
        <charset val="136"/>
      </rPr>
      <t>千元。</t>
    </r>
    <phoneticPr fontId="6" type="noConversion"/>
  </si>
  <si>
    <r>
      <rPr>
        <sz val="12"/>
        <rFont val="標楷體"/>
        <family val="4"/>
        <charset val="136"/>
      </rPr>
      <t>係減少其他負債</t>
    </r>
    <r>
      <rPr>
        <sz val="12"/>
        <rFont val="Times New Roman"/>
        <family val="1"/>
      </rPr>
      <t>25,492,851</t>
    </r>
    <r>
      <rPr>
        <sz val="12"/>
        <rFont val="標楷體"/>
        <family val="4"/>
        <charset val="136"/>
      </rPr>
      <t>千元。</t>
    </r>
    <phoneticPr fontId="6" type="noConversion"/>
  </si>
  <si>
    <t>總　　計</t>
    <phoneticPr fontId="6" type="noConversion"/>
  </si>
  <si>
    <t>合　　計</t>
    <phoneticPr fontId="6" type="noConversion"/>
  </si>
  <si>
    <t>聘僱人員薪資</t>
    <phoneticPr fontId="6" type="noConversion"/>
  </si>
  <si>
    <t>獎金</t>
    <phoneticPr fontId="6" type="noConversion"/>
  </si>
  <si>
    <t>津貼</t>
    <phoneticPr fontId="6" type="noConversion"/>
  </si>
  <si>
    <t>福利費</t>
    <phoneticPr fontId="6" type="noConversion"/>
  </si>
  <si>
    <t>提繳費</t>
    <phoneticPr fontId="6" type="noConversion"/>
  </si>
  <si>
    <t>前  年  度</t>
    <phoneticPr fontId="6" type="noConversion"/>
  </si>
  <si>
    <t>決  算  數</t>
    <phoneticPr fontId="6" type="noConversion"/>
  </si>
  <si>
    <t>上  年  度</t>
    <phoneticPr fontId="6" type="noConversion"/>
  </si>
  <si>
    <t>預  算  數</t>
    <phoneticPr fontId="6" type="noConversion"/>
  </si>
  <si>
    <t xml:space="preserve">  農保及農職保</t>
    <phoneticPr fontId="6" type="noConversion"/>
  </si>
  <si>
    <t xml:space="preserve">  勞職保及保護</t>
    <phoneticPr fontId="6" type="noConversion"/>
  </si>
  <si>
    <t>　補貼（償）、獎勵、慰問與救助（
　濟）</t>
    <phoneticPr fontId="6" type="noConversion"/>
  </si>
  <si>
    <t>　補貼（償）、獎勵、慰
　問與救助（濟）</t>
    <phoneticPr fontId="6" type="noConversion"/>
  </si>
  <si>
    <r>
      <t>預估</t>
    </r>
    <r>
      <rPr>
        <sz val="12"/>
        <rFont val="Times New Roman"/>
        <family val="1"/>
      </rPr>
      <t>2</t>
    </r>
    <r>
      <rPr>
        <sz val="12"/>
        <rFont val="標楷體"/>
        <family val="4"/>
        <charset val="136"/>
      </rPr>
      <t>件。</t>
    </r>
    <phoneticPr fontId="6" type="noConversion"/>
  </si>
  <si>
    <t>比較增減(-)</t>
    <phoneticPr fontId="6" type="noConversion"/>
  </si>
  <si>
    <r>
      <t>主要係應付保管款逾</t>
    </r>
    <r>
      <rPr>
        <sz val="12"/>
        <rFont val="Times New Roman"/>
        <family val="1"/>
      </rPr>
      <t>4</t>
    </r>
    <r>
      <rPr>
        <sz val="12"/>
        <rFont val="標楷體"/>
        <family val="4"/>
        <charset val="136"/>
      </rPr>
      <t>年轉入等收入。</t>
    </r>
    <phoneticPr fontId="6" type="noConversion"/>
  </si>
  <si>
    <r>
      <t>主要係應付保管款逾</t>
    </r>
    <r>
      <rPr>
        <sz val="12"/>
        <rFont val="Times New Roman"/>
        <family val="1"/>
      </rPr>
      <t>4</t>
    </r>
    <r>
      <rPr>
        <sz val="12"/>
        <rFont val="標楷體"/>
        <family val="4"/>
        <charset val="136"/>
      </rPr>
      <t>年轉入等收入。</t>
    </r>
    <phoneticPr fontId="6" type="noConversion"/>
  </si>
  <si>
    <r>
      <rPr>
        <sz val="12"/>
        <rFont val="標楷體"/>
        <family val="4"/>
        <charset val="136"/>
      </rPr>
      <t>編列</t>
    </r>
    <r>
      <rPr>
        <sz val="12"/>
        <rFont val="Times New Roman"/>
        <family val="1"/>
      </rPr>
      <t>15,886</t>
    </r>
    <r>
      <rPr>
        <sz val="12"/>
        <rFont val="標楷體"/>
        <family val="4"/>
        <charset val="136"/>
      </rPr>
      <t>千元，由勞動部職業安全衛生署辦理，係政府對未加保勞工而遭遇職業災害者之各項補助，並參考以前年度執行情形核實編列，詳第</t>
    </r>
    <r>
      <rPr>
        <sz val="12"/>
        <rFont val="Times New Roman"/>
        <family val="1"/>
      </rPr>
      <t>88</t>
    </r>
    <r>
      <rPr>
        <sz val="12"/>
        <rFont val="標楷體"/>
        <family val="4"/>
        <charset val="136"/>
      </rPr>
      <t>頁雜項業務成本分析表─職業災害勞工保護。</t>
    </r>
    <phoneticPr fontId="6" type="noConversion"/>
  </si>
  <si>
    <t xml:space="preserve">    勞職保及保護</t>
    <phoneticPr fontId="6" type="noConversion"/>
  </si>
  <si>
    <t>　　    印刷裝訂及公告費</t>
    <phoneticPr fontId="6" type="noConversion"/>
  </si>
  <si>
    <t xml:space="preserve">        印刷裝訂及公告費</t>
    <phoneticPr fontId="6" type="noConversion"/>
  </si>
  <si>
    <t>本年度無預算員額。</t>
    <phoneticPr fontId="6" type="noConversion"/>
  </si>
  <si>
    <t>本科目全數由勞動部職業安全衛生署辦理。</t>
    <phoneticPr fontId="6" type="noConversion"/>
  </si>
  <si>
    <t>保險收入明細表</t>
    <phoneticPr fontId="6" type="noConversion"/>
  </si>
  <si>
    <t>現金流量預計表</t>
    <phoneticPr fontId="6" type="noConversion"/>
  </si>
  <si>
    <t>　　以國有財產撥充</t>
    <phoneticPr fontId="6" type="noConversion"/>
  </si>
  <si>
    <t>依照「失業被保險人及其眷屬全民健康保險保險費補助辦法」，被保險人及其非自願離職退保當時，隨同被保險人參加全民健康保險之眷屬，於被保險人依就業保險法請領失業給付或職業訓練生活津貼期間，按月補助其參加全民健康保險自付部分之保險費。</t>
    <phoneticPr fontId="23" type="noConversion"/>
  </si>
  <si>
    <r>
      <t>預估</t>
    </r>
    <r>
      <rPr>
        <sz val="12"/>
        <rFont val="Times New Roman"/>
        <family val="1"/>
      </rPr>
      <t>3</t>
    </r>
    <r>
      <rPr>
        <sz val="12"/>
        <rFont val="標楷體"/>
        <family val="4"/>
        <charset val="136"/>
      </rPr>
      <t>件。</t>
    </r>
    <phoneticPr fontId="23" type="noConversion"/>
  </si>
  <si>
    <t>五、本年度收支相抵後，賸餘無列數。</t>
    <phoneticPr fontId="6" type="noConversion"/>
  </si>
  <si>
    <t>保險成本說明</t>
    <phoneticPr fontId="6" type="noConversion"/>
  </si>
  <si>
    <t>業務外費用明細表</t>
    <phoneticPr fontId="6"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</si>
  <si>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6"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</si>
  <si>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保險局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6" type="noConversion"/>
  </si>
  <si>
    <r>
      <rPr>
        <sz val="18"/>
        <rFont val="標楷體"/>
        <family val="4"/>
        <charset val="136"/>
      </rPr>
      <t>各</t>
    </r>
    <r>
      <rPr>
        <sz val="18"/>
        <rFont val="Times New Roman"/>
        <family val="1"/>
      </rPr>
      <t xml:space="preserve"> </t>
    </r>
    <r>
      <rPr>
        <sz val="18"/>
        <rFont val="標楷體"/>
        <family val="4"/>
        <charset val="136"/>
      </rPr>
      <t>項</t>
    </r>
    <r>
      <rPr>
        <sz val="18"/>
        <rFont val="Times New Roman"/>
        <family val="1"/>
      </rPr>
      <t xml:space="preserve"> </t>
    </r>
    <r>
      <rPr>
        <sz val="18"/>
        <rFont val="標楷體"/>
        <family val="4"/>
        <charset val="136"/>
      </rPr>
      <t>費</t>
    </r>
    <r>
      <rPr>
        <sz val="18"/>
        <rFont val="Times New Roman"/>
        <family val="1"/>
      </rPr>
      <t xml:space="preserve"> </t>
    </r>
    <r>
      <rPr>
        <sz val="18"/>
        <rFont val="標楷體"/>
        <family val="4"/>
        <charset val="136"/>
      </rPr>
      <t>用</t>
    </r>
    <r>
      <rPr>
        <sz val="18"/>
        <rFont val="Times New Roman"/>
        <family val="1"/>
      </rPr>
      <t xml:space="preserve">    </t>
    </r>
    <r>
      <rPr>
        <sz val="18"/>
        <rFont val="標楷體"/>
        <family val="4"/>
        <charset val="136"/>
      </rPr>
      <t>彙</t>
    </r>
    <r>
      <rPr>
        <sz val="18"/>
        <rFont val="Times New Roman"/>
        <family val="1"/>
      </rPr>
      <t xml:space="preserve">  </t>
    </r>
    <r>
      <rPr>
        <sz val="18"/>
        <rFont val="標楷體"/>
        <family val="4"/>
        <charset val="136"/>
      </rPr>
      <t>計</t>
    </r>
    <r>
      <rPr>
        <sz val="18"/>
        <rFont val="Times New Roman"/>
        <family val="1"/>
      </rPr>
      <t xml:space="preserve">  </t>
    </r>
    <r>
      <rPr>
        <sz val="18"/>
        <rFont val="標楷體"/>
        <family val="4"/>
        <charset val="136"/>
      </rPr>
      <t>表</t>
    </r>
    <phoneticPr fontId="6" type="noConversion"/>
  </si>
  <si>
    <t>單位：新臺幣千元</t>
    <phoneticPr fontId="6"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</si>
  <si>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保險局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6" type="noConversion"/>
  </si>
  <si>
    <t>其他業務成本說明</t>
    <phoneticPr fontId="6" type="noConversion"/>
  </si>
  <si>
    <t>業務外費用說明</t>
    <phoneticPr fontId="6" type="noConversion"/>
  </si>
  <si>
    <t>出租資產成本說明</t>
    <phoneticPr fontId="6" type="noConversion"/>
  </si>
  <si>
    <t>投融資業務成本說明</t>
    <phoneticPr fontId="6" type="noConversion"/>
  </si>
  <si>
    <t>貸出款明細表</t>
    <phoneticPr fontId="6" type="noConversion"/>
  </si>
  <si>
    <t>收支餘絀預計表說明</t>
    <phoneticPr fontId="6" type="noConversion"/>
  </si>
  <si>
    <t>餘絀撥補預計表</t>
    <phoneticPr fontId="6" type="noConversion"/>
  </si>
  <si>
    <t>投融資業務收入明細表</t>
    <phoneticPr fontId="6" type="noConversion"/>
  </si>
  <si>
    <t>其他業務收入明細表</t>
    <phoneticPr fontId="6" type="noConversion"/>
  </si>
  <si>
    <t>業務外收入明細表</t>
    <phoneticPr fontId="6" type="noConversion"/>
  </si>
  <si>
    <t>投融資業務成本明細表</t>
    <phoneticPr fontId="6" type="noConversion"/>
  </si>
  <si>
    <t>其他業務成本明細表</t>
    <phoneticPr fontId="6" type="noConversion"/>
  </si>
  <si>
    <t>基金數額增減明細表</t>
    <phoneticPr fontId="6" type="noConversion"/>
  </si>
  <si>
    <t>預計平衡表</t>
    <phoneticPr fontId="6" type="noConversion"/>
  </si>
  <si>
    <t>員工人數彙計表</t>
    <phoneticPr fontId="6" type="noConversion"/>
  </si>
  <si>
    <t>用人費用彙計表</t>
    <phoneticPr fontId="6" type="noConversion"/>
  </si>
  <si>
    <t>媒體政策及業務宣導費彙計表</t>
    <phoneticPr fontId="6" type="noConversion"/>
  </si>
  <si>
    <t>投資性不動產收入分析表</t>
    <phoneticPr fontId="6" type="noConversion"/>
  </si>
  <si>
    <t>保費收入分析表</t>
    <phoneticPr fontId="6" type="noConversion"/>
  </si>
  <si>
    <r>
      <rPr>
        <sz val="18"/>
        <rFont val="標楷體"/>
        <family val="4"/>
        <charset val="136"/>
      </rPr>
      <t>保費收入分析表</t>
    </r>
    <r>
      <rPr>
        <sz val="18"/>
        <rFont val="Times New Roman"/>
        <family val="1"/>
      </rPr>
      <t>(</t>
    </r>
    <r>
      <rPr>
        <sz val="18"/>
        <rFont val="標楷體"/>
        <family val="4"/>
        <charset val="136"/>
      </rPr>
      <t>附表</t>
    </r>
    <r>
      <rPr>
        <sz val="18"/>
        <rFont val="Times New Roman"/>
        <family val="1"/>
      </rPr>
      <t>)</t>
    </r>
    <phoneticPr fontId="6" type="noConversion"/>
  </si>
  <si>
    <t>保險給付分析表</t>
    <phoneticPr fontId="6" type="noConversion"/>
  </si>
  <si>
    <t>雜項業務成本分析表─勞職保及保護</t>
    <phoneticPr fontId="6" type="noConversion"/>
  </si>
  <si>
    <t>收支餘絀預計表（勞工保險部分）</t>
    <phoneticPr fontId="6" type="noConversion"/>
  </si>
  <si>
    <t>現金流量預計表（勞工保險部分）</t>
    <phoneticPr fontId="6" type="noConversion"/>
  </si>
  <si>
    <t>預計平衡表（勞工保險部分）</t>
    <phoneticPr fontId="6" type="noConversion"/>
  </si>
  <si>
    <t>收支餘絀預計表（就業保險部分）</t>
    <phoneticPr fontId="6" type="noConversion"/>
  </si>
  <si>
    <t>現金流量預計表（就業保險部分）</t>
    <phoneticPr fontId="6" type="noConversion"/>
  </si>
  <si>
    <t>預計平衡表（就業保險部分）</t>
    <phoneticPr fontId="6" type="noConversion"/>
  </si>
  <si>
    <r>
      <rPr>
        <sz val="18"/>
        <rFont val="標楷體"/>
        <family val="4"/>
        <charset val="136"/>
      </rPr>
      <t>收支餘絀預計表（農保及農職保部分）</t>
    </r>
    <r>
      <rPr>
        <sz val="18"/>
        <rFont val="Times New Roman"/>
        <family val="1"/>
      </rPr>
      <t xml:space="preserve"> </t>
    </r>
    <phoneticPr fontId="6" type="noConversion"/>
  </si>
  <si>
    <t>現金流量預計表（農保及農職保部分）</t>
    <phoneticPr fontId="6" type="noConversion"/>
  </si>
  <si>
    <r>
      <rPr>
        <sz val="18"/>
        <rFont val="標楷體"/>
        <family val="4"/>
        <charset val="136"/>
      </rPr>
      <t>預計平衡表（農保及農職保部分）</t>
    </r>
    <r>
      <rPr>
        <sz val="18"/>
        <rFont val="Times New Roman"/>
        <family val="1"/>
      </rPr>
      <t xml:space="preserve"> </t>
    </r>
    <phoneticPr fontId="6" type="noConversion"/>
  </si>
  <si>
    <r>
      <rPr>
        <sz val="18"/>
        <rFont val="標楷體"/>
        <family val="4"/>
        <charset val="136"/>
      </rPr>
      <t>收支餘絀預計表（勞職保及保護部分）</t>
    </r>
    <r>
      <rPr>
        <sz val="18"/>
        <rFont val="Times New Roman"/>
        <family val="1"/>
      </rPr>
      <t xml:space="preserve"> </t>
    </r>
    <phoneticPr fontId="6" type="noConversion"/>
  </si>
  <si>
    <t xml:space="preserve">現金流量預計表（勞職保及保護部分） </t>
    <phoneticPr fontId="6" type="noConversion"/>
  </si>
  <si>
    <r>
      <rPr>
        <sz val="18"/>
        <rFont val="標楷體"/>
        <family val="4"/>
        <charset val="136"/>
      </rPr>
      <t>預計平衡表（勞職保及保護部分）</t>
    </r>
    <r>
      <rPr>
        <sz val="18"/>
        <rFont val="Times New Roman"/>
        <family val="1"/>
      </rPr>
      <t xml:space="preserve"> </t>
    </r>
    <phoneticPr fontId="6" type="noConversion"/>
  </si>
  <si>
    <t xml:space="preserve">        國內投資</t>
    <phoneticPr fontId="6" type="noConversion"/>
  </si>
  <si>
    <t xml:space="preserve"> 　　   國外投資</t>
    <phoneticPr fontId="6" type="noConversion"/>
  </si>
  <si>
    <t xml:space="preserve">      國內</t>
    <phoneticPr fontId="6" type="noConversion"/>
  </si>
  <si>
    <t xml:space="preserve">      國外</t>
    <phoneticPr fontId="6" type="noConversion"/>
  </si>
  <si>
    <t xml:space="preserve">    投資性不動產成本</t>
    <phoneticPr fontId="6" type="noConversion"/>
  </si>
  <si>
    <t xml:space="preserve">  　融資業務成本</t>
    <phoneticPr fontId="6" type="noConversion"/>
  </si>
  <si>
    <r>
      <t>112</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預計數</t>
    </r>
    <phoneticPr fontId="6" type="noConversion"/>
  </si>
  <si>
    <r>
      <rPr>
        <sz val="12"/>
        <rFont val="標楷體"/>
        <family val="4"/>
        <charset val="136"/>
      </rPr>
      <t>保險費由被保險人負擔</t>
    </r>
    <r>
      <rPr>
        <sz val="12"/>
        <rFont val="Times New Roman"/>
        <family val="1"/>
      </rPr>
      <t>20%</t>
    </r>
    <r>
      <rPr>
        <sz val="12"/>
        <rFont val="標楷體"/>
        <family val="4"/>
        <charset val="136"/>
      </rPr>
      <t>，投保單位負擔</t>
    </r>
    <r>
      <rPr>
        <sz val="12"/>
        <rFont val="Times New Roman"/>
        <family val="1"/>
      </rPr>
      <t>70%</t>
    </r>
    <r>
      <rPr>
        <sz val="12"/>
        <rFont val="標楷體"/>
        <family val="4"/>
        <charset val="136"/>
      </rPr>
      <t>，政府補助</t>
    </r>
    <r>
      <rPr>
        <sz val="12"/>
        <rFont val="Times New Roman"/>
        <family val="1"/>
      </rPr>
      <t>10%</t>
    </r>
    <r>
      <rPr>
        <sz val="12"/>
        <rFont val="標楷體"/>
        <family val="4"/>
        <charset val="136"/>
      </rPr>
      <t>。</t>
    </r>
    <phoneticPr fontId="6" type="noConversion"/>
  </si>
  <si>
    <r>
      <rPr>
        <sz val="12"/>
        <rFont val="標楷體"/>
        <family val="4"/>
        <charset val="136"/>
      </rPr>
      <t>保險費由被保險人負擔</t>
    </r>
    <r>
      <rPr>
        <sz val="12"/>
        <rFont val="Times New Roman"/>
        <family val="1"/>
      </rPr>
      <t>60%</t>
    </r>
    <r>
      <rPr>
        <sz val="12"/>
        <rFont val="標楷體"/>
        <family val="4"/>
        <charset val="136"/>
      </rPr>
      <t>，政府補助</t>
    </r>
    <r>
      <rPr>
        <sz val="12"/>
        <rFont val="Times New Roman"/>
        <family val="1"/>
      </rPr>
      <t>40%</t>
    </r>
    <r>
      <rPr>
        <sz val="12"/>
        <rFont val="標楷體"/>
        <family val="4"/>
        <charset val="136"/>
      </rPr>
      <t>。</t>
    </r>
    <phoneticPr fontId="23" type="noConversion"/>
  </si>
  <si>
    <t>　　　　一次請領</t>
    <phoneticPr fontId="23" type="noConversion"/>
  </si>
  <si>
    <t>　　　　一次金</t>
    <phoneticPr fontId="23" type="noConversion"/>
  </si>
  <si>
    <r>
      <rPr>
        <sz val="12"/>
        <rFont val="新細明體"/>
        <family val="4"/>
        <charset val="136"/>
      </rPr>
      <t>　　　</t>
    </r>
    <r>
      <rPr>
        <sz val="12"/>
        <rFont val="Times New Roman"/>
        <family val="4"/>
      </rPr>
      <t xml:space="preserve">   </t>
    </r>
    <r>
      <rPr>
        <sz val="12"/>
        <rFont val="標楷體"/>
        <family val="4"/>
        <charset val="136"/>
      </rPr>
      <t>一次金</t>
    </r>
    <phoneticPr fontId="23" type="noConversion"/>
  </si>
  <si>
    <r>
      <rPr>
        <sz val="12"/>
        <rFont val="新細明體"/>
        <family val="4"/>
        <charset val="136"/>
      </rPr>
      <t>　　　</t>
    </r>
    <r>
      <rPr>
        <sz val="12"/>
        <rFont val="Times New Roman"/>
        <family val="4"/>
      </rPr>
      <t xml:space="preserve">   </t>
    </r>
    <r>
      <rPr>
        <sz val="12"/>
        <rFont val="標楷體"/>
        <family val="4"/>
        <charset val="136"/>
      </rPr>
      <t>差額金</t>
    </r>
    <phoneticPr fontId="23" type="noConversion"/>
  </si>
  <si>
    <r>
      <rPr>
        <sz val="12"/>
        <rFont val="新細明體"/>
        <family val="4"/>
        <charset val="136"/>
      </rPr>
      <t>　　　</t>
    </r>
    <r>
      <rPr>
        <sz val="12"/>
        <rFont val="Times New Roman"/>
        <family val="4"/>
      </rPr>
      <t xml:space="preserve">   </t>
    </r>
    <r>
      <rPr>
        <sz val="12"/>
        <rFont val="標楷體"/>
        <family val="4"/>
        <charset val="136"/>
      </rPr>
      <t>年金</t>
    </r>
    <phoneticPr fontId="23" type="noConversion"/>
  </si>
  <si>
    <r>
      <rPr>
        <sz val="12"/>
        <rFont val="標楷體"/>
        <family val="4"/>
        <charset val="136"/>
      </rPr>
      <t>　　　</t>
    </r>
    <r>
      <rPr>
        <sz val="12"/>
        <rFont val="Times New Roman"/>
        <family val="1"/>
      </rPr>
      <t xml:space="preserve">    </t>
    </r>
    <r>
      <rPr>
        <sz val="12"/>
        <rFont val="標楷體"/>
        <family val="4"/>
        <charset val="136"/>
      </rPr>
      <t>傷病</t>
    </r>
    <phoneticPr fontId="23" type="noConversion"/>
  </si>
  <si>
    <r>
      <rPr>
        <sz val="12"/>
        <rFont val="標楷體"/>
        <family val="4"/>
        <charset val="136"/>
      </rPr>
      <t>　　　</t>
    </r>
    <r>
      <rPr>
        <sz val="12"/>
        <rFont val="Times New Roman"/>
        <family val="1"/>
      </rPr>
      <t xml:space="preserve">    </t>
    </r>
    <r>
      <rPr>
        <sz val="12"/>
        <rFont val="標楷體"/>
        <family val="4"/>
        <charset val="136"/>
      </rPr>
      <t>失能</t>
    </r>
    <phoneticPr fontId="23" type="noConversion"/>
  </si>
  <si>
    <r>
      <rPr>
        <sz val="12"/>
        <rFont val="新細明體"/>
        <family val="4"/>
        <charset val="136"/>
      </rPr>
      <t>　　</t>
    </r>
    <r>
      <rPr>
        <sz val="12"/>
        <rFont val="Times New Roman"/>
        <family val="4"/>
      </rPr>
      <t xml:space="preserve">       </t>
    </r>
    <r>
      <rPr>
        <sz val="12"/>
        <rFont val="標楷體"/>
        <family val="4"/>
        <charset val="136"/>
      </rPr>
      <t>一次金</t>
    </r>
    <phoneticPr fontId="23" type="noConversion"/>
  </si>
  <si>
    <r>
      <rPr>
        <sz val="12"/>
        <rFont val="新細明體"/>
        <family val="4"/>
        <charset val="136"/>
      </rPr>
      <t>　　</t>
    </r>
    <r>
      <rPr>
        <sz val="12"/>
        <rFont val="Times New Roman"/>
        <family val="4"/>
      </rPr>
      <t xml:space="preserve">       </t>
    </r>
    <r>
      <rPr>
        <sz val="12"/>
        <rFont val="標楷體"/>
        <family val="4"/>
        <charset val="136"/>
      </rPr>
      <t>遺屬年金</t>
    </r>
    <phoneticPr fontId="23" type="noConversion"/>
  </si>
  <si>
    <r>
      <rPr>
        <sz val="12"/>
        <rFont val="新細明體"/>
        <family val="4"/>
        <charset val="136"/>
      </rPr>
      <t>　　</t>
    </r>
    <r>
      <rPr>
        <sz val="12"/>
        <rFont val="Times New Roman"/>
        <family val="4"/>
      </rPr>
      <t xml:space="preserve">       </t>
    </r>
    <r>
      <rPr>
        <sz val="12"/>
        <rFont val="標楷體"/>
        <family val="4"/>
        <charset val="136"/>
      </rPr>
      <t>職災補償金</t>
    </r>
    <phoneticPr fontId="23" type="noConversion"/>
  </si>
  <si>
    <r>
      <rPr>
        <sz val="12"/>
        <rFont val="新細明體"/>
        <family val="4"/>
        <charset val="136"/>
      </rPr>
      <t>　　　</t>
    </r>
    <r>
      <rPr>
        <sz val="12"/>
        <rFont val="Times New Roman"/>
        <family val="4"/>
      </rPr>
      <t xml:space="preserve">   </t>
    </r>
    <r>
      <rPr>
        <sz val="12"/>
        <rFont val="標楷體"/>
        <family val="4"/>
        <charset val="136"/>
      </rPr>
      <t>補償一次金</t>
    </r>
    <phoneticPr fontId="23" type="noConversion"/>
  </si>
  <si>
    <r>
      <rPr>
        <b/>
        <sz val="12"/>
        <color theme="1"/>
        <rFont val="標楷體"/>
        <family val="4"/>
        <charset val="136"/>
      </rPr>
      <t>　</t>
    </r>
    <r>
      <rPr>
        <b/>
        <sz val="12"/>
        <color theme="1"/>
        <rFont val="Times New Roman"/>
        <family val="1"/>
      </rPr>
      <t xml:space="preserve">   </t>
    </r>
    <r>
      <rPr>
        <b/>
        <sz val="12"/>
        <color theme="1"/>
        <rFont val="標楷體"/>
        <family val="4"/>
        <charset val="136"/>
      </rPr>
      <t>現金給付</t>
    </r>
    <phoneticPr fontId="23" type="noConversion"/>
  </si>
  <si>
    <r>
      <t xml:space="preserve">      </t>
    </r>
    <r>
      <rPr>
        <sz val="12"/>
        <color theme="1"/>
        <rFont val="標楷體"/>
        <family val="4"/>
        <charset val="136"/>
      </rPr>
      <t>　</t>
    </r>
    <r>
      <rPr>
        <sz val="12"/>
        <color theme="1"/>
        <rFont val="Times New Roman"/>
        <family val="1"/>
      </rPr>
      <t xml:space="preserve"> </t>
    </r>
    <r>
      <rPr>
        <sz val="12"/>
        <color theme="1"/>
        <rFont val="標楷體"/>
        <family val="4"/>
        <charset val="136"/>
      </rPr>
      <t>生育給付</t>
    </r>
    <phoneticPr fontId="23" type="noConversion"/>
  </si>
  <si>
    <r>
      <t xml:space="preserve">           </t>
    </r>
    <r>
      <rPr>
        <sz val="12"/>
        <color theme="1"/>
        <rFont val="標楷體"/>
        <family val="4"/>
        <charset val="136"/>
      </rPr>
      <t>傷病給付</t>
    </r>
    <phoneticPr fontId="23" type="noConversion"/>
  </si>
  <si>
    <r>
      <t xml:space="preserve">           </t>
    </r>
    <r>
      <rPr>
        <sz val="12"/>
        <color theme="1"/>
        <rFont val="標楷體"/>
        <family val="4"/>
        <charset val="136"/>
      </rPr>
      <t>失能給付</t>
    </r>
    <phoneticPr fontId="23" type="noConversion"/>
  </si>
  <si>
    <r>
      <rPr>
        <sz val="12"/>
        <color theme="1"/>
        <rFont val="標楷體"/>
        <family val="4"/>
        <charset val="136"/>
      </rPr>
      <t>　　</t>
    </r>
    <r>
      <rPr>
        <sz val="12"/>
        <color theme="1"/>
        <rFont val="Times New Roman"/>
        <family val="1"/>
      </rPr>
      <t xml:space="preserve">       </t>
    </r>
    <r>
      <rPr>
        <sz val="12"/>
        <color theme="1"/>
        <rFont val="標楷體"/>
        <family val="4"/>
        <charset val="136"/>
      </rPr>
      <t>一次金</t>
    </r>
    <phoneticPr fontId="23" type="noConversion"/>
  </si>
  <si>
    <r>
      <rPr>
        <sz val="12"/>
        <color theme="1"/>
        <rFont val="標楷體"/>
        <family val="4"/>
        <charset val="136"/>
      </rPr>
      <t>　　</t>
    </r>
    <r>
      <rPr>
        <sz val="12"/>
        <color theme="1"/>
        <rFont val="Times New Roman"/>
        <family val="1"/>
      </rPr>
      <t xml:space="preserve"> </t>
    </r>
    <r>
      <rPr>
        <sz val="12"/>
        <color theme="1"/>
        <rFont val="標楷體"/>
        <family val="4"/>
        <charset val="136"/>
      </rPr>
      <t>　</t>
    </r>
    <r>
      <rPr>
        <sz val="12"/>
        <color theme="1"/>
        <rFont val="Times New Roman"/>
        <family val="1"/>
      </rPr>
      <t xml:space="preserve">  </t>
    </r>
    <r>
      <rPr>
        <sz val="12"/>
        <color theme="1"/>
        <rFont val="標楷體"/>
        <family val="4"/>
        <charset val="136"/>
      </rPr>
      <t>差額金</t>
    </r>
    <phoneticPr fontId="23" type="noConversion"/>
  </si>
  <si>
    <r>
      <rPr>
        <sz val="12"/>
        <color theme="1"/>
        <rFont val="標楷體"/>
        <family val="4"/>
        <charset val="136"/>
      </rPr>
      <t>　　</t>
    </r>
    <r>
      <rPr>
        <sz val="12"/>
        <color theme="1"/>
        <rFont val="Times New Roman"/>
        <family val="1"/>
      </rPr>
      <t xml:space="preserve">   </t>
    </r>
    <r>
      <rPr>
        <sz val="12"/>
        <color theme="1"/>
        <rFont val="標楷體"/>
        <family val="4"/>
        <charset val="136"/>
      </rPr>
      <t>　年金</t>
    </r>
    <phoneticPr fontId="23" type="noConversion"/>
  </si>
  <si>
    <r>
      <t xml:space="preserve">           </t>
    </r>
    <r>
      <rPr>
        <sz val="12"/>
        <color theme="1"/>
        <rFont val="標楷體"/>
        <family val="4"/>
        <charset val="136"/>
      </rPr>
      <t>複檢費用</t>
    </r>
    <phoneticPr fontId="23" type="noConversion"/>
  </si>
  <si>
    <r>
      <t xml:space="preserve">           </t>
    </r>
    <r>
      <rPr>
        <sz val="12"/>
        <color theme="1"/>
        <rFont val="標楷體"/>
        <family val="4"/>
        <charset val="136"/>
      </rPr>
      <t>老年給付</t>
    </r>
    <phoneticPr fontId="23" type="noConversion"/>
  </si>
  <si>
    <r>
      <rPr>
        <sz val="12"/>
        <color theme="1"/>
        <rFont val="標楷體"/>
        <family val="4"/>
        <charset val="136"/>
      </rPr>
      <t>　　　</t>
    </r>
    <r>
      <rPr>
        <sz val="12"/>
        <color theme="1"/>
        <rFont val="Times New Roman"/>
        <family val="1"/>
      </rPr>
      <t xml:space="preserve">    </t>
    </r>
    <r>
      <rPr>
        <sz val="12"/>
        <color theme="1"/>
        <rFont val="標楷體"/>
        <family val="4"/>
        <charset val="136"/>
      </rPr>
      <t>差額金</t>
    </r>
    <r>
      <rPr>
        <sz val="12"/>
        <color theme="1"/>
        <rFont val="Times New Roman"/>
        <family val="1"/>
      </rPr>
      <t xml:space="preserve"> </t>
    </r>
    <phoneticPr fontId="23" type="noConversion"/>
  </si>
  <si>
    <r>
      <rPr>
        <sz val="12"/>
        <color theme="1"/>
        <rFont val="標楷體"/>
        <family val="4"/>
        <charset val="136"/>
      </rPr>
      <t>　</t>
    </r>
    <r>
      <rPr>
        <sz val="12"/>
        <color theme="1"/>
        <rFont val="Times New Roman"/>
        <family val="1"/>
      </rPr>
      <t xml:space="preserve"> </t>
    </r>
    <r>
      <rPr>
        <sz val="12"/>
        <color theme="1"/>
        <rFont val="標楷體"/>
        <family val="4"/>
        <charset val="136"/>
      </rPr>
      <t>　　</t>
    </r>
    <r>
      <rPr>
        <sz val="12"/>
        <color theme="1"/>
        <rFont val="Times New Roman"/>
        <family val="1"/>
      </rPr>
      <t xml:space="preserve">   </t>
    </r>
    <r>
      <rPr>
        <sz val="12"/>
        <color theme="1"/>
        <rFont val="標楷體"/>
        <family val="4"/>
        <charset val="136"/>
      </rPr>
      <t>年金</t>
    </r>
    <phoneticPr fontId="23" type="noConversion"/>
  </si>
  <si>
    <r>
      <t xml:space="preserve">           </t>
    </r>
    <r>
      <rPr>
        <sz val="12"/>
        <color theme="1"/>
        <rFont val="標楷體"/>
        <family val="4"/>
        <charset val="136"/>
      </rPr>
      <t>死亡給付</t>
    </r>
    <phoneticPr fontId="23" type="noConversion"/>
  </si>
  <si>
    <r>
      <rPr>
        <sz val="12"/>
        <color theme="1"/>
        <rFont val="標楷體"/>
        <family val="4"/>
        <charset val="136"/>
      </rPr>
      <t>　　</t>
    </r>
    <r>
      <rPr>
        <sz val="12"/>
        <color theme="1"/>
        <rFont val="Times New Roman"/>
        <family val="1"/>
      </rPr>
      <t xml:space="preserve"> </t>
    </r>
    <r>
      <rPr>
        <sz val="12"/>
        <color theme="1"/>
        <rFont val="標楷體"/>
        <family val="4"/>
        <charset val="136"/>
      </rPr>
      <t>　</t>
    </r>
    <r>
      <rPr>
        <sz val="12"/>
        <color theme="1"/>
        <rFont val="Times New Roman"/>
        <family val="1"/>
      </rPr>
      <t xml:space="preserve">   </t>
    </r>
    <r>
      <rPr>
        <sz val="12"/>
        <color theme="1"/>
        <rFont val="標楷體"/>
        <family val="4"/>
        <charset val="136"/>
      </rPr>
      <t>家屬</t>
    </r>
    <phoneticPr fontId="23" type="noConversion"/>
  </si>
  <si>
    <r>
      <rPr>
        <sz val="12"/>
        <color theme="1"/>
        <rFont val="標楷體"/>
        <family val="4"/>
        <charset val="136"/>
      </rPr>
      <t>　　　</t>
    </r>
    <r>
      <rPr>
        <sz val="12"/>
        <color theme="1"/>
        <rFont val="Times New Roman"/>
        <family val="1"/>
      </rPr>
      <t xml:space="preserve">    </t>
    </r>
    <r>
      <rPr>
        <sz val="12"/>
        <color theme="1"/>
        <rFont val="標楷體"/>
        <family val="4"/>
        <charset val="136"/>
      </rPr>
      <t>本人</t>
    </r>
    <r>
      <rPr>
        <sz val="12"/>
        <color theme="1"/>
        <rFont val="Times New Roman"/>
        <family val="1"/>
      </rPr>
      <t xml:space="preserve">  </t>
    </r>
    <phoneticPr fontId="23" type="noConversion"/>
  </si>
  <si>
    <r>
      <rPr>
        <sz val="12"/>
        <color theme="1"/>
        <rFont val="標楷體"/>
        <family val="4"/>
        <charset val="136"/>
      </rPr>
      <t>　　</t>
    </r>
    <r>
      <rPr>
        <sz val="12"/>
        <color theme="1"/>
        <rFont val="Times New Roman"/>
        <family val="1"/>
      </rPr>
      <t xml:space="preserve">           </t>
    </r>
    <r>
      <rPr>
        <sz val="12"/>
        <color theme="1"/>
        <rFont val="標楷體"/>
        <family val="4"/>
        <charset val="136"/>
      </rPr>
      <t>一次金</t>
    </r>
    <phoneticPr fontId="23" type="noConversion"/>
  </si>
  <si>
    <r>
      <rPr>
        <sz val="12"/>
        <color theme="1"/>
        <rFont val="標楷體"/>
        <family val="4"/>
        <charset val="136"/>
      </rPr>
      <t>　　　</t>
    </r>
    <r>
      <rPr>
        <sz val="12"/>
        <color theme="1"/>
        <rFont val="Times New Roman"/>
        <family val="1"/>
      </rPr>
      <t xml:space="preserve">   </t>
    </r>
    <r>
      <rPr>
        <sz val="12"/>
        <color theme="1"/>
        <rFont val="標楷體"/>
        <family val="4"/>
        <charset val="136"/>
      </rPr>
      <t>　遺屬年金</t>
    </r>
    <phoneticPr fontId="23" type="noConversion"/>
  </si>
  <si>
    <r>
      <t xml:space="preserve">   </t>
    </r>
    <r>
      <rPr>
        <b/>
        <sz val="12"/>
        <color theme="1"/>
        <rFont val="標楷體"/>
        <family val="4"/>
        <charset val="136"/>
      </rPr>
      <t>就業保險</t>
    </r>
    <phoneticPr fontId="23" type="noConversion"/>
  </si>
  <si>
    <r>
      <t xml:space="preserve">       </t>
    </r>
    <r>
      <rPr>
        <sz val="12"/>
        <color theme="1"/>
        <rFont val="標楷體"/>
        <family val="4"/>
        <charset val="136"/>
      </rPr>
      <t>失業給付</t>
    </r>
    <phoneticPr fontId="23" type="noConversion"/>
  </si>
  <si>
    <r>
      <t xml:space="preserve">       </t>
    </r>
    <r>
      <rPr>
        <sz val="12"/>
        <color theme="1"/>
        <rFont val="標楷體"/>
        <family val="4"/>
        <charset val="136"/>
      </rPr>
      <t>提早就業獎助津貼</t>
    </r>
    <phoneticPr fontId="23" type="noConversion"/>
  </si>
  <si>
    <r>
      <t xml:space="preserve">       </t>
    </r>
    <r>
      <rPr>
        <sz val="12"/>
        <color theme="1"/>
        <rFont val="標楷體"/>
        <family val="4"/>
        <charset val="136"/>
      </rPr>
      <t>職業訓練生活津貼</t>
    </r>
    <phoneticPr fontId="23" type="noConversion"/>
  </si>
  <si>
    <r>
      <t xml:space="preserve">       </t>
    </r>
    <r>
      <rPr>
        <sz val="12"/>
        <color theme="1"/>
        <rFont val="標楷體"/>
        <family val="4"/>
        <charset val="136"/>
      </rPr>
      <t>育嬰留職停薪津貼</t>
    </r>
    <phoneticPr fontId="23" type="noConversion"/>
  </si>
  <si>
    <r>
      <t xml:space="preserve">       </t>
    </r>
    <r>
      <rPr>
        <sz val="12"/>
        <color theme="1"/>
        <rFont val="標楷體"/>
        <family val="4"/>
        <charset val="136"/>
      </rPr>
      <t>補助全民健保費</t>
    </r>
    <phoneticPr fontId="23" type="noConversion"/>
  </si>
  <si>
    <r>
      <t xml:space="preserve">      </t>
    </r>
    <r>
      <rPr>
        <b/>
        <sz val="12"/>
        <color theme="1"/>
        <rFont val="標楷體"/>
        <family val="4"/>
        <charset val="136"/>
      </rPr>
      <t>農保</t>
    </r>
    <phoneticPr fontId="23" type="noConversion"/>
  </si>
  <si>
    <r>
      <t xml:space="preserve">      </t>
    </r>
    <r>
      <rPr>
        <b/>
        <sz val="12"/>
        <color theme="1"/>
        <rFont val="標楷體"/>
        <family val="4"/>
        <charset val="136"/>
      </rPr>
      <t>農職保</t>
    </r>
    <phoneticPr fontId="23" type="noConversion"/>
  </si>
  <si>
    <t>　　  勞工保險</t>
    <phoneticPr fontId="6" type="noConversion"/>
  </si>
  <si>
    <t>　　賠償收入</t>
    <phoneticPr fontId="6" type="noConversion"/>
  </si>
  <si>
    <r>
      <t>預估</t>
    </r>
    <r>
      <rPr>
        <sz val="12"/>
        <rFont val="Times New Roman"/>
        <family val="1"/>
      </rPr>
      <t>12</t>
    </r>
    <r>
      <rPr>
        <sz val="12"/>
        <rFont val="標楷體"/>
        <family val="4"/>
        <charset val="136"/>
      </rPr>
      <t>人次。</t>
    </r>
    <phoneticPr fontId="6" type="noConversion"/>
  </si>
  <si>
    <t>建構職業健康專業能量發展網絡，強化職場新興危害及高危害物質健康防護</t>
    <phoneticPr fontId="23" type="noConversion"/>
  </si>
  <si>
    <t>補助相關團體辦理職業災害預防事項</t>
    <phoneticPr fontId="6" type="noConversion"/>
  </si>
  <si>
    <t>表面處理業危害監測採樣分析與資料庫建立(II)</t>
    <phoneticPr fontId="6" type="noConversion"/>
  </si>
  <si>
    <t>捐(補)助財團法人職業災害預防及重建中心</t>
    <phoneticPr fontId="23" type="noConversion"/>
  </si>
  <si>
    <r>
      <t xml:space="preserve">           </t>
    </r>
    <r>
      <rPr>
        <sz val="12"/>
        <rFont val="標楷體"/>
        <family val="4"/>
        <charset val="136"/>
      </rPr>
      <t>退保後職業病</t>
    </r>
    <phoneticPr fontId="6" type="noConversion"/>
  </si>
  <si>
    <r>
      <rPr>
        <sz val="12"/>
        <rFont val="微軟正黑體"/>
        <family val="1"/>
        <charset val="136"/>
      </rPr>
      <t>　　</t>
    </r>
    <r>
      <rPr>
        <sz val="12"/>
        <rFont val="Times New Roman"/>
        <family val="1"/>
      </rPr>
      <t xml:space="preserve">       </t>
    </r>
    <r>
      <rPr>
        <sz val="12"/>
        <rFont val="標楷體"/>
        <family val="4"/>
        <charset val="136"/>
      </rPr>
      <t>失能津貼</t>
    </r>
    <phoneticPr fontId="23" type="noConversion"/>
  </si>
  <si>
    <r>
      <rPr>
        <sz val="12"/>
        <rFont val="微軟正黑體"/>
        <family val="1"/>
        <charset val="136"/>
      </rPr>
      <t>　　</t>
    </r>
    <r>
      <rPr>
        <sz val="12"/>
        <rFont val="Times New Roman"/>
        <family val="1"/>
      </rPr>
      <t xml:space="preserve">       </t>
    </r>
    <r>
      <rPr>
        <sz val="12"/>
        <rFont val="標楷體"/>
        <family val="4"/>
        <charset val="136"/>
      </rPr>
      <t>死亡津貼</t>
    </r>
    <phoneticPr fontId="23" type="noConversion"/>
  </si>
  <si>
    <r>
      <t xml:space="preserve">           </t>
    </r>
    <r>
      <rPr>
        <sz val="12"/>
        <rFont val="標楷體"/>
        <family val="4"/>
        <charset val="136"/>
      </rPr>
      <t>未加保職災補助</t>
    </r>
    <phoneticPr fontId="23" type="noConversion"/>
  </si>
  <si>
    <r>
      <rPr>
        <sz val="12"/>
        <rFont val="新細明體"/>
        <family val="1"/>
        <charset val="136"/>
      </rPr>
      <t>　　　</t>
    </r>
    <r>
      <rPr>
        <sz val="12"/>
        <rFont val="Times New Roman"/>
        <family val="1"/>
      </rPr>
      <t xml:space="preserve">    </t>
    </r>
    <r>
      <rPr>
        <sz val="12"/>
        <rFont val="標楷體"/>
        <family val="4"/>
        <charset val="136"/>
      </rPr>
      <t>失能照護補助</t>
    </r>
    <phoneticPr fontId="23" type="noConversion"/>
  </si>
  <si>
    <r>
      <rPr>
        <sz val="12"/>
        <rFont val="微軟正黑體"/>
        <family val="1"/>
        <charset val="136"/>
      </rPr>
      <t>　　　</t>
    </r>
    <r>
      <rPr>
        <sz val="12"/>
        <rFont val="Times New Roman"/>
        <family val="1"/>
      </rPr>
      <t xml:space="preserve">    </t>
    </r>
    <r>
      <rPr>
        <sz val="12"/>
        <rFont val="標楷體"/>
        <family val="4"/>
        <charset val="136"/>
      </rPr>
      <t>失能補助</t>
    </r>
    <phoneticPr fontId="23" type="noConversion"/>
  </si>
  <si>
    <r>
      <rPr>
        <sz val="12"/>
        <rFont val="微軟正黑體"/>
        <family val="1"/>
        <charset val="136"/>
      </rPr>
      <t>　　　</t>
    </r>
    <r>
      <rPr>
        <sz val="12"/>
        <rFont val="Times New Roman"/>
        <family val="1"/>
      </rPr>
      <t xml:space="preserve">    </t>
    </r>
    <r>
      <rPr>
        <sz val="12"/>
        <rFont val="標楷體"/>
        <family val="4"/>
        <charset val="136"/>
      </rPr>
      <t>死亡補助</t>
    </r>
    <phoneticPr fontId="23" type="noConversion"/>
  </si>
  <si>
    <r>
      <t xml:space="preserve">          </t>
    </r>
    <r>
      <rPr>
        <b/>
        <sz val="12"/>
        <color theme="1"/>
        <rFont val="標楷體"/>
        <family val="4"/>
        <charset val="136"/>
      </rPr>
      <t>現金給付</t>
    </r>
    <r>
      <rPr>
        <b/>
        <sz val="12"/>
        <color theme="1"/>
        <rFont val="Times New Roman"/>
        <family val="1"/>
      </rPr>
      <t xml:space="preserve"> </t>
    </r>
    <phoneticPr fontId="23" type="noConversion"/>
  </si>
  <si>
    <r>
      <t xml:space="preserve">              </t>
    </r>
    <r>
      <rPr>
        <sz val="12"/>
        <color theme="1"/>
        <rFont val="標楷體"/>
        <family val="4"/>
        <charset val="136"/>
      </rPr>
      <t>生育給付</t>
    </r>
    <phoneticPr fontId="23" type="noConversion"/>
  </si>
  <si>
    <r>
      <t xml:space="preserve">                  </t>
    </r>
    <r>
      <rPr>
        <sz val="12"/>
        <color theme="1"/>
        <rFont val="標楷體"/>
        <family val="4"/>
        <charset val="136"/>
      </rPr>
      <t>本人生育</t>
    </r>
    <phoneticPr fontId="23" type="noConversion"/>
  </si>
  <si>
    <r>
      <t xml:space="preserve">              </t>
    </r>
    <r>
      <rPr>
        <sz val="12"/>
        <color theme="1"/>
        <rFont val="標楷體"/>
        <family val="4"/>
        <charset val="136"/>
      </rPr>
      <t>身心障礙給付</t>
    </r>
    <phoneticPr fontId="23" type="noConversion"/>
  </si>
  <si>
    <r>
      <t xml:space="preserve">              </t>
    </r>
    <r>
      <rPr>
        <sz val="12"/>
        <color theme="1"/>
        <rFont val="標楷體"/>
        <family val="4"/>
        <charset val="136"/>
      </rPr>
      <t>喪葬津貼</t>
    </r>
    <phoneticPr fontId="23" type="noConversion"/>
  </si>
  <si>
    <r>
      <t xml:space="preserve">              </t>
    </r>
    <r>
      <rPr>
        <sz val="12"/>
        <color theme="1"/>
        <rFont val="標楷體"/>
        <family val="4"/>
        <charset val="136"/>
      </rPr>
      <t>複檢費用</t>
    </r>
    <phoneticPr fontId="23" type="noConversion"/>
  </si>
  <si>
    <r>
      <rPr>
        <sz val="12"/>
        <color theme="1"/>
        <rFont val="Times New Roman"/>
        <family val="4"/>
      </rPr>
      <t xml:space="preserve">                  </t>
    </r>
    <r>
      <rPr>
        <sz val="12"/>
        <color theme="1"/>
        <rFont val="標楷體"/>
        <family val="4"/>
        <charset val="136"/>
      </rPr>
      <t>配偶生育</t>
    </r>
    <phoneticPr fontId="23" type="noConversion"/>
  </si>
  <si>
    <r>
      <t xml:space="preserve">              </t>
    </r>
    <r>
      <rPr>
        <sz val="12"/>
        <color theme="1"/>
        <rFont val="標楷體"/>
        <family val="4"/>
        <charset val="136"/>
      </rPr>
      <t>傷病給付</t>
    </r>
    <phoneticPr fontId="23" type="noConversion"/>
  </si>
  <si>
    <r>
      <t xml:space="preserve">              </t>
    </r>
    <r>
      <rPr>
        <sz val="12"/>
        <color theme="1"/>
        <rFont val="標楷體"/>
        <family val="4"/>
        <charset val="136"/>
      </rPr>
      <t>就醫津貼</t>
    </r>
    <phoneticPr fontId="23" type="noConversion"/>
  </si>
  <si>
    <r>
      <t xml:space="preserve">                  </t>
    </r>
    <r>
      <rPr>
        <sz val="12"/>
        <color theme="1"/>
        <rFont val="標楷體"/>
        <family val="4"/>
        <charset val="136"/>
      </rPr>
      <t>門診就醫津貼</t>
    </r>
    <phoneticPr fontId="23" type="noConversion"/>
  </si>
  <si>
    <r>
      <rPr>
        <sz val="12"/>
        <color theme="1"/>
        <rFont val="Times New Roman"/>
        <family val="4"/>
      </rPr>
      <t xml:space="preserve">                  </t>
    </r>
    <r>
      <rPr>
        <sz val="12"/>
        <color theme="1"/>
        <rFont val="標楷體"/>
        <family val="4"/>
        <charset val="136"/>
      </rPr>
      <t>住院就醫津貼</t>
    </r>
    <phoneticPr fontId="23" type="noConversion"/>
  </si>
  <si>
    <t xml:space="preserve"> 勞職保及保護</t>
    <phoneticPr fontId="23" type="noConversion"/>
  </si>
  <si>
    <r>
      <rPr>
        <sz val="12"/>
        <rFont val="微軟正黑體"/>
        <family val="1"/>
        <charset val="136"/>
      </rPr>
      <t>　　</t>
    </r>
    <r>
      <rPr>
        <sz val="12"/>
        <rFont val="Times New Roman"/>
        <family val="1"/>
      </rPr>
      <t xml:space="preserve">       </t>
    </r>
    <r>
      <rPr>
        <sz val="12"/>
        <rFont val="標楷體"/>
        <family val="4"/>
        <charset val="136"/>
      </rPr>
      <t>醫療補助</t>
    </r>
    <phoneticPr fontId="23" type="noConversion"/>
  </si>
  <si>
    <r>
      <rPr>
        <sz val="12"/>
        <rFont val="微軟正黑體"/>
        <family val="4"/>
        <charset val="136"/>
      </rPr>
      <t>　　</t>
    </r>
    <r>
      <rPr>
        <sz val="12"/>
        <rFont val="Times New Roman"/>
        <family val="4"/>
      </rPr>
      <t xml:space="preserve">       </t>
    </r>
    <r>
      <rPr>
        <sz val="12"/>
        <rFont val="標楷體"/>
        <family val="4"/>
        <charset val="136"/>
      </rPr>
      <t>失能照護補助</t>
    </r>
    <phoneticPr fontId="23"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</si>
  <si>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11-15</t>
    </r>
    <r>
      <rPr>
        <sz val="10.5"/>
        <rFont val="標楷體"/>
        <family val="4"/>
        <charset val="136"/>
      </rPr>
      <t>等級且喪失部分工作能力</t>
    </r>
    <phoneticPr fontId="23"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</si>
  <si>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11-15</t>
    </r>
    <r>
      <rPr>
        <sz val="10.5"/>
        <rFont val="標楷體"/>
        <family val="4"/>
        <charset val="136"/>
      </rPr>
      <t>等級且喪失部分工作能力</t>
    </r>
    <phoneticPr fontId="23" type="noConversion"/>
  </si>
  <si>
    <t>投資股票、受益憑證等。</t>
    <phoneticPr fontId="6" type="noConversion"/>
  </si>
  <si>
    <t>投資公司債及金融債券等。</t>
    <phoneticPr fontId="6" type="noConversion"/>
  </si>
  <si>
    <t>營造業臨廠訪視輔導及本質安全促進</t>
    <phoneticPr fontId="23" type="noConversion"/>
  </si>
  <si>
    <t>職場危害認知及工安意識促進活動</t>
    <phoneticPr fontId="23" type="noConversion"/>
  </si>
  <si>
    <r>
      <t>收取利息</t>
    </r>
    <r>
      <rPr>
        <sz val="12"/>
        <rFont val="Times New Roman"/>
        <family val="1"/>
      </rPr>
      <t>24</t>
    </r>
    <r>
      <rPr>
        <sz val="12"/>
        <rFont val="標楷體"/>
        <family val="4"/>
        <charset val="136"/>
      </rPr>
      <t>千元。</t>
    </r>
    <phoneticPr fontId="6" type="noConversion"/>
  </si>
  <si>
    <r>
      <rPr>
        <sz val="12"/>
        <rFont val="標楷體"/>
        <family val="4"/>
        <charset val="136"/>
      </rPr>
      <t>減少投資</t>
    </r>
    <r>
      <rPr>
        <sz val="12"/>
        <rFont val="Times New Roman"/>
        <family val="1"/>
      </rPr>
      <t>-</t>
    </r>
    <r>
      <rPr>
        <sz val="12"/>
        <rFont val="標楷體"/>
        <family val="4"/>
        <charset val="136"/>
      </rPr>
      <t>非流動金融資產</t>
    </r>
    <r>
      <rPr>
        <sz val="12"/>
        <rFont val="Times New Roman"/>
        <family val="1"/>
      </rPr>
      <t>295,480</t>
    </r>
    <r>
      <rPr>
        <sz val="12"/>
        <rFont val="標楷體"/>
        <family val="4"/>
        <charset val="136"/>
      </rPr>
      <t>千元。</t>
    </r>
    <phoneticPr fontId="6" type="noConversion"/>
  </si>
  <si>
    <t>　　　  推展費</t>
    <phoneticPr fontId="6" type="noConversion"/>
  </si>
  <si>
    <t>　推展費</t>
    <phoneticPr fontId="6" type="noConversion"/>
  </si>
  <si>
    <t>職業安全衛生文化促進及教育訓練品質提升</t>
    <phoneticPr fontId="23" type="noConversion"/>
  </si>
  <si>
    <t>高風險事業單位臨廠訪視輔導</t>
    <phoneticPr fontId="23" type="noConversion"/>
  </si>
  <si>
    <r>
      <t>主要係預收保費屆滿</t>
    </r>
    <r>
      <rPr>
        <sz val="12"/>
        <rFont val="Times New Roman"/>
        <family val="1"/>
      </rPr>
      <t>4</t>
    </r>
    <r>
      <rPr>
        <sz val="12"/>
        <rFont val="標楷體"/>
        <family val="4"/>
        <charset val="136"/>
      </rPr>
      <t>年轉入等收入。</t>
    </r>
    <phoneticPr fontId="6" type="noConversion"/>
  </si>
  <si>
    <r>
      <rPr>
        <sz val="12"/>
        <rFont val="標楷體"/>
        <family val="4"/>
        <charset val="136"/>
      </rPr>
      <t>編列</t>
    </r>
    <r>
      <rPr>
        <sz val="12"/>
        <rFont val="Times New Roman"/>
        <family val="1"/>
      </rPr>
      <t>9</t>
    </r>
    <r>
      <rPr>
        <sz val="12"/>
        <rFont val="標楷體"/>
        <family val="4"/>
        <charset val="136"/>
      </rPr>
      <t>千元，係基金投資不動產之行政規費。</t>
    </r>
    <phoneticPr fontId="6" type="noConversion"/>
  </si>
  <si>
    <r>
      <t>編列</t>
    </r>
    <r>
      <rPr>
        <sz val="12"/>
        <rFont val="Times New Roman"/>
        <family val="1"/>
      </rPr>
      <t>763</t>
    </r>
    <r>
      <rPr>
        <sz val="12"/>
        <rFont val="標楷體"/>
        <family val="4"/>
        <charset val="136"/>
      </rPr>
      <t>千元，係業務實際需要並遵行節能減碳政策之水電費。</t>
    </r>
    <phoneticPr fontId="6" type="noConversion"/>
  </si>
  <si>
    <r>
      <rPr>
        <sz val="12"/>
        <rFont val="標楷體"/>
        <family val="4"/>
        <charset val="136"/>
      </rPr>
      <t>台北市中正區河堤段</t>
    </r>
    <r>
      <rPr>
        <sz val="12"/>
        <rFont val="Times New Roman"/>
        <family val="1"/>
      </rPr>
      <t>4</t>
    </r>
    <r>
      <rPr>
        <sz val="12"/>
        <rFont val="標楷體"/>
        <family val="4"/>
        <charset val="136"/>
      </rPr>
      <t>小段</t>
    </r>
    <r>
      <rPr>
        <sz val="12"/>
        <rFont val="Times New Roman"/>
        <family val="1"/>
      </rPr>
      <t>96-1</t>
    </r>
    <r>
      <rPr>
        <sz val="12"/>
        <rFont val="標楷體"/>
        <family val="4"/>
        <charset val="136"/>
      </rPr>
      <t>、</t>
    </r>
    <r>
      <rPr>
        <sz val="12"/>
        <rFont val="Times New Roman"/>
        <family val="1"/>
      </rPr>
      <t>96-2</t>
    </r>
    <r>
      <rPr>
        <sz val="12"/>
        <rFont val="標楷體"/>
        <family val="4"/>
        <charset val="136"/>
      </rPr>
      <t>地號</t>
    </r>
    <phoneticPr fontId="23" type="noConversion"/>
  </si>
  <si>
    <r>
      <rPr>
        <sz val="12"/>
        <rFont val="標楷體"/>
        <family val="4"/>
        <charset val="136"/>
      </rPr>
      <t>係本年度勞工保險收支短絀為</t>
    </r>
    <r>
      <rPr>
        <sz val="12"/>
        <rFont val="Times New Roman"/>
        <family val="1"/>
      </rPr>
      <t>358,954</t>
    </r>
    <r>
      <rPr>
        <sz val="12"/>
        <rFont val="標楷體"/>
        <family val="4"/>
        <charset val="136"/>
      </rPr>
      <t>千元，悉數由以前年度累積之提存責任準備彌平。</t>
    </r>
    <phoneticPr fontId="6" type="noConversion"/>
  </si>
  <si>
    <t>業務計畫及預算說明</t>
    <phoneticPr fontId="73" type="noConversion"/>
  </si>
  <si>
    <r>
      <t>係本年度收支短絀為</t>
    </r>
    <r>
      <rPr>
        <sz val="12"/>
        <color theme="1"/>
        <rFont val="Times New Roman"/>
        <family val="1"/>
      </rPr>
      <t>41,852</t>
    </r>
    <r>
      <rPr>
        <sz val="12"/>
        <color theme="1"/>
        <rFont val="標楷體"/>
        <family val="4"/>
        <charset val="136"/>
      </rPr>
      <t>千元，悉數由以前年度累積之提存責任準備彌平。</t>
    </r>
    <phoneticPr fontId="6" type="noConversion"/>
  </si>
  <si>
    <t>3.</t>
  </si>
  <si>
    <t>2.</t>
  </si>
  <si>
    <t xml:space="preserve">    委外開發設計應用軟體</t>
    <phoneticPr fontId="6" type="noConversion"/>
  </si>
  <si>
    <t>電腦軟體</t>
  </si>
  <si>
    <t>無形資產明細表</t>
    <phoneticPr fontId="6" type="noConversion"/>
  </si>
  <si>
    <t>說             明</t>
    <phoneticPr fontId="6" type="noConversion"/>
  </si>
  <si>
    <r>
      <rPr>
        <sz val="12"/>
        <color theme="1"/>
        <rFont val="標楷體"/>
        <family val="4"/>
        <charset val="136"/>
      </rPr>
      <t>詳第</t>
    </r>
    <r>
      <rPr>
        <sz val="12"/>
        <color theme="1"/>
        <rFont val="Times New Roman"/>
        <family val="1"/>
      </rPr>
      <t>64</t>
    </r>
    <r>
      <rPr>
        <sz val="12"/>
        <color theme="1"/>
        <rFont val="標楷體"/>
        <family val="4"/>
        <charset val="136"/>
      </rPr>
      <t>、</t>
    </r>
    <r>
      <rPr>
        <sz val="12"/>
        <color theme="1"/>
        <rFont val="Times New Roman"/>
        <family val="1"/>
      </rPr>
      <t>68~70</t>
    </r>
    <r>
      <rPr>
        <sz val="12"/>
        <color theme="1"/>
        <rFont val="標楷體"/>
        <family val="4"/>
        <charset val="136"/>
      </rPr>
      <t>頁保費收入分析表及附表。</t>
    </r>
    <phoneticPr fontId="6" type="noConversion"/>
  </si>
  <si>
    <r>
      <rPr>
        <sz val="12"/>
        <color theme="1"/>
        <rFont val="標楷體"/>
        <family val="4"/>
        <charset val="136"/>
      </rPr>
      <t>詳第</t>
    </r>
    <r>
      <rPr>
        <sz val="12"/>
        <color theme="1"/>
        <rFont val="Times New Roman"/>
        <family val="1"/>
      </rPr>
      <t>65</t>
    </r>
    <r>
      <rPr>
        <sz val="12"/>
        <color theme="1"/>
        <rFont val="標楷體"/>
        <family val="4"/>
        <charset val="136"/>
      </rPr>
      <t>、</t>
    </r>
    <r>
      <rPr>
        <sz val="12"/>
        <color theme="1"/>
        <rFont val="Times New Roman"/>
        <family val="1"/>
      </rPr>
      <t>70~71</t>
    </r>
    <r>
      <rPr>
        <sz val="12"/>
        <color theme="1"/>
        <rFont val="標楷體"/>
        <family val="4"/>
        <charset val="136"/>
      </rPr>
      <t>頁保費收入分析表及附表。</t>
    </r>
    <phoneticPr fontId="6" type="noConversion"/>
  </si>
  <si>
    <r>
      <rPr>
        <sz val="12"/>
        <color theme="1"/>
        <rFont val="標楷體"/>
        <family val="4"/>
        <charset val="136"/>
      </rPr>
      <t>詳第</t>
    </r>
    <r>
      <rPr>
        <sz val="12"/>
        <color theme="1"/>
        <rFont val="Times New Roman"/>
        <family val="1"/>
      </rPr>
      <t>65~66</t>
    </r>
    <r>
      <rPr>
        <sz val="12"/>
        <color theme="1"/>
        <rFont val="標楷體"/>
        <family val="4"/>
        <charset val="136"/>
      </rPr>
      <t>、</t>
    </r>
    <r>
      <rPr>
        <sz val="12"/>
        <color theme="1"/>
        <rFont val="Times New Roman"/>
        <family val="1"/>
      </rPr>
      <t>72</t>
    </r>
    <r>
      <rPr>
        <sz val="12"/>
        <color theme="1"/>
        <rFont val="標楷體"/>
        <family val="4"/>
        <charset val="136"/>
      </rPr>
      <t>頁保費收入分析表及附表。</t>
    </r>
    <phoneticPr fontId="6" type="noConversion"/>
  </si>
  <si>
    <r>
      <rPr>
        <sz val="12"/>
        <color theme="1"/>
        <rFont val="標楷體"/>
        <family val="4"/>
        <charset val="136"/>
      </rPr>
      <t>詳第</t>
    </r>
    <r>
      <rPr>
        <sz val="12"/>
        <color theme="1"/>
        <rFont val="Times New Roman"/>
        <family val="1"/>
      </rPr>
      <t>66~67</t>
    </r>
    <r>
      <rPr>
        <sz val="12"/>
        <color theme="1"/>
        <rFont val="標楷體"/>
        <family val="4"/>
        <charset val="136"/>
      </rPr>
      <t>、</t>
    </r>
    <r>
      <rPr>
        <sz val="12"/>
        <color theme="1"/>
        <rFont val="Times New Roman"/>
        <family val="1"/>
      </rPr>
      <t>72~74</t>
    </r>
    <r>
      <rPr>
        <sz val="12"/>
        <color theme="1"/>
        <rFont val="標楷體"/>
        <family val="4"/>
        <charset val="136"/>
      </rPr>
      <t>頁保費收入分析表及附表。</t>
    </r>
    <phoneticPr fontId="6" type="noConversion"/>
  </si>
  <si>
    <r>
      <rPr>
        <sz val="12"/>
        <rFont val="標楷體"/>
        <family val="4"/>
        <charset val="136"/>
      </rPr>
      <t>編列</t>
    </r>
    <r>
      <rPr>
        <sz val="12"/>
        <rFont val="Times New Roman"/>
        <family val="1"/>
      </rPr>
      <t>609</t>
    </r>
    <r>
      <rPr>
        <sz val="12"/>
        <rFont val="標楷體"/>
        <family val="4"/>
        <charset val="136"/>
      </rPr>
      <t>千元，係攤銷基金投資不動產之遞延費用。</t>
    </r>
    <phoneticPr fontId="6" type="noConversion"/>
  </si>
  <si>
    <r>
      <rPr>
        <sz val="12"/>
        <rFont val="標楷體"/>
        <family val="4"/>
        <charset val="136"/>
      </rPr>
      <t>編列</t>
    </r>
    <r>
      <rPr>
        <sz val="12"/>
        <rFont val="Times New Roman"/>
        <family val="1"/>
      </rPr>
      <t>16,151</t>
    </r>
    <r>
      <rPr>
        <sz val="12"/>
        <rFont val="標楷體"/>
        <family val="4"/>
        <charset val="136"/>
      </rPr>
      <t>千元，係提列基金投資不動產之折舊。</t>
    </r>
    <phoneticPr fontId="6" type="noConversion"/>
  </si>
  <si>
    <t>本科目全數由勞動部勞工保險局辦理。</t>
    <phoneticPr fontId="6" type="noConversion"/>
  </si>
  <si>
    <r>
      <rPr>
        <sz val="12"/>
        <rFont val="標楷體"/>
        <family val="4"/>
        <charset val="136"/>
      </rPr>
      <t>編列</t>
    </r>
    <r>
      <rPr>
        <sz val="12"/>
        <rFont val="Times New Roman"/>
        <family val="1"/>
      </rPr>
      <t>12,000</t>
    </r>
    <r>
      <rPr>
        <sz val="12"/>
        <rFont val="標楷體"/>
        <family val="4"/>
        <charset val="136"/>
      </rPr>
      <t>千元，係基金投資不動產之地價稅。</t>
    </r>
    <phoneticPr fontId="6" type="noConversion"/>
  </si>
  <si>
    <t>投資短期票券等。</t>
    <phoneticPr fontId="6" type="noConversion"/>
  </si>
  <si>
    <r>
      <t>辦理職業災害勞工服務資訊整合管理系統及行動版相關功能之擴充</t>
    </r>
    <r>
      <rPr>
        <sz val="12"/>
        <color rgb="FF000000"/>
        <rFont val="Times New Roman"/>
        <family val="1"/>
      </rPr>
      <t>5,000</t>
    </r>
    <r>
      <rPr>
        <sz val="12"/>
        <color indexed="8"/>
        <rFont val="標楷體"/>
        <family val="4"/>
        <charset val="136"/>
      </rPr>
      <t>千元。</t>
    </r>
    <phoneticPr fontId="6" type="noConversion"/>
  </si>
  <si>
    <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113</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</si>
  <si>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t>註：1.配合111年5月1日「勞工職業災害保險及保護法」施行，原列於「勞工保險業務」項下職業災害保險及「職業災害勞工保護業務」整併至「勞
      工職業災害保險及保護業務」，為利比較，以前年度決算數為科目重分類之數。以下各表同。
    2.百分比及前年度決算數細數之和與總數或略有出入，係四捨五入關係。以下各表同。</t>
    <phoneticPr fontId="6" type="noConversion"/>
  </si>
  <si>
    <r>
      <t xml:space="preserve">              </t>
    </r>
    <r>
      <rPr>
        <sz val="12"/>
        <rFont val="標楷體"/>
        <family val="4"/>
        <charset val="136"/>
      </rPr>
      <t>中華民國</t>
    </r>
    <r>
      <rPr>
        <sz val="12"/>
        <rFont val="Times New Roman"/>
        <family val="1"/>
      </rPr>
      <t xml:space="preserve">      113</t>
    </r>
    <r>
      <rPr>
        <sz val="12"/>
        <rFont val="標楷體"/>
        <family val="4"/>
        <charset val="136"/>
      </rPr>
      <t>年度</t>
    </r>
    <phoneticPr fontId="6" type="noConversion"/>
  </si>
  <si>
    <r>
      <t xml:space="preserve">               </t>
    </r>
    <r>
      <rPr>
        <sz val="12"/>
        <rFont val="標楷體"/>
        <family val="4"/>
        <charset val="136"/>
      </rPr>
      <t>中華民國</t>
    </r>
    <r>
      <rPr>
        <sz val="12"/>
        <rFont val="Times New Roman"/>
        <family val="1"/>
      </rPr>
      <t xml:space="preserve">    113</t>
    </r>
    <r>
      <rPr>
        <sz val="12"/>
        <rFont val="標楷體"/>
        <family val="4"/>
        <charset val="136"/>
      </rPr>
      <t>年度</t>
    </r>
    <phoneticPr fontId="6" type="noConversion"/>
  </si>
  <si>
    <r>
      <t>113</t>
    </r>
    <r>
      <rPr>
        <b/>
        <sz val="12"/>
        <rFont val="標楷體"/>
        <family val="4"/>
        <charset val="136"/>
      </rPr>
      <t>年度預算</t>
    </r>
    <phoneticPr fontId="73" type="noConversion"/>
  </si>
  <si>
    <r>
      <t>113</t>
    </r>
    <r>
      <rPr>
        <sz val="18"/>
        <rFont val="標楷體"/>
        <family val="4"/>
        <charset val="136"/>
      </rPr>
      <t>年度收入、成本與費用及賸餘</t>
    </r>
    <phoneticPr fontId="73" type="noConversion"/>
  </si>
  <si>
    <r>
      <rPr>
        <sz val="12"/>
        <rFont val="標楷體"/>
        <family val="4"/>
        <charset val="136"/>
      </rPr>
      <t>中華民國</t>
    </r>
    <r>
      <rPr>
        <sz val="12"/>
        <rFont val="Times New Roman"/>
        <family val="1"/>
      </rPr>
      <t>113</t>
    </r>
    <r>
      <rPr>
        <sz val="12"/>
        <rFont val="標楷體"/>
        <family val="4"/>
        <charset val="136"/>
      </rPr>
      <t>年度</t>
    </r>
    <phoneticPr fontId="6"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</si>
  <si>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113</t>
    </r>
    <r>
      <rPr>
        <sz val="12"/>
        <rFont val="標楷體"/>
        <family val="4"/>
        <charset val="136"/>
      </rPr>
      <t>年度</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</si>
  <si>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113</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</si>
  <si>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113</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</si>
  <si>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113</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</si>
  <si>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113</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</si>
  <si>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113</t>
    </r>
    <r>
      <rPr>
        <sz val="12"/>
        <rFont val="標楷體"/>
        <family val="4"/>
        <charset val="136"/>
      </rPr>
      <t>年度　</t>
    </r>
    <r>
      <rPr>
        <sz val="12"/>
        <rFont val="Times New Roman"/>
        <family val="1"/>
      </rPr>
      <t xml:space="preserve">  </t>
    </r>
    <r>
      <rPr>
        <sz val="12"/>
        <rFont val="標楷體"/>
        <family val="4"/>
        <charset val="136"/>
      </rPr>
      <t xml:space="preserve">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</si>
  <si>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113</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4"/>
      </rPr>
      <t xml:space="preserve"> </t>
    </r>
    <r>
      <rPr>
        <sz val="12"/>
        <rFont val="標楷體"/>
        <family val="4"/>
        <charset val="136"/>
      </rPr>
      <t xml:space="preserve">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</si>
  <si>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4"/>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113</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</si>
  <si>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113</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4"/>
      </rPr>
      <t xml:space="preserve"> </t>
    </r>
    <r>
      <rPr>
        <sz val="12"/>
        <rFont val="Times New Roman"/>
        <family val="1"/>
      </rPr>
      <t xml:space="preserve">  </t>
    </r>
    <r>
      <rPr>
        <sz val="12"/>
        <rFont val="標楷體"/>
        <family val="4"/>
        <charset val="136"/>
      </rPr>
      <t>　　　　單位：新臺幣千元</t>
    </r>
    <phoneticPr fontId="6" type="noConversion"/>
  </si>
  <si>
    <r>
      <t>　　　　　　　　　　 　　　　</t>
    </r>
    <r>
      <rPr>
        <sz val="12"/>
        <rFont val="Times New Roman"/>
        <family val="1"/>
      </rPr>
      <t xml:space="preserve">        </t>
    </r>
    <r>
      <rPr>
        <sz val="12"/>
        <rFont val="標楷體"/>
        <family val="4"/>
        <charset val="136"/>
      </rPr>
      <t>中華民國</t>
    </r>
    <r>
      <rPr>
        <sz val="12"/>
        <rFont val="Times New Roman"/>
        <family val="1"/>
      </rPr>
      <t>113</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</si>
  <si>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113</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</si>
  <si>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113</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</si>
  <si>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t xml:space="preserve">                                                                </t>
    </r>
    <r>
      <rPr>
        <sz val="12"/>
        <rFont val="標楷體"/>
        <family val="4"/>
        <charset val="136"/>
      </rPr>
      <t>中華民國</t>
    </r>
    <r>
      <rPr>
        <sz val="12"/>
        <rFont val="Times New Roman"/>
        <family val="1"/>
      </rPr>
      <t>113</t>
    </r>
    <r>
      <rPr>
        <sz val="12"/>
        <rFont val="標楷體"/>
        <family val="4"/>
        <charset val="136"/>
      </rPr>
      <t>年度</t>
    </r>
    <r>
      <rPr>
        <sz val="12"/>
        <rFont val="Times New Roman"/>
        <family val="1"/>
      </rPr>
      <t xml:space="preserve">                                  </t>
    </r>
    <r>
      <rPr>
        <sz val="12"/>
        <rFont val="標楷體"/>
        <family val="4"/>
        <charset val="136"/>
      </rPr>
      <t>單位：新臺幣千元</t>
    </r>
    <phoneticPr fontId="73"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</si>
  <si>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113</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</si>
  <si>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t xml:space="preserve">                                                                 </t>
    </r>
    <r>
      <rPr>
        <sz val="12"/>
        <rFont val="標楷體"/>
        <family val="4"/>
        <charset val="136"/>
      </rPr>
      <t>中華民國</t>
    </r>
    <r>
      <rPr>
        <sz val="12"/>
        <rFont val="Times New Roman"/>
        <family val="1"/>
      </rPr>
      <t>113</t>
    </r>
    <r>
      <rPr>
        <sz val="12"/>
        <rFont val="標楷體"/>
        <family val="4"/>
        <charset val="136"/>
      </rPr>
      <t>年度</t>
    </r>
    <r>
      <rPr>
        <sz val="12"/>
        <rFont val="Times New Roman"/>
        <family val="1"/>
      </rPr>
      <t xml:space="preserve">                                 </t>
    </r>
    <r>
      <rPr>
        <sz val="12"/>
        <rFont val="標楷體"/>
        <family val="4"/>
        <charset val="136"/>
      </rPr>
      <t>單位：新臺幣千元</t>
    </r>
    <phoneticPr fontId="73"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</si>
  <si>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113</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</si>
  <si>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t>111</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實際數</t>
    </r>
    <phoneticPr fontId="6" type="noConversion"/>
  </si>
  <si>
    <r>
      <t>113</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預計數</t>
    </r>
    <phoneticPr fontId="6"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</si>
  <si>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113</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4"/>
      </rPr>
      <t xml:space="preserve">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</si>
  <si>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t>109</t>
    </r>
    <r>
      <rPr>
        <b/>
        <sz val="12"/>
        <rFont val="標楷體"/>
        <family val="4"/>
        <charset val="136"/>
      </rPr>
      <t>年度決算數</t>
    </r>
    <phoneticPr fontId="6" type="noConversion"/>
  </si>
  <si>
    <r>
      <rPr>
        <b/>
        <sz val="12"/>
        <rFont val="Times New Roman"/>
        <family val="1"/>
      </rPr>
      <t>110</t>
    </r>
    <r>
      <rPr>
        <b/>
        <sz val="12"/>
        <rFont val="標楷體"/>
        <family val="4"/>
        <charset val="136"/>
      </rPr>
      <t>年度決算數</t>
    </r>
    <phoneticPr fontId="6" type="noConversion"/>
  </si>
  <si>
    <r>
      <t xml:space="preserve">　　　　　　　　        </t>
    </r>
    <r>
      <rPr>
        <sz val="12"/>
        <rFont val="標楷體"/>
        <family val="1"/>
        <charset val="136"/>
      </rPr>
      <t xml:space="preserve">       </t>
    </r>
    <r>
      <rPr>
        <sz val="12"/>
        <rFont val="標楷體"/>
        <family val="4"/>
        <charset val="136"/>
      </rPr>
      <t>　中華民國</t>
    </r>
    <r>
      <rPr>
        <sz val="12"/>
        <rFont val="Times New Roman"/>
        <family val="1"/>
      </rPr>
      <t>113</t>
    </r>
    <r>
      <rPr>
        <sz val="12"/>
        <rFont val="標楷體"/>
        <family val="4"/>
        <charset val="136"/>
      </rPr>
      <t>年度　</t>
    </r>
    <r>
      <rPr>
        <sz val="12"/>
        <rFont val="標楷體"/>
        <family val="1"/>
        <charset val="136"/>
      </rPr>
      <t xml:space="preserve">             </t>
    </r>
    <r>
      <rPr>
        <sz val="12"/>
        <rFont val="標楷體"/>
        <family val="4"/>
        <charset val="136"/>
      </rPr>
      <t>　　</t>
    </r>
    <r>
      <rPr>
        <sz val="12"/>
        <rFont val="標楷體"/>
        <family val="1"/>
        <charset val="136"/>
      </rPr>
      <t xml:space="preserve">       </t>
    </r>
    <r>
      <rPr>
        <sz val="12"/>
        <rFont val="標楷體"/>
        <family val="4"/>
        <charset val="136"/>
      </rPr>
      <t>單位：人</t>
    </r>
    <phoneticPr fontId="6" type="noConversion"/>
  </si>
  <si>
    <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113</t>
    </r>
    <r>
      <rPr>
        <sz val="12"/>
        <rFont val="標楷體"/>
        <family val="4"/>
        <charset val="136"/>
      </rPr>
      <t>年度</t>
    </r>
    <r>
      <rPr>
        <sz val="12"/>
        <rFont val="Times New Roman"/>
        <family val="1"/>
      </rPr>
      <t xml:space="preserve">                                    </t>
    </r>
    <r>
      <rPr>
        <sz val="12"/>
        <rFont val="標楷體"/>
        <family val="4"/>
        <charset val="136"/>
      </rPr>
      <t>單位：新臺幣千元</t>
    </r>
    <phoneticPr fontId="6" type="noConversion"/>
  </si>
  <si>
    <r>
      <t xml:space="preserve">　　　　　　　　　　　　　　 </t>
    </r>
    <r>
      <rPr>
        <sz val="12"/>
        <rFont val="Times New Roman"/>
        <family val="1"/>
      </rPr>
      <t xml:space="preserve">        </t>
    </r>
    <r>
      <rPr>
        <sz val="12"/>
        <rFont val="標楷體"/>
        <family val="4"/>
        <charset val="136"/>
      </rPr>
      <t>中華民國</t>
    </r>
    <r>
      <rPr>
        <sz val="12"/>
        <rFont val="Times New Roman"/>
        <family val="1"/>
      </rPr>
      <t>113</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</si>
  <si>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113</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</si>
  <si>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113</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</si>
  <si>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113</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</si>
  <si>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113</t>
    </r>
    <r>
      <rPr>
        <sz val="12"/>
        <rFont val="標楷體"/>
        <family val="4"/>
        <charset val="136"/>
      </rPr>
      <t>年度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</si>
  <si>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113</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</si>
  <si>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113</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</si>
  <si>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113</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</si>
  <si>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113</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</si>
  <si>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113</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</si>
  <si>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113</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</si>
  <si>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113</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</si>
  <si>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113</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xml:space="preserve">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</si>
  <si>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113</t>
    </r>
    <r>
      <rPr>
        <sz val="12"/>
        <rFont val="標楷體"/>
        <family val="4"/>
        <charset val="136"/>
      </rPr>
      <t>年度　</t>
    </r>
    <r>
      <rPr>
        <sz val="12"/>
        <rFont val="Times New Roman"/>
        <family val="1"/>
      </rPr>
      <t xml:space="preserve"> </t>
    </r>
    <r>
      <rPr>
        <sz val="12"/>
        <rFont val="標楷體"/>
        <family val="4"/>
        <charset val="136"/>
      </rPr>
      <t xml:space="preserve">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</si>
  <si>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113</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</si>
  <si>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113</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</si>
  <si>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113</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xml:space="preserve">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</si>
  <si>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113</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</si>
  <si>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rFont val="標楷體"/>
        <family val="4"/>
        <charset val="136"/>
      </rPr>
      <t>職業災害勞工醫療期間退保自願繼續加保者，其保險費由被保險人負擔</t>
    </r>
    <r>
      <rPr>
        <sz val="12"/>
        <rFont val="Times New Roman"/>
        <family val="1"/>
      </rPr>
      <t>40%</t>
    </r>
    <r>
      <rPr>
        <sz val="12"/>
        <rFont val="標楷體"/>
        <family val="4"/>
        <charset val="136"/>
      </rPr>
      <t>，勞工職業災害保險基金補助</t>
    </r>
    <r>
      <rPr>
        <sz val="12"/>
        <rFont val="Times New Roman"/>
        <family val="1"/>
      </rPr>
      <t>60%</t>
    </r>
    <r>
      <rPr>
        <sz val="12"/>
        <rFont val="標楷體"/>
        <family val="4"/>
        <charset val="136"/>
      </rPr>
      <t>。</t>
    </r>
    <phoneticPr fontId="23" type="noConversion"/>
  </si>
  <si>
    <r>
      <rPr>
        <sz val="12"/>
        <rFont val="標楷體"/>
        <family val="4"/>
        <charset val="136"/>
      </rPr>
      <t>保險費由被保險人負擔</t>
    </r>
    <r>
      <rPr>
        <sz val="12"/>
        <rFont val="Times New Roman"/>
        <family val="1"/>
      </rPr>
      <t>20%</t>
    </r>
    <r>
      <rPr>
        <sz val="12"/>
        <rFont val="標楷體"/>
        <family val="4"/>
        <charset val="136"/>
      </rPr>
      <t>，投保單位負擔</t>
    </r>
    <r>
      <rPr>
        <sz val="12"/>
        <rFont val="Times New Roman"/>
        <family val="1"/>
      </rPr>
      <t>70%(</t>
    </r>
    <r>
      <rPr>
        <sz val="12"/>
        <rFont val="標楷體"/>
        <family val="4"/>
        <charset val="136"/>
      </rPr>
      <t>其中依性別工作平等法第</t>
    </r>
    <r>
      <rPr>
        <sz val="12"/>
        <rFont val="Times New Roman"/>
        <family val="1"/>
      </rPr>
      <t>16</t>
    </r>
    <r>
      <rPr>
        <sz val="12"/>
        <rFont val="標楷體"/>
        <family val="4"/>
        <charset val="136"/>
      </rPr>
      <t>條規定，政府補助</t>
    </r>
    <r>
      <rPr>
        <sz val="12"/>
        <rFont val="Times New Roman"/>
        <family val="1"/>
      </rPr>
      <t>1,665,223</t>
    </r>
    <r>
      <rPr>
        <sz val="12"/>
        <rFont val="標楷體"/>
        <family val="4"/>
        <charset val="136"/>
      </rPr>
      <t>千元</t>
    </r>
    <r>
      <rPr>
        <sz val="12"/>
        <rFont val="Times New Roman"/>
        <family val="1"/>
      </rPr>
      <t>)</t>
    </r>
    <r>
      <rPr>
        <sz val="12"/>
        <rFont val="標楷體"/>
        <family val="4"/>
        <charset val="136"/>
      </rPr>
      <t>，政府補助</t>
    </r>
    <r>
      <rPr>
        <sz val="12"/>
        <rFont val="Times New Roman"/>
        <family val="1"/>
      </rPr>
      <t>10%</t>
    </r>
    <r>
      <rPr>
        <sz val="12"/>
        <rFont val="標楷體"/>
        <family val="4"/>
        <charset val="136"/>
      </rPr>
      <t>。</t>
    </r>
    <phoneticPr fontId="6" type="noConversion"/>
  </si>
  <si>
    <r>
      <rPr>
        <sz val="12"/>
        <rFont val="標楷體"/>
        <family val="4"/>
        <charset val="136"/>
      </rPr>
      <t>保險費由被保險人負擔</t>
    </r>
    <r>
      <rPr>
        <sz val="12"/>
        <rFont val="Times New Roman"/>
        <family val="1"/>
      </rPr>
      <t>20%</t>
    </r>
    <r>
      <rPr>
        <sz val="12"/>
        <rFont val="標楷體"/>
        <family val="4"/>
        <charset val="136"/>
      </rPr>
      <t>，投保單位負擔</t>
    </r>
    <r>
      <rPr>
        <sz val="12"/>
        <rFont val="Times New Roman"/>
        <family val="1"/>
      </rPr>
      <t>70%(</t>
    </r>
    <r>
      <rPr>
        <sz val="12"/>
        <rFont val="標楷體"/>
        <family val="4"/>
        <charset val="136"/>
      </rPr>
      <t>其中依性別工作平等法第</t>
    </r>
    <r>
      <rPr>
        <sz val="12"/>
        <rFont val="Times New Roman"/>
        <family val="1"/>
      </rPr>
      <t>16</t>
    </r>
    <r>
      <rPr>
        <sz val="12"/>
        <rFont val="標楷體"/>
        <family val="4"/>
        <charset val="136"/>
      </rPr>
      <t>條規定，政府補助</t>
    </r>
    <r>
      <rPr>
        <sz val="12"/>
        <rFont val="Times New Roman"/>
        <family val="1"/>
      </rPr>
      <t>151,339</t>
    </r>
    <r>
      <rPr>
        <sz val="12"/>
        <rFont val="標楷體"/>
        <family val="4"/>
        <charset val="136"/>
      </rPr>
      <t>千元</t>
    </r>
    <r>
      <rPr>
        <sz val="12"/>
        <rFont val="Times New Roman"/>
        <family val="1"/>
      </rPr>
      <t>)</t>
    </r>
    <r>
      <rPr>
        <sz val="12"/>
        <rFont val="標楷體"/>
        <family val="4"/>
        <charset val="136"/>
      </rPr>
      <t>，政府補助</t>
    </r>
    <r>
      <rPr>
        <sz val="12"/>
        <rFont val="Times New Roman"/>
        <family val="1"/>
      </rPr>
      <t>10%</t>
    </r>
    <r>
      <rPr>
        <sz val="12"/>
        <rFont val="標楷體"/>
        <family val="4"/>
        <charset val="136"/>
      </rPr>
      <t>。</t>
    </r>
    <phoneticPr fontId="6" type="noConversion"/>
  </si>
  <si>
    <r>
      <rPr>
        <sz val="12"/>
        <rFont val="標楷體"/>
        <family val="4"/>
        <charset val="136"/>
      </rPr>
      <t>發生率</t>
    </r>
    <r>
      <rPr>
        <sz val="12"/>
        <rFont val="Times New Roman"/>
        <family val="1"/>
      </rPr>
      <t>12.19‰</t>
    </r>
    <r>
      <rPr>
        <sz val="12"/>
        <rFont val="標楷體"/>
        <family val="4"/>
        <charset val="136"/>
      </rPr>
      <t>。</t>
    </r>
    <phoneticPr fontId="23" type="noConversion"/>
  </si>
  <si>
    <r>
      <rPr>
        <sz val="12"/>
        <rFont val="標楷體"/>
        <family val="4"/>
        <charset val="136"/>
      </rPr>
      <t>發生率</t>
    </r>
    <r>
      <rPr>
        <sz val="12"/>
        <rFont val="Times New Roman"/>
        <family val="1"/>
      </rPr>
      <t>1.85‰</t>
    </r>
    <r>
      <rPr>
        <sz val="12"/>
        <rFont val="標楷體"/>
        <family val="4"/>
        <charset val="136"/>
      </rPr>
      <t>。</t>
    </r>
    <phoneticPr fontId="23" type="noConversion"/>
  </si>
  <si>
    <r>
      <t>預估</t>
    </r>
    <r>
      <rPr>
        <sz val="12"/>
        <rFont val="Times New Roman"/>
        <family val="1"/>
      </rPr>
      <t>192</t>
    </r>
    <r>
      <rPr>
        <sz val="12"/>
        <rFont val="標楷體"/>
        <family val="4"/>
        <charset val="136"/>
      </rPr>
      <t>件。</t>
    </r>
    <phoneticPr fontId="23" type="noConversion"/>
  </si>
  <si>
    <r>
      <rPr>
        <sz val="12"/>
        <rFont val="標楷體"/>
        <family val="4"/>
        <charset val="136"/>
      </rPr>
      <t>發生率</t>
    </r>
    <r>
      <rPr>
        <sz val="12"/>
        <rFont val="Times New Roman"/>
        <family val="1"/>
      </rPr>
      <t>1.33‰</t>
    </r>
    <r>
      <rPr>
        <sz val="12"/>
        <rFont val="標楷體"/>
        <family val="4"/>
        <charset val="136"/>
      </rPr>
      <t>。</t>
    </r>
    <phoneticPr fontId="23" type="noConversion"/>
  </si>
  <si>
    <r>
      <rPr>
        <sz val="12"/>
        <rFont val="標楷體"/>
        <family val="4"/>
        <charset val="136"/>
      </rPr>
      <t>發生率</t>
    </r>
    <r>
      <rPr>
        <sz val="12"/>
        <rFont val="Times New Roman"/>
        <family val="1"/>
      </rPr>
      <t>14.50‰</t>
    </r>
    <r>
      <rPr>
        <sz val="12"/>
        <rFont val="標楷體"/>
        <family val="4"/>
        <charset val="136"/>
      </rPr>
      <t>。</t>
    </r>
    <phoneticPr fontId="23" type="noConversion"/>
  </si>
  <si>
    <r>
      <rPr>
        <sz val="12"/>
        <rFont val="標楷體"/>
        <family val="4"/>
        <charset val="136"/>
      </rPr>
      <t>發生率</t>
    </r>
    <r>
      <rPr>
        <sz val="12"/>
        <rFont val="Times New Roman"/>
        <family val="1"/>
      </rPr>
      <t>6.23‰</t>
    </r>
    <r>
      <rPr>
        <sz val="12"/>
        <rFont val="標楷體"/>
        <family val="4"/>
        <charset val="136"/>
      </rPr>
      <t>。</t>
    </r>
    <phoneticPr fontId="23" type="noConversion"/>
  </si>
  <si>
    <r>
      <rPr>
        <sz val="12"/>
        <rFont val="標楷體"/>
        <family val="4"/>
        <charset val="136"/>
      </rPr>
      <t>發生率</t>
    </r>
    <r>
      <rPr>
        <sz val="12"/>
        <rFont val="Times New Roman"/>
        <family val="1"/>
      </rPr>
      <t>12.84‰</t>
    </r>
    <r>
      <rPr>
        <sz val="12"/>
        <rFont val="標楷體"/>
        <family val="4"/>
        <charset val="136"/>
      </rPr>
      <t>。</t>
    </r>
    <phoneticPr fontId="23" type="noConversion"/>
  </si>
  <si>
    <r>
      <rPr>
        <sz val="12"/>
        <rFont val="標楷體"/>
        <family val="4"/>
        <charset val="136"/>
      </rPr>
      <t>投保人數</t>
    </r>
    <r>
      <rPr>
        <sz val="12"/>
        <rFont val="Times New Roman"/>
        <family val="1"/>
      </rPr>
      <t>7,400,000</t>
    </r>
    <r>
      <rPr>
        <sz val="12"/>
        <rFont val="標楷體"/>
        <family val="4"/>
        <charset val="136"/>
      </rPr>
      <t>人。</t>
    </r>
    <phoneticPr fontId="23" type="noConversion"/>
  </si>
  <si>
    <r>
      <t>投保人數</t>
    </r>
    <r>
      <rPr>
        <sz val="12"/>
        <rFont val="Times New Roman"/>
        <family val="1"/>
      </rPr>
      <t>10,530,000</t>
    </r>
    <r>
      <rPr>
        <sz val="12"/>
        <rFont val="標楷體"/>
        <family val="4"/>
        <charset val="136"/>
      </rPr>
      <t>人。</t>
    </r>
    <phoneticPr fontId="6" type="noConversion"/>
  </si>
  <si>
    <r>
      <t>投保人數</t>
    </r>
    <r>
      <rPr>
        <sz val="12"/>
        <color indexed="8"/>
        <rFont val="Times New Roman"/>
        <family val="1"/>
      </rPr>
      <t>11,290,000</t>
    </r>
    <r>
      <rPr>
        <sz val="12"/>
        <color indexed="8"/>
        <rFont val="標楷體"/>
        <family val="4"/>
        <charset val="136"/>
      </rPr>
      <t>人。</t>
    </r>
    <phoneticPr fontId="6" type="noConversion"/>
  </si>
  <si>
    <r>
      <rPr>
        <sz val="12"/>
        <rFont val="標楷體"/>
        <family val="4"/>
        <charset val="136"/>
      </rPr>
      <t>發生率</t>
    </r>
    <r>
      <rPr>
        <sz val="12"/>
        <rFont val="Times New Roman"/>
        <family val="1"/>
      </rPr>
      <t>10.73‰</t>
    </r>
    <r>
      <rPr>
        <sz val="12"/>
        <rFont val="標楷體"/>
        <family val="4"/>
        <charset val="136"/>
      </rPr>
      <t>。</t>
    </r>
    <phoneticPr fontId="23" type="noConversion"/>
  </si>
  <si>
    <r>
      <rPr>
        <sz val="12"/>
        <rFont val="標楷體"/>
        <family val="4"/>
        <charset val="136"/>
      </rPr>
      <t>發生率</t>
    </r>
    <r>
      <rPr>
        <sz val="12"/>
        <rFont val="Times New Roman"/>
        <family val="1"/>
      </rPr>
      <t>1.90‰</t>
    </r>
    <r>
      <rPr>
        <sz val="12"/>
        <rFont val="標楷體"/>
        <family val="4"/>
        <charset val="136"/>
      </rPr>
      <t>。</t>
    </r>
    <phoneticPr fontId="23" type="noConversion"/>
  </si>
  <si>
    <r>
      <rPr>
        <sz val="12"/>
        <rFont val="標楷體"/>
        <family val="4"/>
        <charset val="136"/>
      </rPr>
      <t>住院率</t>
    </r>
    <r>
      <rPr>
        <sz val="12"/>
        <rFont val="Times New Roman"/>
        <family val="1"/>
      </rPr>
      <t>0.27%</t>
    </r>
    <r>
      <rPr>
        <sz val="12"/>
        <rFont val="標楷體"/>
        <family val="4"/>
        <charset val="136"/>
      </rPr>
      <t>。</t>
    </r>
    <phoneticPr fontId="23" type="noConversion"/>
  </si>
  <si>
    <r>
      <rPr>
        <sz val="12"/>
        <rFont val="標楷體"/>
        <family val="4"/>
        <charset val="136"/>
      </rPr>
      <t>發生率</t>
    </r>
    <r>
      <rPr>
        <sz val="12"/>
        <rFont val="Times New Roman"/>
        <family val="1"/>
      </rPr>
      <t>4.54‰</t>
    </r>
    <r>
      <rPr>
        <sz val="12"/>
        <rFont val="新細明體"/>
        <family val="1"/>
        <charset val="136"/>
      </rPr>
      <t>。</t>
    </r>
    <phoneticPr fontId="6" type="noConversion"/>
  </si>
  <si>
    <r>
      <rPr>
        <sz val="12"/>
        <rFont val="標楷體"/>
        <family val="4"/>
        <charset val="136"/>
      </rPr>
      <t>發生率</t>
    </r>
    <r>
      <rPr>
        <sz val="12"/>
        <rFont val="Times New Roman"/>
        <family val="1"/>
      </rPr>
      <t>0.15‰</t>
    </r>
    <r>
      <rPr>
        <sz val="12"/>
        <rFont val="標楷體"/>
        <family val="4"/>
        <charset val="136"/>
      </rPr>
      <t>。</t>
    </r>
    <phoneticPr fontId="23" type="noConversion"/>
  </si>
  <si>
    <r>
      <rPr>
        <sz val="12"/>
        <rFont val="標楷體"/>
        <family val="4"/>
        <charset val="136"/>
      </rPr>
      <t>發生率</t>
    </r>
    <r>
      <rPr>
        <sz val="12"/>
        <rFont val="Times New Roman"/>
        <family val="1"/>
      </rPr>
      <t>0.05‰</t>
    </r>
    <r>
      <rPr>
        <sz val="12"/>
        <rFont val="標楷體"/>
        <family val="4"/>
        <charset val="136"/>
      </rPr>
      <t>。</t>
    </r>
    <phoneticPr fontId="23" type="noConversion"/>
  </si>
  <si>
    <r>
      <rPr>
        <sz val="12"/>
        <rFont val="標楷體"/>
        <family val="4"/>
        <charset val="136"/>
      </rPr>
      <t>預估</t>
    </r>
    <r>
      <rPr>
        <sz val="12"/>
        <rFont val="Times New Roman"/>
        <family val="1"/>
      </rPr>
      <t>555</t>
    </r>
    <r>
      <rPr>
        <sz val="12"/>
        <rFont val="標楷體"/>
        <family val="4"/>
        <charset val="136"/>
      </rPr>
      <t>件。</t>
    </r>
    <phoneticPr fontId="23" type="noConversion"/>
  </si>
  <si>
    <r>
      <rPr>
        <sz val="12"/>
        <rFont val="標楷體"/>
        <family val="4"/>
        <charset val="136"/>
      </rPr>
      <t>預估</t>
    </r>
    <r>
      <rPr>
        <sz val="12"/>
        <rFont val="Times New Roman"/>
        <family val="1"/>
      </rPr>
      <t>1,295</t>
    </r>
    <r>
      <rPr>
        <sz val="12"/>
        <rFont val="標楷體"/>
        <family val="4"/>
        <charset val="136"/>
      </rPr>
      <t>件。</t>
    </r>
    <phoneticPr fontId="23" type="noConversion"/>
  </si>
  <si>
    <r>
      <rPr>
        <sz val="12"/>
        <rFont val="標楷體"/>
        <family val="4"/>
        <charset val="136"/>
      </rPr>
      <t>預估</t>
    </r>
    <r>
      <rPr>
        <sz val="12"/>
        <rFont val="Times New Roman"/>
        <family val="1"/>
      </rPr>
      <t>9,805</t>
    </r>
    <r>
      <rPr>
        <sz val="12"/>
        <rFont val="標楷體"/>
        <family val="4"/>
        <charset val="136"/>
      </rPr>
      <t>件。</t>
    </r>
    <phoneticPr fontId="23" type="noConversion"/>
  </si>
  <si>
    <r>
      <rPr>
        <sz val="12"/>
        <rFont val="標楷體"/>
        <family val="4"/>
        <charset val="136"/>
      </rPr>
      <t>預估</t>
    </r>
    <r>
      <rPr>
        <sz val="12"/>
        <rFont val="Times New Roman"/>
        <family val="1"/>
      </rPr>
      <t>28,100</t>
    </r>
    <r>
      <rPr>
        <sz val="12"/>
        <rFont val="標楷體"/>
        <family val="4"/>
        <charset val="136"/>
      </rPr>
      <t>件。</t>
    </r>
    <phoneticPr fontId="23" type="noConversion"/>
  </si>
  <si>
    <r>
      <t>預估</t>
    </r>
    <r>
      <rPr>
        <sz val="12"/>
        <rFont val="Times New Roman"/>
        <family val="1"/>
      </rPr>
      <t>145</t>
    </r>
    <r>
      <rPr>
        <sz val="12"/>
        <rFont val="標楷體"/>
        <family val="4"/>
        <charset val="136"/>
      </rPr>
      <t>件。</t>
    </r>
    <phoneticPr fontId="23" type="noConversion"/>
  </si>
  <si>
    <r>
      <rPr>
        <sz val="12"/>
        <rFont val="標楷體"/>
        <family val="4"/>
        <charset val="136"/>
      </rPr>
      <t>投保人數</t>
    </r>
    <r>
      <rPr>
        <sz val="12"/>
        <rFont val="Times New Roman"/>
        <family val="1"/>
      </rPr>
      <t>925,000</t>
    </r>
    <r>
      <rPr>
        <sz val="12"/>
        <rFont val="標楷體"/>
        <family val="4"/>
        <charset val="136"/>
      </rPr>
      <t>人。</t>
    </r>
    <phoneticPr fontId="23" type="noConversion"/>
  </si>
  <si>
    <r>
      <rPr>
        <sz val="12"/>
        <rFont val="標楷體"/>
        <family val="4"/>
        <charset val="136"/>
      </rPr>
      <t>投保人數</t>
    </r>
    <r>
      <rPr>
        <sz val="12"/>
        <rFont val="Times New Roman"/>
        <family val="1"/>
      </rPr>
      <t>349,000</t>
    </r>
    <r>
      <rPr>
        <sz val="12"/>
        <rFont val="標楷體"/>
        <family val="4"/>
        <charset val="136"/>
      </rPr>
      <t>人。</t>
    </r>
    <phoneticPr fontId="23" type="noConversion"/>
  </si>
  <si>
    <r>
      <rPr>
        <sz val="12"/>
        <rFont val="標楷體"/>
        <family val="4"/>
        <charset val="136"/>
      </rPr>
      <t>預估</t>
    </r>
    <r>
      <rPr>
        <sz val="12"/>
        <rFont val="Times New Roman"/>
        <family val="1"/>
      </rPr>
      <t>5,438</t>
    </r>
    <r>
      <rPr>
        <sz val="12"/>
        <rFont val="標楷體"/>
        <family val="4"/>
        <charset val="136"/>
      </rPr>
      <t>件。</t>
    </r>
    <phoneticPr fontId="23" type="noConversion"/>
  </si>
  <si>
    <r>
      <t>預估</t>
    </r>
    <r>
      <rPr>
        <sz val="12"/>
        <rFont val="Times New Roman"/>
        <family val="1"/>
      </rPr>
      <t>93</t>
    </r>
    <r>
      <rPr>
        <sz val="12"/>
        <rFont val="標楷體"/>
        <family val="4"/>
        <charset val="136"/>
      </rPr>
      <t>件。</t>
    </r>
    <phoneticPr fontId="23" type="noConversion"/>
  </si>
  <si>
    <r>
      <t>預估</t>
    </r>
    <r>
      <rPr>
        <sz val="12"/>
        <rFont val="Times New Roman"/>
        <family val="1"/>
      </rPr>
      <t>20</t>
    </r>
    <r>
      <rPr>
        <sz val="12"/>
        <rFont val="標楷體"/>
        <family val="4"/>
        <charset val="136"/>
      </rPr>
      <t>件。</t>
    </r>
    <phoneticPr fontId="6" type="noConversion"/>
  </si>
  <si>
    <t>預估8件。</t>
    <phoneticPr fontId="6" type="noConversion"/>
  </si>
  <si>
    <r>
      <rPr>
        <sz val="12"/>
        <rFont val="標楷體"/>
        <family val="4"/>
        <charset val="136"/>
      </rPr>
      <t>預估</t>
    </r>
    <r>
      <rPr>
        <sz val="12"/>
        <rFont val="Times New Roman"/>
        <family val="1"/>
      </rPr>
      <t>702</t>
    </r>
    <r>
      <rPr>
        <sz val="12"/>
        <rFont val="標楷體"/>
        <family val="4"/>
        <charset val="136"/>
      </rPr>
      <t>人次。</t>
    </r>
    <phoneticPr fontId="6" type="noConversion"/>
  </si>
  <si>
    <r>
      <rPr>
        <sz val="12"/>
        <rFont val="標楷體"/>
        <family val="4"/>
        <charset val="136"/>
      </rPr>
      <t>預估</t>
    </r>
    <r>
      <rPr>
        <sz val="12"/>
        <rFont val="Times New Roman"/>
        <family val="1"/>
      </rPr>
      <t>36</t>
    </r>
    <r>
      <rPr>
        <sz val="12"/>
        <rFont val="標楷體"/>
        <family val="4"/>
        <charset val="136"/>
      </rPr>
      <t>人次。</t>
    </r>
    <phoneticPr fontId="6" type="noConversion"/>
  </si>
  <si>
    <r>
      <rPr>
        <sz val="12"/>
        <rFont val="標楷體"/>
        <family val="4"/>
        <charset val="136"/>
      </rPr>
      <t>預估</t>
    </r>
    <r>
      <rPr>
        <sz val="12"/>
        <rFont val="Times New Roman"/>
        <family val="1"/>
      </rPr>
      <t>432</t>
    </r>
    <r>
      <rPr>
        <sz val="12"/>
        <rFont val="標楷體"/>
        <family val="4"/>
        <charset val="136"/>
      </rPr>
      <t>人次。</t>
    </r>
    <phoneticPr fontId="6" type="noConversion"/>
  </si>
  <si>
    <r>
      <rPr>
        <sz val="12"/>
        <rFont val="標楷體"/>
        <family val="4"/>
        <charset val="136"/>
      </rPr>
      <t>預估</t>
    </r>
    <r>
      <rPr>
        <sz val="12"/>
        <rFont val="Times New Roman"/>
        <family val="1"/>
      </rPr>
      <t>4,032</t>
    </r>
    <r>
      <rPr>
        <sz val="12"/>
        <rFont val="標楷體"/>
        <family val="4"/>
        <charset val="136"/>
      </rPr>
      <t>人次。</t>
    </r>
    <phoneticPr fontId="6" type="noConversion"/>
  </si>
  <si>
    <r>
      <rPr>
        <sz val="12"/>
        <rFont val="標楷體"/>
        <family val="4"/>
        <charset val="136"/>
      </rPr>
      <t>預估</t>
    </r>
    <r>
      <rPr>
        <sz val="12"/>
        <rFont val="Times New Roman"/>
        <family val="1"/>
      </rPr>
      <t>12</t>
    </r>
    <r>
      <rPr>
        <sz val="12"/>
        <rFont val="標楷體"/>
        <family val="4"/>
        <charset val="136"/>
      </rPr>
      <t>人次。</t>
    </r>
    <phoneticPr fontId="6" type="noConversion"/>
  </si>
  <si>
    <r>
      <rPr>
        <sz val="12"/>
        <rFont val="標楷體"/>
        <family val="4"/>
        <charset val="136"/>
      </rPr>
      <t>預估</t>
    </r>
    <r>
      <rPr>
        <sz val="12"/>
        <rFont val="Times New Roman"/>
        <family val="1"/>
      </rPr>
      <t>610</t>
    </r>
    <r>
      <rPr>
        <sz val="12"/>
        <rFont val="標楷體"/>
        <family val="4"/>
        <charset val="136"/>
      </rPr>
      <t>人次。</t>
    </r>
    <phoneticPr fontId="6" type="noConversion"/>
  </si>
  <si>
    <r>
      <rPr>
        <sz val="12"/>
        <rFont val="標楷體"/>
        <family val="4"/>
        <charset val="136"/>
      </rPr>
      <t>預估</t>
    </r>
    <r>
      <rPr>
        <sz val="12"/>
        <rFont val="Times New Roman"/>
        <family val="1"/>
      </rPr>
      <t>9,588</t>
    </r>
    <r>
      <rPr>
        <sz val="12"/>
        <rFont val="標楷體"/>
        <family val="4"/>
        <charset val="136"/>
      </rPr>
      <t>人次。</t>
    </r>
    <phoneticPr fontId="6" type="noConversion"/>
  </si>
  <si>
    <r>
      <rPr>
        <sz val="12"/>
        <rFont val="標楷體"/>
        <family val="4"/>
        <charset val="136"/>
      </rPr>
      <t>預估</t>
    </r>
    <r>
      <rPr>
        <sz val="12"/>
        <rFont val="Times New Roman"/>
        <family val="1"/>
      </rPr>
      <t>3,660</t>
    </r>
    <r>
      <rPr>
        <sz val="12"/>
        <rFont val="標楷體"/>
        <family val="1"/>
        <charset val="136"/>
      </rPr>
      <t>人</t>
    </r>
    <r>
      <rPr>
        <sz val="12"/>
        <rFont val="標楷體"/>
        <family val="4"/>
        <charset val="136"/>
      </rPr>
      <t>次。</t>
    </r>
    <phoneticPr fontId="6" type="noConversion"/>
  </si>
  <si>
    <r>
      <rPr>
        <sz val="12"/>
        <rFont val="標楷體"/>
        <family val="4"/>
        <charset val="136"/>
      </rPr>
      <t>預估</t>
    </r>
    <r>
      <rPr>
        <sz val="12"/>
        <rFont val="Times New Roman"/>
        <family val="1"/>
      </rPr>
      <t>380</t>
    </r>
    <r>
      <rPr>
        <sz val="12"/>
        <rFont val="標楷體"/>
        <family val="4"/>
        <charset val="136"/>
      </rPr>
      <t>件。</t>
    </r>
    <phoneticPr fontId="6" type="noConversion"/>
  </si>
  <si>
    <r>
      <t>預估</t>
    </r>
    <r>
      <rPr>
        <sz val="12"/>
        <rFont val="Times New Roman"/>
        <family val="1"/>
      </rPr>
      <t>4</t>
    </r>
    <r>
      <rPr>
        <sz val="12"/>
        <rFont val="標楷體"/>
        <family val="4"/>
        <charset val="136"/>
      </rPr>
      <t>件。</t>
    </r>
    <phoneticPr fontId="6" type="noConversion"/>
  </si>
  <si>
    <r>
      <rPr>
        <sz val="12"/>
        <rFont val="標楷體"/>
        <family val="4"/>
        <charset val="136"/>
      </rPr>
      <t>預估</t>
    </r>
    <r>
      <rPr>
        <sz val="12"/>
        <rFont val="Times New Roman"/>
        <family val="1"/>
      </rPr>
      <t>362</t>
    </r>
    <r>
      <rPr>
        <sz val="12"/>
        <rFont val="標楷體"/>
        <family val="4"/>
        <charset val="136"/>
      </rPr>
      <t>人次。</t>
    </r>
    <phoneticPr fontId="6" type="noConversion"/>
  </si>
  <si>
    <t xml:space="preserve">2.
</t>
    <phoneticPr fontId="6" type="noConversion"/>
  </si>
  <si>
    <t>2.</t>
    <phoneticPr fontId="6" type="noConversion"/>
  </si>
  <si>
    <t>3.</t>
    <phoneticPr fontId="6" type="noConversion"/>
  </si>
  <si>
    <r>
      <rPr>
        <sz val="12"/>
        <color theme="1"/>
        <rFont val="標楷體"/>
        <family val="4"/>
        <charset val="136"/>
      </rPr>
      <t>扣除政府機關及政府補助後依逾期繳納保費數之</t>
    </r>
    <r>
      <rPr>
        <sz val="12"/>
        <color theme="1"/>
        <rFont val="Times New Roman"/>
        <family val="1"/>
      </rPr>
      <t>0.1%</t>
    </r>
    <r>
      <rPr>
        <sz val="12"/>
        <color theme="1"/>
        <rFont val="標楷體"/>
        <family val="4"/>
        <charset val="136"/>
      </rPr>
      <t>，按平均逾期</t>
    </r>
    <r>
      <rPr>
        <sz val="12"/>
        <color theme="1"/>
        <rFont val="Times New Roman"/>
        <family val="1"/>
      </rPr>
      <t>19</t>
    </r>
    <r>
      <rPr>
        <sz val="12"/>
        <color theme="1"/>
        <rFont val="標楷體"/>
        <family val="4"/>
        <charset val="136"/>
      </rPr>
      <t>天計列。</t>
    </r>
    <phoneticPr fontId="23" type="noConversion"/>
  </si>
  <si>
    <r>
      <rPr>
        <sz val="12"/>
        <color theme="1"/>
        <rFont val="標楷體"/>
        <family val="4"/>
        <charset val="136"/>
      </rPr>
      <t>扣除政府機關及政府補助後依逾期繳納保費數之</t>
    </r>
    <r>
      <rPr>
        <sz val="12"/>
        <color theme="1"/>
        <rFont val="Times New Roman"/>
        <family val="1"/>
      </rPr>
      <t>0.2%</t>
    </r>
    <r>
      <rPr>
        <sz val="12"/>
        <color theme="1"/>
        <rFont val="標楷體"/>
        <family val="4"/>
        <charset val="136"/>
      </rPr>
      <t>，按平均逾期</t>
    </r>
    <r>
      <rPr>
        <sz val="12"/>
        <color theme="1"/>
        <rFont val="Times New Roman"/>
        <family val="1"/>
      </rPr>
      <t>13</t>
    </r>
    <r>
      <rPr>
        <sz val="12"/>
        <color theme="1"/>
        <rFont val="標楷體"/>
        <family val="4"/>
        <charset val="136"/>
      </rPr>
      <t>天計列。</t>
    </r>
    <phoneticPr fontId="23" type="noConversion"/>
  </si>
  <si>
    <t>　消費與行為稅</t>
    <phoneticPr fontId="6" type="noConversion"/>
  </si>
  <si>
    <t>　利息</t>
    <phoneticPr fontId="6" type="noConversion"/>
  </si>
  <si>
    <t>　　  勞職保及保護</t>
    <phoneticPr fontId="6" type="noConversion"/>
  </si>
  <si>
    <t>　商品及醫療用品</t>
    <phoneticPr fontId="6" type="noConversion"/>
  </si>
  <si>
    <t>　商品及醫療用品</t>
    <phoneticPr fontId="6" type="noConversion"/>
  </si>
  <si>
    <t>　分擔</t>
    <phoneticPr fontId="6" type="noConversion"/>
  </si>
  <si>
    <t>　分擔</t>
    <phoneticPr fontId="6" type="noConversion"/>
  </si>
  <si>
    <t>　利息</t>
    <phoneticPr fontId="6" type="noConversion"/>
  </si>
  <si>
    <t>折舊、折耗及攤銷</t>
    <phoneticPr fontId="6" type="noConversion"/>
  </si>
  <si>
    <r>
      <rPr>
        <sz val="12"/>
        <rFont val="標楷體"/>
        <family val="4"/>
        <charset val="136"/>
      </rPr>
      <t>發生率</t>
    </r>
    <r>
      <rPr>
        <sz val="12"/>
        <rFont val="Times New Roman"/>
        <family val="1"/>
      </rPr>
      <t>0.95‰</t>
    </r>
    <r>
      <rPr>
        <sz val="12"/>
        <rFont val="標楷體"/>
        <family val="4"/>
        <charset val="136"/>
      </rPr>
      <t>。</t>
    </r>
    <phoneticPr fontId="23" type="noConversion"/>
  </si>
  <si>
    <r>
      <t>發生率</t>
    </r>
    <r>
      <rPr>
        <sz val="12"/>
        <rFont val="Times New Roman"/>
        <family val="1"/>
      </rPr>
      <t>12.16‰</t>
    </r>
    <r>
      <rPr>
        <sz val="12"/>
        <rFont val="標楷體"/>
        <family val="4"/>
        <charset val="136"/>
      </rPr>
      <t>。</t>
    </r>
    <phoneticPr fontId="23" type="noConversion"/>
  </si>
  <si>
    <r>
      <t>發生率</t>
    </r>
    <r>
      <rPr>
        <sz val="12"/>
        <rFont val="Times New Roman"/>
        <family val="1"/>
      </rPr>
      <t>4.86‰</t>
    </r>
    <r>
      <rPr>
        <sz val="12"/>
        <rFont val="標楷體"/>
        <family val="4"/>
        <charset val="136"/>
      </rPr>
      <t>。</t>
    </r>
    <phoneticPr fontId="23" type="noConversion"/>
  </si>
  <si>
    <r>
      <rPr>
        <sz val="12"/>
        <rFont val="標楷體"/>
        <family val="4"/>
        <charset val="136"/>
      </rPr>
      <t>就診率</t>
    </r>
    <r>
      <rPr>
        <sz val="12"/>
        <rFont val="Times New Roman"/>
        <family val="1"/>
      </rPr>
      <t>13.37%</t>
    </r>
    <r>
      <rPr>
        <sz val="12"/>
        <rFont val="標楷體"/>
        <family val="4"/>
        <charset val="136"/>
      </rPr>
      <t>。</t>
    </r>
    <phoneticPr fontId="23" type="noConversion"/>
  </si>
  <si>
    <t>-</t>
    <phoneticPr fontId="6" type="noConversion"/>
  </si>
  <si>
    <t>-</t>
    <phoneticPr fontId="6" type="noConversion"/>
  </si>
  <si>
    <t>-</t>
    <phoneticPr fontId="6" type="noConversion"/>
  </si>
  <si>
    <t>註：1.配合111年5月1日「勞工職業災害保險及保護法」施行，原列於「勞工保險業務」項下職業災害保險及「職業災害勞工保護業務」整併至「勞
      工職業災害保險及保護業務」，為利比較，以前年度決算數為科目重分類之數。以下各表同。
    2.百分比及前年度決算數細數之和與總數或略有出入，係四捨五入關係。以下各表同。</t>
    <phoneticPr fontId="6" type="noConversion"/>
  </si>
  <si>
    <r>
      <t>收取利息</t>
    </r>
    <r>
      <rPr>
        <sz val="12"/>
        <rFont val="Times New Roman"/>
        <family val="1"/>
      </rPr>
      <t>7</t>
    </r>
    <r>
      <rPr>
        <sz val="12"/>
        <rFont val="標楷體"/>
        <family val="4"/>
        <charset val="136"/>
      </rPr>
      <t>千元。</t>
    </r>
    <phoneticPr fontId="6" type="noConversion"/>
  </si>
  <si>
    <r>
      <t>收取利息</t>
    </r>
    <r>
      <rPr>
        <sz val="12"/>
        <rFont val="Times New Roman"/>
        <family val="1"/>
      </rPr>
      <t>2,760</t>
    </r>
    <r>
      <rPr>
        <sz val="12"/>
        <rFont val="標楷體"/>
        <family val="4"/>
        <charset val="136"/>
      </rPr>
      <t>千元。</t>
    </r>
    <phoneticPr fontId="6" type="noConversion"/>
  </si>
  <si>
    <r>
      <t>截至本年度累計貸出餘額未包含長期貸款轉列催收款項計</t>
    </r>
    <r>
      <rPr>
        <sz val="12"/>
        <rFont val="Times New Roman"/>
        <family val="1"/>
      </rPr>
      <t>19,617,413</t>
    </r>
    <r>
      <rPr>
        <sz val="12"/>
        <rFont val="標楷體"/>
        <family val="4"/>
        <charset val="136"/>
      </rPr>
      <t>千元，又</t>
    </r>
    <r>
      <rPr>
        <sz val="12"/>
        <rFont val="標楷體"/>
        <family val="1"/>
        <charset val="136"/>
      </rPr>
      <t>本</t>
    </r>
    <r>
      <rPr>
        <sz val="12"/>
        <rFont val="標楷體"/>
        <family val="4"/>
        <charset val="136"/>
      </rPr>
      <t>年度被保險人貸款轉催收款項減少數</t>
    </r>
    <r>
      <rPr>
        <sz val="12"/>
        <rFont val="Times New Roman"/>
        <family val="1"/>
      </rPr>
      <t>814,409</t>
    </r>
    <r>
      <rPr>
        <sz val="12"/>
        <rFont val="標楷體"/>
        <family val="4"/>
        <charset val="136"/>
      </rPr>
      <t>千元。</t>
    </r>
    <phoneticPr fontId="6" type="noConversion"/>
  </si>
  <si>
    <r>
      <rPr>
        <sz val="12"/>
        <rFont val="標楷體"/>
        <family val="4"/>
        <charset val="136"/>
      </rPr>
      <t>收取利息</t>
    </r>
    <r>
      <rPr>
        <sz val="12"/>
        <rFont val="Times New Roman"/>
        <family val="1"/>
      </rPr>
      <t>320</t>
    </r>
    <r>
      <rPr>
        <sz val="12"/>
        <rFont val="標楷體"/>
        <family val="4"/>
        <charset val="136"/>
      </rPr>
      <t>千元。</t>
    </r>
    <phoneticPr fontId="6" type="noConversion"/>
  </si>
  <si>
    <r>
      <t>係增加短期貸款</t>
    </r>
    <r>
      <rPr>
        <sz val="12"/>
        <rFont val="Times New Roman"/>
        <family val="1"/>
      </rPr>
      <t>1,607,000</t>
    </r>
    <r>
      <rPr>
        <sz val="12"/>
        <rFont val="標楷體"/>
        <family val="4"/>
        <charset val="136"/>
      </rPr>
      <t>千元。</t>
    </r>
    <phoneticPr fontId="6" type="noConversion"/>
  </si>
  <si>
    <r>
      <t>收取利息</t>
    </r>
    <r>
      <rPr>
        <sz val="12"/>
        <rFont val="Times New Roman"/>
        <family val="1"/>
      </rPr>
      <t>43</t>
    </r>
    <r>
      <rPr>
        <sz val="12"/>
        <rFont val="標楷體"/>
        <family val="4"/>
        <charset val="136"/>
      </rPr>
      <t>千元。</t>
    </r>
    <phoneticPr fontId="6" type="noConversion"/>
  </si>
  <si>
    <r>
      <t>2.</t>
    </r>
    <r>
      <rPr>
        <sz val="12"/>
        <rFont val="標楷體"/>
        <family val="4"/>
        <charset val="136"/>
      </rPr>
      <t>提存責任準備</t>
    </r>
    <r>
      <rPr>
        <sz val="12"/>
        <rFont val="Times New Roman"/>
        <family val="1"/>
      </rPr>
      <t/>
    </r>
    <phoneticPr fontId="6" type="noConversion"/>
  </si>
  <si>
    <r>
      <rPr>
        <sz val="12"/>
        <rFont val="標楷體"/>
        <family val="4"/>
        <charset val="136"/>
      </rPr>
      <t>收取利息</t>
    </r>
    <r>
      <rPr>
        <sz val="12"/>
        <rFont val="Times New Roman"/>
        <family val="1"/>
      </rPr>
      <t>404,003</t>
    </r>
    <r>
      <rPr>
        <sz val="12"/>
        <rFont val="標楷體"/>
        <family val="4"/>
        <charset val="136"/>
      </rPr>
      <t>千元。</t>
    </r>
    <phoneticPr fontId="6" type="noConversion"/>
  </si>
  <si>
    <r>
      <rPr>
        <sz val="12"/>
        <rFont val="標楷體"/>
        <family val="4"/>
        <charset val="136"/>
      </rPr>
      <t>係增加流動金融資產</t>
    </r>
    <r>
      <rPr>
        <sz val="12"/>
        <rFont val="Times New Roman"/>
        <family val="1"/>
      </rPr>
      <t>1,048,680</t>
    </r>
    <r>
      <rPr>
        <sz val="12"/>
        <rFont val="標楷體"/>
        <family val="4"/>
        <charset val="136"/>
      </rPr>
      <t>千元。</t>
    </r>
    <phoneticPr fontId="6" type="noConversion"/>
  </si>
  <si>
    <r>
      <rPr>
        <sz val="12"/>
        <rFont val="標楷體"/>
        <family val="4"/>
        <charset val="136"/>
      </rPr>
      <t>係增加投資</t>
    </r>
    <r>
      <rPr>
        <sz val="12"/>
        <rFont val="Times New Roman"/>
        <family val="1"/>
      </rPr>
      <t>-</t>
    </r>
    <r>
      <rPr>
        <sz val="12"/>
        <rFont val="標楷體"/>
        <family val="4"/>
        <charset val="136"/>
      </rPr>
      <t>非流動金融資產</t>
    </r>
    <r>
      <rPr>
        <sz val="12"/>
        <rFont val="Times New Roman"/>
        <family val="1"/>
      </rPr>
      <t>439,999</t>
    </r>
    <r>
      <rPr>
        <sz val="12"/>
        <rFont val="標楷體"/>
        <family val="4"/>
        <charset val="136"/>
      </rPr>
      <t>千元。</t>
    </r>
    <phoneticPr fontId="6" type="noConversion"/>
  </si>
  <si>
    <r>
      <rPr>
        <sz val="12"/>
        <rFont val="標楷體"/>
        <family val="4"/>
        <charset val="136"/>
      </rPr>
      <t>係減少其他負債</t>
    </r>
    <r>
      <rPr>
        <sz val="12"/>
        <rFont val="Times New Roman"/>
        <family val="1"/>
      </rPr>
      <t>900</t>
    </r>
    <r>
      <rPr>
        <sz val="12"/>
        <rFont val="標楷體"/>
        <family val="4"/>
        <charset val="136"/>
      </rPr>
      <t>千元。</t>
    </r>
    <phoneticPr fontId="6" type="noConversion"/>
  </si>
  <si>
    <t xml:space="preserve">  預收款項</t>
    <phoneticPr fontId="6" type="noConversion"/>
  </si>
  <si>
    <t>　遞延資產</t>
    <phoneticPr fontId="6" type="noConversion"/>
  </si>
  <si>
    <r>
      <t>收取利息</t>
    </r>
    <r>
      <rPr>
        <sz val="12"/>
        <rFont val="Times New Roman"/>
        <family val="1"/>
      </rPr>
      <t>394</t>
    </r>
    <r>
      <rPr>
        <sz val="12"/>
        <rFont val="標楷體"/>
        <family val="4"/>
        <charset val="136"/>
      </rPr>
      <t>千元。</t>
    </r>
    <phoneticPr fontId="6" type="noConversion"/>
  </si>
  <si>
    <r>
      <rPr>
        <sz val="12"/>
        <rFont val="標楷體"/>
        <family val="4"/>
        <charset val="136"/>
      </rPr>
      <t xml:space="preserve">　減少短期債務、流動金融負債及其他負債
</t>
    </r>
    <r>
      <rPr>
        <sz val="12"/>
        <rFont val="Times New Roman"/>
        <family val="1"/>
      </rPr>
      <t xml:space="preserve">    </t>
    </r>
    <phoneticPr fontId="6" type="noConversion"/>
  </si>
  <si>
    <r>
      <rPr>
        <sz val="12"/>
        <rFont val="標楷體"/>
        <family val="4"/>
        <charset val="136"/>
      </rPr>
      <t>係減少短期債務</t>
    </r>
    <r>
      <rPr>
        <sz val="12"/>
        <rFont val="Times New Roman"/>
        <family val="1"/>
      </rPr>
      <t>648,627</t>
    </r>
    <r>
      <rPr>
        <sz val="12"/>
        <rFont val="標楷體"/>
        <family val="4"/>
        <charset val="136"/>
      </rPr>
      <t>千元。</t>
    </r>
    <phoneticPr fontId="6" type="noConversion"/>
  </si>
  <si>
    <r>
      <rPr>
        <sz val="12"/>
        <rFont val="標楷體"/>
        <family val="4"/>
        <charset val="136"/>
      </rPr>
      <t>係勞職保及保護業務減少其他負債</t>
    </r>
    <r>
      <rPr>
        <sz val="12"/>
        <rFont val="Times New Roman"/>
        <family val="1"/>
      </rPr>
      <t>900</t>
    </r>
    <r>
      <rPr>
        <sz val="12"/>
        <rFont val="標楷體"/>
        <family val="4"/>
        <charset val="136"/>
      </rPr>
      <t>千元。</t>
    </r>
    <phoneticPr fontId="6" type="noConversion"/>
  </si>
  <si>
    <r>
      <t>註：本年度信託代理與保證資產（負債）預計為</t>
    </r>
    <r>
      <rPr>
        <sz val="7.5"/>
        <rFont val="Times New Roman"/>
        <family val="1"/>
      </rPr>
      <t>5,950</t>
    </r>
    <r>
      <rPr>
        <sz val="7.5"/>
        <rFont val="標楷體"/>
        <family val="4"/>
        <charset val="136"/>
      </rPr>
      <t>千元，係包括（應付）保證品</t>
    </r>
    <r>
      <rPr>
        <sz val="7.5"/>
        <rFont val="Times New Roman"/>
        <family val="1"/>
      </rPr>
      <t>298</t>
    </r>
    <r>
      <rPr>
        <sz val="7.5"/>
        <rFont val="標楷體"/>
        <family val="4"/>
        <charset val="136"/>
      </rPr>
      <t>千元及應收（受託）代收款</t>
    </r>
    <r>
      <rPr>
        <sz val="7.5"/>
        <rFont val="Times New Roman"/>
        <family val="1"/>
      </rPr>
      <t>5,652</t>
    </r>
    <r>
      <rPr>
        <sz val="7.5"/>
        <rFont val="標楷體"/>
        <family val="4"/>
        <charset val="136"/>
      </rPr>
      <t xml:space="preserve">千元。                 
</t>
    </r>
    <phoneticPr fontId="6" type="noConversion"/>
  </si>
  <si>
    <r>
      <rPr>
        <sz val="9"/>
        <rFont val="標楷體"/>
        <family val="4"/>
        <charset val="136"/>
      </rPr>
      <t>註：本年度信託代理與保證資產（負債）預計為</t>
    </r>
    <r>
      <rPr>
        <sz val="9"/>
        <rFont val="Times New Roman"/>
        <family val="1"/>
      </rPr>
      <t>195,673</t>
    </r>
    <r>
      <rPr>
        <sz val="9"/>
        <rFont val="標楷體"/>
        <family val="4"/>
        <charset val="136"/>
      </rPr>
      <t>千元，係包括（應付）保證品</t>
    </r>
    <r>
      <rPr>
        <sz val="9"/>
        <rFont val="Times New Roman"/>
        <family val="1"/>
      </rPr>
      <t>69,784</t>
    </r>
    <r>
      <rPr>
        <sz val="9"/>
        <rFont val="標楷體"/>
        <family val="4"/>
        <charset val="136"/>
      </rPr>
      <t>千元及應收（受託）代收款</t>
    </r>
    <r>
      <rPr>
        <sz val="9"/>
        <rFont val="Times New Roman"/>
        <family val="1"/>
      </rPr>
      <t xml:space="preserve">
         125,889</t>
    </r>
    <r>
      <rPr>
        <sz val="9"/>
        <rFont val="標楷體"/>
        <family val="4"/>
        <charset val="136"/>
      </rPr>
      <t xml:space="preserve">千元。
</t>
    </r>
    <r>
      <rPr>
        <sz val="9"/>
        <rFont val="Times New Roman"/>
        <family val="1"/>
      </rPr>
      <t xml:space="preserve">      </t>
    </r>
    <phoneticPr fontId="6" type="noConversion"/>
  </si>
  <si>
    <r>
      <t>註：本年度信託代理與保證資產（負債）預計為</t>
    </r>
    <r>
      <rPr>
        <sz val="7.5"/>
        <rFont val="Times New Roman"/>
        <family val="1"/>
      </rPr>
      <t>179,117</t>
    </r>
    <r>
      <rPr>
        <sz val="7.5"/>
        <rFont val="標楷體"/>
        <family val="4"/>
        <charset val="136"/>
      </rPr>
      <t>千元，係包括（應付）保證品</t>
    </r>
    <r>
      <rPr>
        <sz val="7.5"/>
        <rFont val="Times New Roman"/>
        <family val="1"/>
      </rPr>
      <t>69,486</t>
    </r>
    <r>
      <rPr>
        <sz val="7.5"/>
        <rFont val="標楷體"/>
        <family val="4"/>
        <charset val="136"/>
      </rPr>
      <t>千元及應收（受託）代收款</t>
    </r>
    <r>
      <rPr>
        <sz val="7.5"/>
        <rFont val="Times New Roman"/>
        <family val="1"/>
      </rPr>
      <t>109,631</t>
    </r>
    <r>
      <rPr>
        <sz val="7.5"/>
        <rFont val="標楷體"/>
        <family val="4"/>
        <charset val="136"/>
      </rPr>
      <t xml:space="preserve">千元。                 
</t>
    </r>
    <phoneticPr fontId="6" type="noConversion"/>
  </si>
  <si>
    <r>
      <rPr>
        <sz val="7.5"/>
        <rFont val="標楷體"/>
        <family val="4"/>
        <charset val="136"/>
      </rPr>
      <t>註：本年度信託代理與保證資產（負債）預計為</t>
    </r>
    <r>
      <rPr>
        <sz val="7.5"/>
        <rFont val="Times New Roman"/>
        <family val="1"/>
      </rPr>
      <t>10,606</t>
    </r>
    <r>
      <rPr>
        <sz val="7.5"/>
        <rFont val="標楷體"/>
        <family val="4"/>
        <charset val="136"/>
      </rPr>
      <t xml:space="preserve">千元，係應收（受託）代收款。
</t>
    </r>
    <r>
      <rPr>
        <sz val="7.5"/>
        <rFont val="Times New Roman"/>
        <family val="1"/>
      </rPr>
      <t xml:space="preserve">        </t>
    </r>
    <r>
      <rPr>
        <sz val="7.5"/>
        <rFont val="標楷體"/>
        <family val="4"/>
        <charset val="136"/>
      </rPr>
      <t xml:space="preserve">
</t>
    </r>
    <r>
      <rPr>
        <sz val="7.5"/>
        <rFont val="Times New Roman"/>
        <family val="1"/>
      </rPr>
      <t xml:space="preserve">            
         </t>
    </r>
    <r>
      <rPr>
        <sz val="7.5"/>
        <rFont val="標楷體"/>
        <family val="4"/>
        <charset val="136"/>
      </rPr>
      <t xml:space="preserve">
</t>
    </r>
    <r>
      <rPr>
        <sz val="7.5"/>
        <rFont val="Times New Roman"/>
        <family val="1"/>
      </rPr>
      <t xml:space="preserve">        </t>
    </r>
    <r>
      <rPr>
        <sz val="7.5"/>
        <rFont val="標楷體"/>
        <family val="4"/>
        <charset val="136"/>
      </rPr>
      <t xml:space="preserve">
</t>
    </r>
    <phoneticPr fontId="6" type="noConversion"/>
  </si>
  <si>
    <r>
      <rPr>
        <sz val="12"/>
        <color theme="1"/>
        <rFont val="標楷體"/>
        <family val="4"/>
        <charset val="136"/>
      </rPr>
      <t>保險費率係依照</t>
    </r>
    <r>
      <rPr>
        <sz val="12"/>
        <color theme="1"/>
        <rFont val="Times New Roman"/>
        <family val="1"/>
      </rPr>
      <t>112</t>
    </r>
    <r>
      <rPr>
        <sz val="12"/>
        <color theme="1"/>
        <rFont val="標楷體"/>
        <family val="4"/>
        <charset val="136"/>
      </rPr>
      <t>年修正施行之農民職業災害保險試辦辦法第</t>
    </r>
    <r>
      <rPr>
        <sz val="12"/>
        <color theme="1"/>
        <rFont val="Times New Roman"/>
        <family val="1"/>
      </rPr>
      <t>12</t>
    </r>
    <r>
      <rPr>
        <sz val="12"/>
        <color theme="1"/>
        <rFont val="標楷體"/>
        <family val="4"/>
        <charset val="136"/>
      </rPr>
      <t>條規定，由</t>
    </r>
    <r>
      <rPr>
        <sz val="12"/>
        <color theme="1"/>
        <rFont val="Times New Roman"/>
        <family val="1"/>
      </rPr>
      <t>0.24%</t>
    </r>
    <r>
      <rPr>
        <sz val="12"/>
        <color theme="1"/>
        <rFont val="標楷體"/>
        <family val="4"/>
        <charset val="136"/>
      </rPr>
      <t>調整為</t>
    </r>
    <r>
      <rPr>
        <sz val="12"/>
        <color theme="1"/>
        <rFont val="Times New Roman"/>
        <family val="1"/>
      </rPr>
      <t>0.19%</t>
    </r>
    <r>
      <rPr>
        <sz val="12"/>
        <color theme="1"/>
        <rFont val="標楷體"/>
        <family val="4"/>
        <charset val="136"/>
      </rPr>
      <t>編列。</t>
    </r>
    <phoneticPr fontId="6" type="noConversion"/>
  </si>
  <si>
    <r>
      <rPr>
        <sz val="12"/>
        <rFont val="標楷體"/>
        <family val="4"/>
        <charset val="136"/>
      </rPr>
      <t>投保人數及平均月投保薪資係參酌</t>
    </r>
    <r>
      <rPr>
        <sz val="12"/>
        <rFont val="Times New Roman"/>
        <family val="1"/>
      </rPr>
      <t>111</t>
    </r>
    <r>
      <rPr>
        <sz val="12"/>
        <rFont val="標楷體"/>
        <family val="4"/>
        <charset val="136"/>
      </rPr>
      <t>年度勞工職業災害保險，及歷年勞工保險統計資料編列。</t>
    </r>
    <phoneticPr fontId="6" type="noConversion"/>
  </si>
  <si>
    <t>　　　  修理保養及保固費</t>
    <phoneticPr fontId="6" type="noConversion"/>
  </si>
  <si>
    <t>　　　  商品及醫療用品</t>
    <phoneticPr fontId="6" type="noConversion"/>
  </si>
  <si>
    <t>　　　  規費</t>
    <phoneticPr fontId="6" type="noConversion"/>
  </si>
  <si>
    <t>　　　  分擔</t>
  </si>
  <si>
    <t>　　　稅捐與規費(強制費)</t>
    <phoneticPr fontId="6" type="noConversion"/>
  </si>
  <si>
    <r>
      <rPr>
        <sz val="12"/>
        <color theme="1"/>
        <rFont val="標楷體"/>
        <family val="4"/>
        <charset val="136"/>
      </rPr>
      <t>本年度預算數</t>
    </r>
  </si>
  <si>
    <r>
      <rPr>
        <sz val="12"/>
        <color theme="1"/>
        <rFont val="標楷體"/>
        <family val="4"/>
        <charset val="136"/>
      </rPr>
      <t>投保人數係參酌歷年統計資料及國發會勞動人口由</t>
    </r>
    <r>
      <rPr>
        <sz val="12"/>
        <color theme="1"/>
        <rFont val="Times New Roman"/>
        <family val="1"/>
      </rPr>
      <t>105</t>
    </r>
    <r>
      <rPr>
        <sz val="12"/>
        <color theme="1"/>
        <rFont val="標楷體"/>
        <family val="4"/>
        <charset val="136"/>
      </rPr>
      <t xml:space="preserve">年開始縮減，另考量積極辦理輔導加保作業編列。
</t>
    </r>
    <phoneticPr fontId="6" type="noConversion"/>
  </si>
  <si>
    <t>平均月投保薪資係參酌歷年統計資料編列。</t>
    <phoneticPr fontId="6" type="noConversion"/>
  </si>
  <si>
    <t>3.</t>
    <phoneticPr fontId="6" type="noConversion"/>
  </si>
  <si>
    <r>
      <rPr>
        <sz val="12"/>
        <color theme="1"/>
        <rFont val="標楷體"/>
        <family val="4"/>
        <charset val="136"/>
      </rPr>
      <t>保險費率</t>
    </r>
    <r>
      <rPr>
        <sz val="12"/>
        <color theme="1"/>
        <rFont val="Times New Roman"/>
        <family val="1"/>
      </rPr>
      <t>11%</t>
    </r>
    <r>
      <rPr>
        <sz val="12"/>
        <color theme="1"/>
        <rFont val="標楷體"/>
        <family val="4"/>
        <charset val="136"/>
      </rPr>
      <t>，係依照</t>
    </r>
    <r>
      <rPr>
        <sz val="12"/>
        <color theme="1"/>
        <rFont val="Times New Roman"/>
        <family val="1"/>
      </rPr>
      <t>98</t>
    </r>
    <r>
      <rPr>
        <sz val="12"/>
        <color theme="1"/>
        <rFont val="標楷體"/>
        <family val="4"/>
        <charset val="136"/>
      </rPr>
      <t>年修正施行之勞工保險條例第</t>
    </r>
    <r>
      <rPr>
        <sz val="12"/>
        <color theme="1"/>
        <rFont val="Times New Roman"/>
        <family val="1"/>
      </rPr>
      <t>13</t>
    </r>
    <r>
      <rPr>
        <sz val="12"/>
        <color theme="1"/>
        <rFont val="標楷體"/>
        <family val="4"/>
        <charset val="136"/>
      </rPr>
      <t>條規定，保險費率於施行後第</t>
    </r>
    <r>
      <rPr>
        <sz val="12"/>
        <color theme="1"/>
        <rFont val="Times New Roman"/>
        <family val="1"/>
      </rPr>
      <t>3</t>
    </r>
    <r>
      <rPr>
        <sz val="12"/>
        <color theme="1"/>
        <rFont val="標楷體"/>
        <family val="4"/>
        <charset val="136"/>
      </rPr>
      <t>年調高</t>
    </r>
    <r>
      <rPr>
        <sz val="12"/>
        <color theme="1"/>
        <rFont val="Times New Roman"/>
        <family val="1"/>
      </rPr>
      <t>0.5%</t>
    </r>
    <r>
      <rPr>
        <sz val="12"/>
        <color theme="1"/>
        <rFont val="標楷體"/>
        <family val="4"/>
        <charset val="136"/>
      </rPr>
      <t>，其後每年調高</t>
    </r>
    <r>
      <rPr>
        <sz val="12"/>
        <color theme="1"/>
        <rFont val="Times New Roman"/>
        <family val="1"/>
      </rPr>
      <t>0.5%</t>
    </r>
    <r>
      <rPr>
        <sz val="12"/>
        <color theme="1"/>
        <rFont val="標楷體"/>
        <family val="4"/>
        <charset val="136"/>
      </rPr>
      <t>至費率為</t>
    </r>
    <r>
      <rPr>
        <sz val="12"/>
        <color theme="1"/>
        <rFont val="Times New Roman"/>
        <family val="1"/>
      </rPr>
      <t>10%</t>
    </r>
    <r>
      <rPr>
        <sz val="12"/>
        <color theme="1"/>
        <rFont val="標楷體"/>
        <family val="4"/>
        <charset val="136"/>
      </rPr>
      <t>，並自</t>
    </r>
    <r>
      <rPr>
        <sz val="12"/>
        <color theme="1"/>
        <rFont val="Times New Roman"/>
        <family val="1"/>
      </rPr>
      <t>10%</t>
    </r>
    <r>
      <rPr>
        <sz val="12"/>
        <color theme="1"/>
        <rFont val="標楷體"/>
        <family val="4"/>
        <charset val="136"/>
      </rPr>
      <t>當年起，每兩年調高</t>
    </r>
    <r>
      <rPr>
        <sz val="12"/>
        <color theme="1"/>
        <rFont val="Times New Roman"/>
        <family val="1"/>
      </rPr>
      <t>0.5%</t>
    </r>
    <r>
      <rPr>
        <sz val="12"/>
        <color theme="1"/>
        <rFont val="標楷體"/>
        <family val="4"/>
        <charset val="136"/>
      </rPr>
      <t>至上限</t>
    </r>
    <r>
      <rPr>
        <sz val="12"/>
        <color theme="1"/>
        <rFont val="Times New Roman"/>
        <family val="1"/>
      </rPr>
      <t>13%(</t>
    </r>
    <r>
      <rPr>
        <sz val="12"/>
        <color theme="1"/>
        <rFont val="標楷體"/>
        <family val="4"/>
        <charset val="136"/>
      </rPr>
      <t>依就業保險法第</t>
    </r>
    <r>
      <rPr>
        <sz val="12"/>
        <color theme="1"/>
        <rFont val="Times New Roman"/>
        <family val="1"/>
      </rPr>
      <t>41</t>
    </r>
    <r>
      <rPr>
        <sz val="12"/>
        <color theme="1"/>
        <rFont val="標楷體"/>
        <family val="4"/>
        <charset val="136"/>
      </rPr>
      <t>條規定，勞工保險保險費率</t>
    </r>
    <r>
      <rPr>
        <sz val="12"/>
        <color theme="1"/>
        <rFont val="Times New Roman"/>
        <family val="1"/>
      </rPr>
      <t>1%</t>
    </r>
    <r>
      <rPr>
        <sz val="12"/>
        <color theme="1"/>
        <rFont val="標楷體"/>
        <family val="4"/>
        <charset val="136"/>
      </rPr>
      <t>移作就業保險之費率</t>
    </r>
    <r>
      <rPr>
        <sz val="12"/>
        <color theme="1"/>
        <rFont val="Times New Roman"/>
        <family val="1"/>
      </rPr>
      <t>)</t>
    </r>
    <r>
      <rPr>
        <sz val="12"/>
        <color theme="1"/>
        <rFont val="標楷體"/>
        <family val="4"/>
        <charset val="136"/>
      </rPr>
      <t>編列。</t>
    </r>
    <phoneticPr fontId="6" type="noConversion"/>
  </si>
  <si>
    <r>
      <t xml:space="preserve">
</t>
    </r>
    <r>
      <rPr>
        <sz val="12"/>
        <rFont val="標楷體"/>
        <family val="4"/>
        <charset val="136"/>
      </rPr>
      <t>係依據</t>
    </r>
    <r>
      <rPr>
        <sz val="12"/>
        <rFont val="Times New Roman"/>
        <family val="1"/>
      </rPr>
      <t>92</t>
    </r>
    <r>
      <rPr>
        <sz val="12"/>
        <rFont val="標楷體"/>
        <family val="4"/>
        <charset val="136"/>
      </rPr>
      <t>年</t>
    </r>
    <r>
      <rPr>
        <sz val="12"/>
        <rFont val="Times New Roman"/>
        <family val="1"/>
      </rPr>
      <t>1</t>
    </r>
    <r>
      <rPr>
        <sz val="12"/>
        <rFont val="標楷體"/>
        <family val="4"/>
        <charset val="136"/>
      </rPr>
      <t>月</t>
    </r>
    <r>
      <rPr>
        <sz val="12"/>
        <rFont val="Times New Roman"/>
        <family val="1"/>
      </rPr>
      <t>20</t>
    </r>
    <r>
      <rPr>
        <sz val="12"/>
        <rFont val="標楷體"/>
        <family val="4"/>
        <charset val="136"/>
      </rPr>
      <t>日總統華總一義字第</t>
    </r>
    <r>
      <rPr>
        <sz val="12"/>
        <rFont val="Times New Roman"/>
        <family val="1"/>
      </rPr>
      <t>09200012650</t>
    </r>
    <r>
      <rPr>
        <sz val="12"/>
        <rFont val="標楷體"/>
        <family val="4"/>
        <charset val="136"/>
      </rPr>
      <t>號令修正公布勞工保險條例第</t>
    </r>
    <r>
      <rPr>
        <sz val="12"/>
        <rFont val="Times New Roman"/>
        <family val="1"/>
      </rPr>
      <t>67</t>
    </r>
    <r>
      <rPr>
        <sz val="12"/>
        <rFont val="標楷體"/>
        <family val="4"/>
        <charset val="136"/>
      </rPr>
      <t>條，被保險人向勞保基金貸款。</t>
    </r>
    <r>
      <rPr>
        <sz val="12"/>
        <rFont val="Times New Roman"/>
        <family val="1"/>
      </rPr>
      <t xml:space="preserve"> 
</t>
    </r>
    <phoneticPr fontId="6" type="noConversion"/>
  </si>
  <si>
    <r>
      <rPr>
        <sz val="12"/>
        <rFont val="標楷體"/>
        <family val="4"/>
        <charset val="136"/>
      </rPr>
      <t>係增加短期債務</t>
    </r>
    <r>
      <rPr>
        <sz val="12"/>
        <rFont val="Times New Roman"/>
        <family val="1"/>
      </rPr>
      <t>1,607,000</t>
    </r>
    <r>
      <rPr>
        <sz val="12"/>
        <rFont val="標楷體"/>
        <family val="4"/>
        <charset val="136"/>
      </rPr>
      <t>千元。</t>
    </r>
    <phoneticPr fontId="6" type="noConversion"/>
  </si>
  <si>
    <r>
      <rPr>
        <sz val="12"/>
        <rFont val="標楷體"/>
        <family val="4"/>
        <charset val="136"/>
      </rPr>
      <t>係農保及農職保業務增加短期債務</t>
    </r>
    <r>
      <rPr>
        <sz val="12"/>
        <rFont val="Times New Roman"/>
        <family val="1"/>
      </rPr>
      <t>1,607,000</t>
    </r>
    <r>
      <rPr>
        <sz val="12"/>
        <rFont val="標楷體"/>
        <family val="4"/>
        <charset val="136"/>
      </rPr>
      <t>千元。</t>
    </r>
    <phoneticPr fontId="6" type="noConversion"/>
  </si>
  <si>
    <r>
      <t>係增加無形資產</t>
    </r>
    <r>
      <rPr>
        <sz val="12"/>
        <rFont val="Times New Roman"/>
        <family val="1"/>
      </rPr>
      <t>12,000</t>
    </r>
    <r>
      <rPr>
        <sz val="12"/>
        <rFont val="標楷體"/>
        <family val="4"/>
        <charset val="136"/>
      </rPr>
      <t>千元。</t>
    </r>
    <phoneticPr fontId="6" type="noConversion"/>
  </si>
  <si>
    <r>
      <rPr>
        <sz val="12"/>
        <rFont val="標楷體"/>
        <family val="4"/>
        <charset val="136"/>
      </rPr>
      <t>係勞職保及保護業務增加無形資產</t>
    </r>
    <r>
      <rPr>
        <sz val="12"/>
        <rFont val="Times New Roman"/>
        <family val="1"/>
      </rPr>
      <t>12,000</t>
    </r>
    <r>
      <rPr>
        <sz val="12"/>
        <rFont val="標楷體"/>
        <family val="4"/>
        <charset val="136"/>
      </rPr>
      <t>千元。</t>
    </r>
    <phoneticPr fontId="6" type="noConversion"/>
  </si>
  <si>
    <r>
      <t>4.</t>
    </r>
    <r>
      <rPr>
        <sz val="12"/>
        <rFont val="標楷體"/>
        <family val="4"/>
        <charset val="136"/>
      </rPr>
      <t>流動資產淨減</t>
    </r>
    <phoneticPr fontId="6" type="noConversion"/>
  </si>
  <si>
    <r>
      <t>5.</t>
    </r>
    <r>
      <rPr>
        <sz val="12"/>
        <rFont val="標楷體"/>
        <family val="4"/>
        <charset val="136"/>
      </rPr>
      <t>流動負債淨減</t>
    </r>
    <phoneticPr fontId="6" type="noConversion"/>
  </si>
  <si>
    <t>註：1.配合111年5月1日「勞工職業災害保險及保護法」施行，原列於「勞工保險業務」項下職業災害保險及「職業災害勞工保護業務」整併至「勞
      工職業災害保險及保護業務」，為利比較，以前年度決算數為科目重分類之數。以下各表同。
    2.百分比及前年度決算數細數之和與總數或略有出入，係四捨五入關係。以下各表同。</t>
    <phoneticPr fontId="6" type="noConversion"/>
  </si>
  <si>
    <r>
      <t>係依據勞工職業災害保險及保護法第</t>
    </r>
    <r>
      <rPr>
        <sz val="12"/>
        <color theme="1"/>
        <rFont val="Times New Roman"/>
        <family val="1"/>
      </rPr>
      <t>36</t>
    </r>
    <r>
      <rPr>
        <sz val="12"/>
        <color theme="1"/>
        <rFont val="標楷體"/>
        <family val="4"/>
        <charset val="136"/>
      </rPr>
      <t>條規定，投保單位未依規定辦理投保、退保手續，保險人發給保險給付後，以書面行政處分，令其限期繳納之收入。</t>
    </r>
    <phoneticPr fontId="6" type="noConversion"/>
  </si>
  <si>
    <t xml:space="preserve">      債務證券</t>
  </si>
  <si>
    <t xml:space="preserve"> 　　   國內投資</t>
    <phoneticPr fontId="6" type="noConversion"/>
  </si>
  <si>
    <t xml:space="preserve"> 　     國外投資</t>
    <phoneticPr fontId="6" type="noConversion"/>
  </si>
  <si>
    <t xml:space="preserve"> 　     國內投資</t>
    <phoneticPr fontId="6" type="noConversion"/>
  </si>
  <si>
    <r>
      <rPr>
        <sz val="12"/>
        <rFont val="標楷體"/>
        <family val="4"/>
        <charset val="136"/>
      </rPr>
      <t>係依投保人數</t>
    </r>
    <r>
      <rPr>
        <sz val="12"/>
        <rFont val="Times New Roman"/>
        <family val="1"/>
      </rPr>
      <t>1,053</t>
    </r>
    <r>
      <rPr>
        <sz val="12"/>
        <rFont val="標楷體"/>
        <family val="4"/>
        <charset val="136"/>
      </rPr>
      <t>萬人、平均月投保薪資</t>
    </r>
    <r>
      <rPr>
        <sz val="12"/>
        <rFont val="Times New Roman"/>
        <family val="1"/>
      </rPr>
      <t>34,700</t>
    </r>
    <r>
      <rPr>
        <sz val="12"/>
        <rFont val="標楷體"/>
        <family val="4"/>
        <charset val="136"/>
      </rPr>
      <t>元及保險費率</t>
    </r>
    <r>
      <rPr>
        <sz val="12"/>
        <rFont val="Times New Roman"/>
        <family val="1"/>
      </rPr>
      <t>11%</t>
    </r>
    <r>
      <rPr>
        <sz val="12"/>
        <rFont val="標楷體"/>
        <family val="4"/>
        <charset val="136"/>
      </rPr>
      <t>估算。</t>
    </r>
    <phoneticPr fontId="6" type="noConversion"/>
  </si>
  <si>
    <r>
      <rPr>
        <sz val="12"/>
        <rFont val="標楷體"/>
        <family val="4"/>
        <charset val="136"/>
      </rPr>
      <t>係依投保人數</t>
    </r>
    <r>
      <rPr>
        <sz val="12"/>
        <rFont val="Times New Roman"/>
        <family val="1"/>
      </rPr>
      <t>740</t>
    </r>
    <r>
      <rPr>
        <sz val="12"/>
        <rFont val="標楷體"/>
        <family val="4"/>
        <charset val="136"/>
      </rPr>
      <t>萬人、平均月投保薪資</t>
    </r>
    <r>
      <rPr>
        <sz val="12"/>
        <rFont val="Times New Roman"/>
        <family val="1"/>
      </rPr>
      <t>36,100</t>
    </r>
    <r>
      <rPr>
        <sz val="12"/>
        <rFont val="標楷體"/>
        <family val="4"/>
        <charset val="136"/>
      </rPr>
      <t>元及保險費率</t>
    </r>
    <r>
      <rPr>
        <sz val="12"/>
        <rFont val="Times New Roman"/>
        <family val="1"/>
      </rPr>
      <t>1%</t>
    </r>
    <r>
      <rPr>
        <sz val="12"/>
        <rFont val="標楷體"/>
        <family val="4"/>
        <charset val="136"/>
      </rPr>
      <t>估算。</t>
    </r>
    <phoneticPr fontId="6" type="noConversion"/>
  </si>
  <si>
    <r>
      <rPr>
        <sz val="12"/>
        <rFont val="標楷體"/>
        <family val="4"/>
        <charset val="136"/>
      </rPr>
      <t>係本年度農職保，收支短絀為</t>
    </r>
    <r>
      <rPr>
        <sz val="12"/>
        <rFont val="Times New Roman"/>
        <family val="1"/>
      </rPr>
      <t>73,782</t>
    </r>
    <r>
      <rPr>
        <sz val="12"/>
        <rFont val="標楷體"/>
        <family val="4"/>
        <charset val="136"/>
      </rPr>
      <t>千元，悉數由以前年度累積之提存責任準備彌平。</t>
    </r>
    <phoneticPr fontId="6" type="noConversion"/>
  </si>
  <si>
    <r>
      <rPr>
        <sz val="12"/>
        <rFont val="標楷體"/>
        <family val="4"/>
        <charset val="136"/>
      </rPr>
      <t>係依投保人數</t>
    </r>
    <r>
      <rPr>
        <sz val="12"/>
        <rFont val="Times New Roman"/>
        <family val="1"/>
      </rPr>
      <t>1,129</t>
    </r>
    <r>
      <rPr>
        <sz val="12"/>
        <rFont val="標楷體"/>
        <family val="4"/>
        <charset val="136"/>
      </rPr>
      <t>萬人、平均月投保薪資</t>
    </r>
    <r>
      <rPr>
        <sz val="12"/>
        <rFont val="Times New Roman"/>
        <family val="1"/>
      </rPr>
      <t>39,200</t>
    </r>
    <r>
      <rPr>
        <sz val="12"/>
        <rFont val="標楷體"/>
        <family val="4"/>
        <charset val="136"/>
      </rPr>
      <t>元及平均費率</t>
    </r>
    <r>
      <rPr>
        <sz val="12"/>
        <rFont val="Times New Roman"/>
        <family val="1"/>
      </rPr>
      <t>0.19%</t>
    </r>
    <r>
      <rPr>
        <sz val="12"/>
        <rFont val="標楷體"/>
        <family val="4"/>
        <charset val="136"/>
      </rPr>
      <t>估算。</t>
    </r>
    <phoneticPr fontId="6" type="noConversion"/>
  </si>
  <si>
    <r>
      <rPr>
        <sz val="12"/>
        <rFont val="標楷體"/>
        <family val="4"/>
        <charset val="136"/>
      </rPr>
      <t>本科目勞動部勞工保險局辦理</t>
    </r>
    <r>
      <rPr>
        <sz val="12"/>
        <rFont val="Times New Roman"/>
        <family val="1"/>
      </rPr>
      <t>326,485</t>
    </r>
    <r>
      <rPr>
        <sz val="12"/>
        <rFont val="標楷體"/>
        <family val="4"/>
        <charset val="136"/>
      </rPr>
      <t>千元；勞動部職業安全衛生署辦理</t>
    </r>
    <r>
      <rPr>
        <sz val="12"/>
        <rFont val="Times New Roman"/>
        <family val="1"/>
      </rPr>
      <t>1,770</t>
    </r>
    <r>
      <rPr>
        <sz val="12"/>
        <rFont val="標楷體"/>
        <family val="4"/>
        <charset val="136"/>
      </rPr>
      <t>千元。</t>
    </r>
    <phoneticPr fontId="6" type="noConversion"/>
  </si>
  <si>
    <r>
      <rPr>
        <sz val="12"/>
        <rFont val="標楷體"/>
        <family val="4"/>
        <charset val="136"/>
      </rPr>
      <t>編列</t>
    </r>
    <r>
      <rPr>
        <sz val="12"/>
        <rFont val="Times New Roman"/>
        <family val="1"/>
      </rPr>
      <t>2,550</t>
    </r>
    <r>
      <rPr>
        <sz val="12"/>
        <rFont val="標楷體"/>
        <family val="4"/>
        <charset val="136"/>
      </rPr>
      <t>千元，係基金投資不動產之房屋修護費用等。</t>
    </r>
    <phoneticPr fontId="6" type="noConversion"/>
  </si>
  <si>
    <r>
      <rPr>
        <sz val="12"/>
        <rFont val="標楷體"/>
        <family val="4"/>
        <charset val="136"/>
      </rPr>
      <t>編列</t>
    </r>
    <r>
      <rPr>
        <sz val="12"/>
        <rFont val="Times New Roman"/>
        <family val="1"/>
      </rPr>
      <t>2</t>
    </r>
    <r>
      <rPr>
        <sz val="12"/>
        <rFont val="標楷體"/>
        <family val="4"/>
        <charset val="136"/>
      </rPr>
      <t>千元，係基金投資不動產之房屋稅。</t>
    </r>
    <phoneticPr fontId="6" type="noConversion"/>
  </si>
  <si>
    <r>
      <rPr>
        <sz val="12"/>
        <rFont val="標楷體"/>
        <family val="4"/>
        <charset val="136"/>
      </rPr>
      <t>編列</t>
    </r>
    <r>
      <rPr>
        <sz val="12"/>
        <rFont val="Times New Roman"/>
        <family val="1"/>
      </rPr>
      <t>161</t>
    </r>
    <r>
      <rPr>
        <sz val="12"/>
        <rFont val="標楷體"/>
        <family val="4"/>
        <charset val="136"/>
      </rPr>
      <t>千元，係基金投資不動產之其他費用。</t>
    </r>
    <phoneticPr fontId="6" type="noConversion"/>
  </si>
  <si>
    <r>
      <t>編列</t>
    </r>
    <r>
      <rPr>
        <sz val="12"/>
        <rFont val="Times New Roman"/>
        <family val="1"/>
      </rPr>
      <t>581</t>
    </r>
    <r>
      <rPr>
        <sz val="12"/>
        <rFont val="標楷體"/>
        <family val="4"/>
        <charset val="136"/>
      </rPr>
      <t>千元，係短期票券帳戶維護費等。</t>
    </r>
    <phoneticPr fontId="6" type="noConversion"/>
  </si>
  <si>
    <r>
      <rPr>
        <sz val="12"/>
        <rFont val="標楷體"/>
        <family val="4"/>
        <charset val="136"/>
      </rPr>
      <t>編列</t>
    </r>
    <r>
      <rPr>
        <sz val="12"/>
        <rFont val="Times New Roman"/>
        <family val="1"/>
      </rPr>
      <t>671,794</t>
    </r>
    <r>
      <rPr>
        <sz val="12"/>
        <rFont val="標楷體"/>
        <family val="4"/>
        <charset val="136"/>
      </rPr>
      <t>千元，係按其他應收款及催收款項餘額依回收情況提列呆帳。</t>
    </r>
    <phoneticPr fontId="6" type="noConversion"/>
  </si>
  <si>
    <r>
      <rPr>
        <sz val="12"/>
        <color theme="1"/>
        <rFont val="標楷體"/>
        <family val="4"/>
        <charset val="136"/>
      </rPr>
      <t>編列</t>
    </r>
    <r>
      <rPr>
        <sz val="12"/>
        <color theme="1"/>
        <rFont val="Times New Roman"/>
        <family val="1"/>
      </rPr>
      <t>24,949,551</t>
    </r>
    <r>
      <rPr>
        <sz val="12"/>
        <color theme="1"/>
        <rFont val="標楷體"/>
        <family val="4"/>
        <charset val="136"/>
      </rPr>
      <t>千元，係參考以前年度相關給付、津貼執行情形，包含失業給付、提早就業獎助津貼、職業訓練生活津貼、育嬰留職停薪津貼及補助全民健保費，詳第</t>
    </r>
    <r>
      <rPr>
        <sz val="12"/>
        <color theme="1"/>
        <rFont val="Times New Roman"/>
        <family val="1"/>
      </rPr>
      <t>76</t>
    </r>
    <r>
      <rPr>
        <sz val="12"/>
        <color theme="1"/>
        <rFont val="標楷體"/>
        <family val="4"/>
        <charset val="136"/>
      </rPr>
      <t>頁保險給付分析表。</t>
    </r>
    <phoneticPr fontId="6" type="noConversion"/>
  </si>
  <si>
    <r>
      <rPr>
        <sz val="12"/>
        <rFont val="標楷體"/>
        <family val="4"/>
        <charset val="136"/>
      </rPr>
      <t>編列</t>
    </r>
    <r>
      <rPr>
        <sz val="12"/>
        <rFont val="Times New Roman"/>
        <family val="1"/>
      </rPr>
      <t>35,853</t>
    </r>
    <r>
      <rPr>
        <sz val="12"/>
        <rFont val="標楷體"/>
        <family val="4"/>
        <charset val="136"/>
      </rPr>
      <t>千元，係按其他應收款及催收款項餘額依回收情況提列呆帳。</t>
    </r>
    <phoneticPr fontId="6" type="noConversion"/>
  </si>
  <si>
    <r>
      <rPr>
        <sz val="12"/>
        <color theme="1"/>
        <rFont val="標楷體"/>
        <family val="4"/>
        <charset val="136"/>
      </rPr>
      <t>編列</t>
    </r>
    <r>
      <rPr>
        <sz val="12"/>
        <color theme="1"/>
        <rFont val="Times New Roman"/>
        <family val="1"/>
      </rPr>
      <t>11,126,966</t>
    </r>
    <r>
      <rPr>
        <sz val="12"/>
        <color theme="1"/>
        <rFont val="標楷體"/>
        <family val="4"/>
        <charset val="136"/>
      </rPr>
      <t>千元，係參考以前年度統計資料預估各項給付發生率及單價等因素，詳第</t>
    </r>
    <r>
      <rPr>
        <sz val="12"/>
        <color theme="1"/>
        <rFont val="Times New Roman"/>
        <family val="1"/>
      </rPr>
      <t>76~77</t>
    </r>
    <r>
      <rPr>
        <sz val="12"/>
        <color theme="1"/>
        <rFont val="標楷體"/>
        <family val="4"/>
        <charset val="136"/>
      </rPr>
      <t>頁保險給付分析表，其中：</t>
    </r>
    <phoneticPr fontId="6" type="noConversion"/>
  </si>
  <si>
    <r>
      <rPr>
        <sz val="12"/>
        <rFont val="標楷體"/>
        <family val="4"/>
        <charset val="136"/>
      </rPr>
      <t>農保：編列</t>
    </r>
    <r>
      <rPr>
        <sz val="12"/>
        <rFont val="Times New Roman"/>
        <family val="1"/>
      </rPr>
      <t>10,888,472</t>
    </r>
    <r>
      <rPr>
        <sz val="12"/>
        <rFont val="標楷體"/>
        <family val="4"/>
        <charset val="136"/>
      </rPr>
      <t>千元，主要包含生育給付、身心障礙給付及喪葬津貼。</t>
    </r>
    <phoneticPr fontId="6" type="noConversion"/>
  </si>
  <si>
    <r>
      <rPr>
        <sz val="12"/>
        <rFont val="標楷體"/>
        <family val="4"/>
        <charset val="136"/>
      </rPr>
      <t>農職保：編列</t>
    </r>
    <r>
      <rPr>
        <sz val="12"/>
        <rFont val="Times New Roman"/>
        <family val="1"/>
      </rPr>
      <t>238,494</t>
    </r>
    <r>
      <rPr>
        <sz val="12"/>
        <rFont val="標楷體"/>
        <family val="4"/>
        <charset val="136"/>
      </rPr>
      <t>千元，主要包含傷病給付、身心障礙給付、就醫津貼及喪葬津貼。</t>
    </r>
    <phoneticPr fontId="6" type="noConversion"/>
  </si>
  <si>
    <r>
      <t>編列</t>
    </r>
    <r>
      <rPr>
        <sz val="12"/>
        <rFont val="Times New Roman"/>
        <family val="1"/>
      </rPr>
      <t>5,280</t>
    </r>
    <r>
      <rPr>
        <sz val="12"/>
        <rFont val="標楷體"/>
        <family val="4"/>
        <charset val="136"/>
      </rPr>
      <t>千元，係農保按催收款項餘額依回收情況提列呆帳。</t>
    </r>
    <phoneticPr fontId="6" type="noConversion"/>
  </si>
  <si>
    <r>
      <rPr>
        <sz val="12"/>
        <color theme="1"/>
        <rFont val="標楷體"/>
        <family val="4"/>
        <charset val="136"/>
      </rPr>
      <t>編列</t>
    </r>
    <r>
      <rPr>
        <sz val="12"/>
        <color theme="1"/>
        <rFont val="Times New Roman"/>
        <family val="1"/>
      </rPr>
      <t>7,664,166</t>
    </r>
    <r>
      <rPr>
        <sz val="12"/>
        <color theme="1"/>
        <rFont val="標楷體"/>
        <family val="4"/>
        <charset val="136"/>
      </rPr>
      <t>千元，詳第</t>
    </r>
    <r>
      <rPr>
        <sz val="12"/>
        <color theme="1"/>
        <rFont val="Times New Roman"/>
        <family val="1"/>
      </rPr>
      <t>77~80</t>
    </r>
    <r>
      <rPr>
        <sz val="12"/>
        <color theme="1"/>
        <rFont val="標楷體"/>
        <family val="4"/>
        <charset val="136"/>
      </rPr>
      <t>頁保險給付分析表，其中：</t>
    </r>
    <phoneticPr fontId="6" type="noConversion"/>
  </si>
  <si>
    <r>
      <t>編列</t>
    </r>
    <r>
      <rPr>
        <sz val="12"/>
        <rFont val="Times New Roman"/>
        <family val="1"/>
      </rPr>
      <t>32,620</t>
    </r>
    <r>
      <rPr>
        <sz val="12"/>
        <rFont val="標楷體"/>
        <family val="4"/>
        <charset val="136"/>
      </rPr>
      <t>千元，係按其他應收款及催收款項餘額依回收情況提列呆帳。</t>
    </r>
    <phoneticPr fontId="6" type="noConversion"/>
  </si>
  <si>
    <t>本科目全數由勞動部勞動基金運用局辦理。</t>
    <phoneticPr fontId="6" type="noConversion"/>
  </si>
  <si>
    <t xml:space="preserve"> </t>
    <phoneticPr fontId="6" type="noConversion"/>
  </si>
  <si>
    <r>
      <rPr>
        <sz val="12"/>
        <rFont val="標楷體"/>
        <family val="4"/>
        <charset val="136"/>
      </rPr>
      <t>台北市中正區中正段</t>
    </r>
    <r>
      <rPr>
        <sz val="12"/>
        <rFont val="Times New Roman"/>
        <family val="1"/>
      </rPr>
      <t>2</t>
    </r>
    <r>
      <rPr>
        <sz val="12"/>
        <rFont val="標楷體"/>
        <family val="4"/>
        <charset val="136"/>
      </rPr>
      <t>小段</t>
    </r>
    <r>
      <rPr>
        <sz val="12"/>
        <rFont val="Times New Roman"/>
        <family val="1"/>
      </rPr>
      <t>119</t>
    </r>
    <r>
      <rPr>
        <sz val="12"/>
        <rFont val="標楷體"/>
        <family val="4"/>
        <charset val="136"/>
      </rPr>
      <t>等地號</t>
    </r>
    <phoneticPr fontId="6" type="noConversion"/>
  </si>
  <si>
    <r>
      <rPr>
        <sz val="12"/>
        <color theme="1"/>
        <rFont val="標楷體"/>
        <family val="4"/>
        <charset val="136"/>
      </rPr>
      <t>編列</t>
    </r>
    <r>
      <rPr>
        <sz val="12"/>
        <color theme="1"/>
        <rFont val="Times New Roman"/>
        <family val="1"/>
      </rPr>
      <t>543,211,117</t>
    </r>
    <r>
      <rPr>
        <sz val="12"/>
        <color theme="1"/>
        <rFont val="標楷體"/>
        <family val="4"/>
        <charset val="136"/>
      </rPr>
      <t>千元，係參考以前年度統計資料預估各項給付事故、發生率及單價等因素，主要包含生育、傷病、失能、老年及死亡五項給付，詳第</t>
    </r>
    <r>
      <rPr>
        <sz val="12"/>
        <color theme="1"/>
        <rFont val="Times New Roman"/>
        <family val="1"/>
      </rPr>
      <t>75</t>
    </r>
    <r>
      <rPr>
        <sz val="12"/>
        <color theme="1"/>
        <rFont val="標楷體"/>
        <family val="4"/>
        <charset val="136"/>
      </rPr>
      <t>頁保險給付分析表</t>
    </r>
    <r>
      <rPr>
        <sz val="12"/>
        <color theme="1"/>
        <rFont val="新細明體"/>
        <family val="4"/>
        <charset val="136"/>
      </rPr>
      <t>。</t>
    </r>
    <phoneticPr fontId="6" type="noConversion"/>
  </si>
  <si>
    <r>
      <rPr>
        <sz val="12"/>
        <rFont val="標楷體"/>
        <family val="4"/>
        <charset val="136"/>
      </rPr>
      <t>編列</t>
    </r>
    <r>
      <rPr>
        <sz val="12"/>
        <rFont val="Times New Roman"/>
        <family val="1"/>
      </rPr>
      <t>5,010,180</t>
    </r>
    <r>
      <rPr>
        <sz val="12"/>
        <rFont val="標楷體"/>
        <family val="4"/>
        <charset val="136"/>
      </rPr>
      <t>千元，係就業保險收入減支出後之餘額，悉數轉列提存責任準備。</t>
    </r>
    <phoneticPr fontId="6" type="noConversion"/>
  </si>
  <si>
    <r>
      <rPr>
        <sz val="12"/>
        <rFont val="標楷體"/>
        <family val="4"/>
        <charset val="136"/>
      </rPr>
      <t>編列</t>
    </r>
    <r>
      <rPr>
        <sz val="12"/>
        <rFont val="Times New Roman"/>
        <family val="1"/>
      </rPr>
      <t>4,459,467</t>
    </r>
    <r>
      <rPr>
        <sz val="12"/>
        <rFont val="標楷體"/>
        <family val="4"/>
        <charset val="136"/>
      </rPr>
      <t>千元，由勞動部及所屬機關辦理，係依就業保險法第</t>
    </r>
    <r>
      <rPr>
        <sz val="12"/>
        <rFont val="Times New Roman"/>
        <family val="1"/>
      </rPr>
      <t>12</t>
    </r>
    <r>
      <rPr>
        <sz val="12"/>
        <rFont val="標楷體"/>
        <family val="4"/>
        <charset val="136"/>
      </rPr>
      <t>條第</t>
    </r>
    <r>
      <rPr>
        <sz val="12"/>
        <rFont val="Times New Roman"/>
        <family val="1"/>
      </rPr>
      <t>3</t>
    </r>
    <r>
      <rPr>
        <sz val="12"/>
        <rFont val="標楷體"/>
        <family val="4"/>
        <charset val="136"/>
      </rPr>
      <t>項規定，辦理被保險人之在職訓練、被保險人失業後之職業訓練、創業協助及其他促進就業措施、被保險人之僱用安定措施、雇主僱用失業勞工之獎助等業務。</t>
    </r>
    <phoneticPr fontId="6" type="noConversion"/>
  </si>
  <si>
    <r>
      <t>編列</t>
    </r>
    <r>
      <rPr>
        <sz val="12"/>
        <rFont val="Times New Roman"/>
        <family val="1"/>
      </rPr>
      <t>389</t>
    </r>
    <r>
      <rPr>
        <sz val="12"/>
        <rFont val="標楷體"/>
        <family val="4"/>
        <charset val="136"/>
      </rPr>
      <t>千元，係郵費、電話費及數據通信費等。</t>
    </r>
    <phoneticPr fontId="6" type="noConversion"/>
  </si>
  <si>
    <r>
      <t>編列</t>
    </r>
    <r>
      <rPr>
        <sz val="12"/>
        <rFont val="Times New Roman"/>
        <family val="1"/>
      </rPr>
      <t>11,523</t>
    </r>
    <r>
      <rPr>
        <sz val="12"/>
        <rFont val="標楷體"/>
        <family val="4"/>
        <charset val="136"/>
      </rPr>
      <t>千元，係按國內出差旅費報支要點規定之國內旅費等。</t>
    </r>
    <phoneticPr fontId="6" type="noConversion"/>
  </si>
  <si>
    <r>
      <t>編列</t>
    </r>
    <r>
      <rPr>
        <sz val="12"/>
        <rFont val="Times New Roman"/>
        <family val="1"/>
      </rPr>
      <t>200</t>
    </r>
    <r>
      <rPr>
        <sz val="12"/>
        <rFont val="標楷體"/>
        <family val="4"/>
        <charset val="136"/>
      </rPr>
      <t>千元，係責任保險費等。</t>
    </r>
    <phoneticPr fontId="6" type="noConversion"/>
  </si>
  <si>
    <r>
      <t>編列</t>
    </r>
    <r>
      <rPr>
        <sz val="12"/>
        <rFont val="Times New Roman"/>
        <family val="1"/>
      </rPr>
      <t>354,995</t>
    </r>
    <r>
      <rPr>
        <sz val="12"/>
        <rFont val="標楷體"/>
        <family val="4"/>
        <charset val="136"/>
      </rPr>
      <t>千元，係辦理各項講習之講課鐘點費與邀請專家學者及採購評選委員之出席費、電腦軟體服務費等</t>
    </r>
    <r>
      <rPr>
        <sz val="12"/>
        <rFont val="Times New Roman"/>
        <family val="1"/>
      </rPr>
      <t>41,495</t>
    </r>
    <r>
      <rPr>
        <sz val="12"/>
        <rFont val="標楷體"/>
        <family val="4"/>
        <charset val="136"/>
      </rPr>
      <t>千元，以及預防職業病健康檢查</t>
    </r>
    <r>
      <rPr>
        <sz val="12"/>
        <rFont val="Times New Roman"/>
        <family val="1"/>
      </rPr>
      <t>313,500</t>
    </r>
    <r>
      <rPr>
        <sz val="12"/>
        <rFont val="標楷體"/>
        <family val="4"/>
        <charset val="136"/>
      </rPr>
      <t>千元。</t>
    </r>
    <phoneticPr fontId="6" type="noConversion"/>
  </si>
  <si>
    <r>
      <t>編列</t>
    </r>
    <r>
      <rPr>
        <sz val="12"/>
        <rFont val="Times New Roman"/>
        <family val="1"/>
      </rPr>
      <t>9,700</t>
    </r>
    <r>
      <rPr>
        <sz val="12"/>
        <rFont val="標楷體"/>
        <family val="4"/>
        <charset val="136"/>
      </rPr>
      <t>千元，係運用研究成果與配合產業特性或展示主題，製作勞動及安全衛生展品，進行多元化展示與推廣營造業防災及安全衛生意識等。</t>
    </r>
    <phoneticPr fontId="6" type="noConversion"/>
  </si>
  <si>
    <r>
      <t>編列</t>
    </r>
    <r>
      <rPr>
        <sz val="12"/>
        <rFont val="Times New Roman"/>
        <family val="1"/>
      </rPr>
      <t>450</t>
    </r>
    <r>
      <rPr>
        <sz val="12"/>
        <rFont val="標楷體"/>
        <family val="4"/>
        <charset val="136"/>
      </rPr>
      <t>千元，係租賃車輛之燃料等。</t>
    </r>
    <phoneticPr fontId="6" type="noConversion"/>
  </si>
  <si>
    <r>
      <t>編列</t>
    </r>
    <r>
      <rPr>
        <sz val="12"/>
        <rFont val="Times New Roman"/>
        <family val="1"/>
      </rPr>
      <t>2,859</t>
    </r>
    <r>
      <rPr>
        <sz val="12"/>
        <rFont val="標楷體"/>
        <family val="4"/>
        <charset val="136"/>
      </rPr>
      <t>千元，係各種辦公用品及其他雜支等。</t>
    </r>
    <phoneticPr fontId="6" type="noConversion"/>
  </si>
  <si>
    <r>
      <t>編列</t>
    </r>
    <r>
      <rPr>
        <sz val="12"/>
        <rFont val="Times New Roman"/>
        <family val="1"/>
      </rPr>
      <t>300</t>
    </r>
    <r>
      <rPr>
        <sz val="12"/>
        <rFont val="標楷體"/>
        <family val="4"/>
        <charset val="136"/>
      </rPr>
      <t>千元，係租賃室外場地等租金。</t>
    </r>
    <phoneticPr fontId="6" type="noConversion"/>
  </si>
  <si>
    <r>
      <t>編列</t>
    </r>
    <r>
      <rPr>
        <sz val="12"/>
        <rFont val="Times New Roman"/>
        <family val="1"/>
      </rPr>
      <t>1,952</t>
    </r>
    <r>
      <rPr>
        <sz val="12"/>
        <rFont val="標楷體"/>
        <family val="4"/>
        <charset val="136"/>
      </rPr>
      <t>千元，係租賃室內活動場地等租金。</t>
    </r>
    <phoneticPr fontId="6" type="noConversion"/>
  </si>
  <si>
    <r>
      <t>編列</t>
    </r>
    <r>
      <rPr>
        <sz val="12"/>
        <rFont val="Times New Roman"/>
        <family val="1"/>
      </rPr>
      <t>950</t>
    </r>
    <r>
      <rPr>
        <sz val="12"/>
        <rFont val="標楷體"/>
        <family val="4"/>
        <charset val="136"/>
      </rPr>
      <t>千元，係租賃機械及設備等租金。</t>
    </r>
    <phoneticPr fontId="6" type="noConversion"/>
  </si>
  <si>
    <r>
      <t>編列</t>
    </r>
    <r>
      <rPr>
        <sz val="12"/>
        <rFont val="Times New Roman"/>
        <family val="1"/>
      </rPr>
      <t>4,100</t>
    </r>
    <r>
      <rPr>
        <sz val="12"/>
        <rFont val="標楷體"/>
        <family val="4"/>
        <charset val="136"/>
      </rPr>
      <t>千元，係租賃檢查車輛租金。</t>
    </r>
    <phoneticPr fontId="6" type="noConversion"/>
  </si>
  <si>
    <r>
      <t>編列</t>
    </r>
    <r>
      <rPr>
        <sz val="12"/>
        <rFont val="Times New Roman"/>
        <family val="1"/>
      </rPr>
      <t>600</t>
    </r>
    <r>
      <rPr>
        <sz val="12"/>
        <rFont val="標楷體"/>
        <family val="4"/>
        <charset val="136"/>
      </rPr>
      <t>千元，係租賃防護及機具等什項設備租金。</t>
    </r>
    <phoneticPr fontId="6" type="noConversion"/>
  </si>
  <si>
    <t>　　  折舊、折耗及攤銷</t>
    <phoneticPr fontId="6" type="noConversion"/>
  </si>
  <si>
    <t>　　　  攤銷</t>
    <phoneticPr fontId="6" type="noConversion"/>
  </si>
  <si>
    <t>　　    攤銷</t>
    <phoneticPr fontId="6" type="noConversion"/>
  </si>
  <si>
    <r>
      <t>編列</t>
    </r>
    <r>
      <rPr>
        <sz val="12"/>
        <rFont val="Times New Roman"/>
        <family val="1"/>
      </rPr>
      <t>4,858</t>
    </r>
    <r>
      <rPr>
        <sz val="12"/>
        <rFont val="標楷體"/>
        <family val="4"/>
        <charset val="136"/>
      </rPr>
      <t>千元，係無形資產之攤銷費用。</t>
    </r>
    <phoneticPr fontId="6" type="noConversion"/>
  </si>
  <si>
    <r>
      <rPr>
        <sz val="12"/>
        <rFont val="標楷體"/>
        <family val="4"/>
        <charset val="136"/>
      </rPr>
      <t>係應付保管款滿</t>
    </r>
    <r>
      <rPr>
        <sz val="12"/>
        <rFont val="Times New Roman"/>
        <family val="1"/>
      </rPr>
      <t>4</t>
    </r>
    <r>
      <rPr>
        <sz val="12"/>
        <rFont val="標楷體"/>
        <family val="4"/>
        <charset val="136"/>
      </rPr>
      <t>年轉雜項收入後再提出申請編列</t>
    </r>
    <r>
      <rPr>
        <sz val="12"/>
        <rFont val="Times New Roman"/>
        <family val="1"/>
      </rPr>
      <t>2,011</t>
    </r>
    <r>
      <rPr>
        <sz val="12"/>
        <rFont val="標楷體"/>
        <family val="4"/>
        <charset val="136"/>
      </rPr>
      <t>千元及依據勞動部改制前之行政院勞工委員會</t>
    </r>
    <r>
      <rPr>
        <sz val="12"/>
        <rFont val="Times New Roman"/>
        <family val="1"/>
      </rPr>
      <t>93</t>
    </r>
    <r>
      <rPr>
        <sz val="12"/>
        <rFont val="標楷體"/>
        <family val="4"/>
        <charset val="136"/>
      </rPr>
      <t>年</t>
    </r>
    <r>
      <rPr>
        <sz val="12"/>
        <rFont val="Times New Roman"/>
        <family val="1"/>
      </rPr>
      <t>10</t>
    </r>
    <r>
      <rPr>
        <sz val="12"/>
        <rFont val="標楷體"/>
        <family val="4"/>
        <charset val="136"/>
      </rPr>
      <t>月</t>
    </r>
    <r>
      <rPr>
        <sz val="12"/>
        <rFont val="Times New Roman"/>
        <family val="1"/>
      </rPr>
      <t>26</t>
    </r>
    <r>
      <rPr>
        <sz val="12"/>
        <rFont val="標楷體"/>
        <family val="4"/>
        <charset val="136"/>
      </rPr>
      <t>日勞保</t>
    </r>
    <r>
      <rPr>
        <sz val="12"/>
        <rFont val="Times New Roman"/>
        <family val="1"/>
      </rPr>
      <t>1</t>
    </r>
    <r>
      <rPr>
        <sz val="12"/>
        <rFont val="標楷體"/>
        <family val="4"/>
        <charset val="136"/>
      </rPr>
      <t>字第</t>
    </r>
    <r>
      <rPr>
        <sz val="12"/>
        <rFont val="Times New Roman"/>
        <family val="1"/>
      </rPr>
      <t>0930051342</t>
    </r>
    <r>
      <rPr>
        <sz val="12"/>
        <rFont val="標楷體"/>
        <family val="4"/>
        <charset val="136"/>
      </rPr>
      <t>號函示，同意投保單位繳納保險費之金額差異在新臺幣</t>
    </r>
    <r>
      <rPr>
        <sz val="12"/>
        <rFont val="Times New Roman"/>
        <family val="1"/>
      </rPr>
      <t>10</t>
    </r>
    <r>
      <rPr>
        <sz val="12"/>
        <rFont val="標楷體"/>
        <family val="4"/>
        <charset val="136"/>
      </rPr>
      <t>元以下者，轉列雜項費用編列</t>
    </r>
    <r>
      <rPr>
        <sz val="12"/>
        <rFont val="Times New Roman"/>
        <family val="1"/>
      </rPr>
      <t>12</t>
    </r>
    <r>
      <rPr>
        <sz val="12"/>
        <rFont val="標楷體"/>
        <family val="4"/>
        <charset val="136"/>
      </rPr>
      <t>千元。</t>
    </r>
    <phoneticPr fontId="6" type="noConversion"/>
  </si>
  <si>
    <t>　預收款項</t>
    <phoneticPr fontId="6" type="noConversion"/>
  </si>
  <si>
    <r>
      <rPr>
        <sz val="12"/>
        <rFont val="標楷體"/>
        <family val="4"/>
        <charset val="136"/>
      </rPr>
      <t>收取利息</t>
    </r>
    <r>
      <rPr>
        <sz val="12"/>
        <rFont val="Times New Roman"/>
        <family val="1"/>
      </rPr>
      <t>2,282,788</t>
    </r>
    <r>
      <rPr>
        <sz val="12"/>
        <rFont val="標楷體"/>
        <family val="4"/>
        <charset val="136"/>
      </rPr>
      <t>千元。</t>
    </r>
    <phoneticPr fontId="6" type="noConversion"/>
  </si>
  <si>
    <r>
      <rPr>
        <sz val="12"/>
        <rFont val="標楷體"/>
        <family val="4"/>
        <charset val="136"/>
      </rPr>
      <t>係增加流動金融資產</t>
    </r>
    <r>
      <rPr>
        <sz val="12"/>
        <rFont val="Times New Roman"/>
        <family val="1"/>
      </rPr>
      <t>2,236,101</t>
    </r>
    <r>
      <rPr>
        <sz val="12"/>
        <rFont val="標楷體"/>
        <family val="4"/>
        <charset val="136"/>
      </rPr>
      <t>千元。</t>
    </r>
    <phoneticPr fontId="6" type="noConversion"/>
  </si>
  <si>
    <r>
      <rPr>
        <sz val="12"/>
        <rFont val="標楷體"/>
        <family val="4"/>
        <charset val="136"/>
      </rPr>
      <t>係增加投資</t>
    </r>
    <r>
      <rPr>
        <sz val="12"/>
        <rFont val="Times New Roman"/>
        <family val="1"/>
      </rPr>
      <t>-</t>
    </r>
    <r>
      <rPr>
        <sz val="12"/>
        <rFont val="標楷體"/>
        <family val="4"/>
        <charset val="136"/>
      </rPr>
      <t>非流動金融資產</t>
    </r>
    <r>
      <rPr>
        <sz val="12"/>
        <rFont val="Times New Roman"/>
        <family val="1"/>
      </rPr>
      <t>2,588,633</t>
    </r>
    <r>
      <rPr>
        <sz val="12"/>
        <rFont val="標楷體"/>
        <family val="4"/>
        <charset val="136"/>
      </rPr>
      <t>千元。</t>
    </r>
    <phoneticPr fontId="6" type="noConversion"/>
  </si>
  <si>
    <t>發展中之無形資產</t>
    <phoneticPr fontId="6" type="noConversion"/>
  </si>
  <si>
    <r>
      <t>辦理化學品相關資訊系統網站、建置作業環境監測及暴露評估相關系統之擴充</t>
    </r>
    <r>
      <rPr>
        <sz val="12"/>
        <color rgb="FF000000"/>
        <rFont val="Times New Roman"/>
        <family val="1"/>
      </rPr>
      <t>2,050</t>
    </r>
    <r>
      <rPr>
        <sz val="12"/>
        <color indexed="8"/>
        <rFont val="標楷體"/>
        <family val="4"/>
        <charset val="136"/>
      </rPr>
      <t>千元。</t>
    </r>
    <phoneticPr fontId="6" type="noConversion"/>
  </si>
  <si>
    <r>
      <t>辦理全國勞工特殊健康檢查資料庫系統功能之擴充</t>
    </r>
    <r>
      <rPr>
        <sz val="12"/>
        <rFont val="Times New Roman"/>
        <family val="1"/>
      </rPr>
      <t>2,950</t>
    </r>
    <r>
      <rPr>
        <sz val="12"/>
        <rFont val="標楷體"/>
        <family val="4"/>
        <charset val="136"/>
      </rPr>
      <t>千元。</t>
    </r>
    <phoneticPr fontId="6" type="noConversion"/>
  </si>
  <si>
    <t>4.</t>
    <phoneticPr fontId="6" type="noConversion"/>
  </si>
  <si>
    <r>
      <rPr>
        <sz val="12"/>
        <rFont val="標楷體"/>
        <family val="4"/>
        <charset val="136"/>
      </rPr>
      <t>辦理全國職業安全衛生智能雲系統功能之擴充</t>
    </r>
    <r>
      <rPr>
        <sz val="12"/>
        <rFont val="Times New Roman"/>
        <family val="1"/>
      </rPr>
      <t>2,000</t>
    </r>
    <r>
      <rPr>
        <sz val="12"/>
        <rFont val="標楷體"/>
        <family val="4"/>
        <charset val="136"/>
      </rPr>
      <t>千元。</t>
    </r>
    <phoneticPr fontId="6" type="noConversion"/>
  </si>
  <si>
    <r>
      <rPr>
        <sz val="12"/>
        <rFont val="標楷體"/>
        <family val="4"/>
        <charset val="136"/>
      </rPr>
      <t>貸款予被保險人之利息收入編列</t>
    </r>
    <r>
      <rPr>
        <sz val="12"/>
        <rFont val="Times New Roman"/>
        <family val="1"/>
      </rPr>
      <t>521,550</t>
    </r>
    <r>
      <rPr>
        <sz val="12"/>
        <rFont val="標楷體"/>
        <family val="4"/>
        <charset val="136"/>
      </rPr>
      <t>千元，由勞動部勞工保險局辦理；貸款予農民健康保險辦理短期週轉之利息收入編列</t>
    </r>
    <r>
      <rPr>
        <sz val="12"/>
        <rFont val="Times New Roman"/>
        <family val="1"/>
      </rPr>
      <t>101,398</t>
    </r>
    <r>
      <rPr>
        <sz val="12"/>
        <rFont val="標楷體"/>
        <family val="4"/>
        <charset val="136"/>
      </rPr>
      <t>千元，由勞動部勞動基金運用局辦理。</t>
    </r>
    <phoneticPr fontId="6" type="noConversion"/>
  </si>
  <si>
    <r>
      <rPr>
        <sz val="12"/>
        <rFont val="標楷體"/>
        <family val="4"/>
        <charset val="136"/>
      </rPr>
      <t>本科目勞動部勞工保險局辦理</t>
    </r>
    <r>
      <rPr>
        <sz val="12"/>
        <rFont val="Times New Roman"/>
        <family val="1"/>
      </rPr>
      <t>524,310</t>
    </r>
    <r>
      <rPr>
        <sz val="12"/>
        <rFont val="標楷體"/>
        <family val="4"/>
        <charset val="136"/>
      </rPr>
      <t>千元；勞動部勞動基金運用局辦理</t>
    </r>
    <r>
      <rPr>
        <sz val="12"/>
        <rFont val="Times New Roman"/>
        <family val="1"/>
      </rPr>
      <t>31,764,831</t>
    </r>
    <r>
      <rPr>
        <sz val="12"/>
        <rFont val="標楷體"/>
        <family val="4"/>
        <charset val="136"/>
      </rPr>
      <t>千元。</t>
    </r>
    <phoneticPr fontId="6" type="noConversion"/>
  </si>
  <si>
    <r>
      <rPr>
        <sz val="12"/>
        <rFont val="標楷體"/>
        <family val="4"/>
        <charset val="136"/>
      </rPr>
      <t>本科目勞動部勞工保險局辦理</t>
    </r>
    <r>
      <rPr>
        <sz val="12"/>
        <rFont val="Times New Roman"/>
        <family val="1"/>
      </rPr>
      <t>68,000</t>
    </r>
    <r>
      <rPr>
        <sz val="12"/>
        <rFont val="標楷體"/>
        <family val="4"/>
        <charset val="136"/>
      </rPr>
      <t>千元；勞動部勞動基金運用局辦理</t>
    </r>
    <r>
      <rPr>
        <sz val="12"/>
        <rFont val="Times New Roman"/>
        <family val="1"/>
      </rPr>
      <t>945,286</t>
    </r>
    <r>
      <rPr>
        <sz val="12"/>
        <rFont val="標楷體"/>
        <family val="4"/>
        <charset val="136"/>
      </rPr>
      <t>千元。</t>
    </r>
    <phoneticPr fontId="6" type="noConversion"/>
  </si>
  <si>
    <r>
      <rPr>
        <sz val="12"/>
        <rFont val="標楷體"/>
        <family val="4"/>
        <charset val="136"/>
      </rPr>
      <t>編列</t>
    </r>
    <r>
      <rPr>
        <sz val="12"/>
        <rFont val="Times New Roman"/>
        <family val="1"/>
      </rPr>
      <t>30,197</t>
    </r>
    <r>
      <rPr>
        <sz val="12"/>
        <rFont val="標楷體"/>
        <family val="4"/>
        <charset val="136"/>
      </rPr>
      <t>千元，係國外投資委任律師處理訴訟費及委託經營聘請顧問費等。其中委託調查研究費編列</t>
    </r>
    <r>
      <rPr>
        <sz val="12"/>
        <rFont val="Times New Roman"/>
        <family val="1"/>
      </rPr>
      <t>1,365</t>
    </r>
    <r>
      <rPr>
        <sz val="12"/>
        <rFont val="標楷體"/>
        <family val="4"/>
        <charset val="136"/>
      </rPr>
      <t>千元，係依據勞動基金委託經營要點第</t>
    </r>
    <r>
      <rPr>
        <sz val="12"/>
        <rFont val="Times New Roman"/>
        <family val="1"/>
      </rPr>
      <t>5</t>
    </r>
    <r>
      <rPr>
        <sz val="12"/>
        <rFont val="標楷體"/>
        <family val="4"/>
        <charset val="136"/>
      </rPr>
      <t xml:space="preserve">點規定，委託專業投資顧問公司協助辦理國外委託經營受託機構之遴選、績效評定及考核管理之國外委託監管顧問案。
</t>
    </r>
    <phoneticPr fontId="6" type="noConversion"/>
  </si>
  <si>
    <r>
      <rPr>
        <sz val="12"/>
        <rFont val="標楷體"/>
        <family val="4"/>
        <charset val="136"/>
      </rPr>
      <t>編列</t>
    </r>
    <r>
      <rPr>
        <sz val="12"/>
        <rFont val="Times New Roman"/>
        <family val="1"/>
      </rPr>
      <t>914,499</t>
    </r>
    <r>
      <rPr>
        <sz val="12"/>
        <rFont val="標楷體"/>
        <family val="4"/>
        <charset val="136"/>
      </rPr>
      <t>千元，係基金委託經營之經理費及國外投資保管費等。</t>
    </r>
    <phoneticPr fontId="6" type="noConversion"/>
  </si>
  <si>
    <r>
      <t>6.</t>
    </r>
    <r>
      <rPr>
        <sz val="12"/>
        <rFont val="標楷體"/>
        <family val="4"/>
        <charset val="136"/>
      </rPr>
      <t>流動負債淨增</t>
    </r>
    <phoneticPr fontId="6" type="noConversion"/>
  </si>
  <si>
    <r>
      <t>5.</t>
    </r>
    <r>
      <rPr>
        <sz val="12"/>
        <rFont val="標楷體"/>
        <family val="4"/>
        <charset val="136"/>
      </rPr>
      <t>流動資產淨增</t>
    </r>
    <phoneticPr fontId="6" type="noConversion"/>
  </si>
  <si>
    <r>
      <rPr>
        <sz val="12"/>
        <rFont val="標楷體"/>
        <family val="4"/>
        <charset val="136"/>
      </rPr>
      <t>係減少流動金融資產</t>
    </r>
    <r>
      <rPr>
        <sz val="12"/>
        <rFont val="Times New Roman"/>
        <family val="1"/>
      </rPr>
      <t>2,709,009</t>
    </r>
    <r>
      <rPr>
        <sz val="12"/>
        <rFont val="標楷體"/>
        <family val="4"/>
        <charset val="136"/>
      </rPr>
      <t>千元。</t>
    </r>
    <phoneticPr fontId="6" type="noConversion"/>
  </si>
  <si>
    <r>
      <rPr>
        <sz val="12"/>
        <rFont val="標楷體"/>
        <family val="4"/>
        <charset val="136"/>
      </rPr>
      <t>係增加投資</t>
    </r>
    <r>
      <rPr>
        <sz val="12"/>
        <rFont val="Times New Roman"/>
        <family val="1"/>
      </rPr>
      <t>-</t>
    </r>
    <r>
      <rPr>
        <sz val="12"/>
        <rFont val="標楷體"/>
        <family val="4"/>
        <charset val="136"/>
      </rPr>
      <t>非流動金融資產</t>
    </r>
    <r>
      <rPr>
        <sz val="12"/>
        <rFont val="Times New Roman"/>
        <family val="1"/>
      </rPr>
      <t>13,930,289</t>
    </r>
    <r>
      <rPr>
        <sz val="12"/>
        <rFont val="標楷體"/>
        <family val="4"/>
        <charset val="136"/>
      </rPr>
      <t>千元及長期貸款</t>
    </r>
    <r>
      <rPr>
        <sz val="12"/>
        <rFont val="Times New Roman"/>
        <family val="1"/>
      </rPr>
      <t>9,785,591</t>
    </r>
    <r>
      <rPr>
        <sz val="12"/>
        <rFont val="標楷體"/>
        <family val="4"/>
        <charset val="136"/>
      </rPr>
      <t>千元。</t>
    </r>
    <phoneticPr fontId="6" type="noConversion"/>
  </si>
  <si>
    <r>
      <rPr>
        <sz val="12"/>
        <rFont val="標楷體"/>
        <family val="4"/>
        <charset val="136"/>
      </rPr>
      <t>係減少</t>
    </r>
    <r>
      <rPr>
        <sz val="12"/>
        <rFont val="標楷體"/>
        <family val="4"/>
        <charset val="136"/>
      </rPr>
      <t>長期貸款</t>
    </r>
    <r>
      <rPr>
        <sz val="12"/>
        <rFont val="Times New Roman"/>
        <family val="1"/>
      </rPr>
      <t>10,100,000</t>
    </r>
    <r>
      <rPr>
        <sz val="12"/>
        <rFont val="標楷體"/>
        <family val="4"/>
        <charset val="136"/>
      </rPr>
      <t>千元。</t>
    </r>
    <phoneticPr fontId="6" type="noConversion"/>
  </si>
  <si>
    <r>
      <rPr>
        <sz val="12"/>
        <rFont val="標楷體"/>
        <family val="4"/>
        <charset val="136"/>
      </rPr>
      <t>收取利息</t>
    </r>
    <r>
      <rPr>
        <sz val="12"/>
        <rFont val="Times New Roman"/>
        <family val="1"/>
      </rPr>
      <t>5,685,522</t>
    </r>
    <r>
      <rPr>
        <sz val="12"/>
        <rFont val="標楷體"/>
        <family val="4"/>
        <charset val="136"/>
      </rPr>
      <t>千元。</t>
    </r>
    <phoneticPr fontId="6" type="noConversion"/>
  </si>
  <si>
    <r>
      <rPr>
        <sz val="13"/>
        <rFont val="標楷體"/>
        <family val="4"/>
        <charset val="136"/>
      </rPr>
      <t>（一）租金及權利金收入</t>
    </r>
    <r>
      <rPr>
        <sz val="13"/>
        <rFont val="Times New Roman"/>
        <family val="1"/>
      </rPr>
      <t>274,530</t>
    </r>
    <r>
      <rPr>
        <sz val="13"/>
        <rFont val="標楷體"/>
        <family val="4"/>
        <charset val="136"/>
      </rPr>
      <t>千元，係基金投資性不動產所獲得之租金收入等。</t>
    </r>
    <phoneticPr fontId="6" type="noConversion"/>
  </si>
  <si>
    <r>
      <rPr>
        <sz val="13"/>
        <rFont val="標楷體"/>
        <family val="4"/>
        <charset val="136"/>
      </rPr>
      <t>（三）保險收入</t>
    </r>
    <r>
      <rPr>
        <sz val="13"/>
        <rFont val="Times New Roman"/>
        <family val="1"/>
      </rPr>
      <t>531,071,560</t>
    </r>
    <r>
      <rPr>
        <sz val="13"/>
        <rFont val="標楷體"/>
        <family val="4"/>
        <charset val="136"/>
      </rPr>
      <t>千元，包含保費收入</t>
    </r>
    <r>
      <rPr>
        <sz val="13"/>
        <rFont val="Times New Roman"/>
        <family val="1"/>
      </rPr>
      <t>530,997,778</t>
    </r>
    <r>
      <rPr>
        <sz val="13"/>
        <rFont val="標楷體"/>
        <family val="4"/>
        <charset val="136"/>
      </rPr>
      <t>千元及收回責任準備</t>
    </r>
    <r>
      <rPr>
        <sz val="13"/>
        <rFont val="Times New Roman"/>
        <family val="4"/>
      </rPr>
      <t>73,782</t>
    </r>
    <r>
      <rPr>
        <sz val="13"/>
        <rFont val="標楷體"/>
        <family val="4"/>
        <charset val="136"/>
      </rPr>
      <t xml:space="preserve">
</t>
    </r>
    <r>
      <rPr>
        <sz val="13"/>
        <rFont val="Times New Roman"/>
        <family val="4"/>
      </rPr>
      <t xml:space="preserve">            </t>
    </r>
    <r>
      <rPr>
        <sz val="13"/>
        <rFont val="標楷體"/>
        <family val="4"/>
        <charset val="136"/>
      </rPr>
      <t>千元。</t>
    </r>
    <phoneticPr fontId="6" type="noConversion"/>
  </si>
  <si>
    <r>
      <rPr>
        <sz val="13"/>
        <rFont val="標楷體"/>
        <family val="4"/>
        <charset val="136"/>
      </rPr>
      <t>（一）出租資產成本</t>
    </r>
    <r>
      <rPr>
        <sz val="13"/>
        <rFont val="Times New Roman"/>
        <family val="1"/>
      </rPr>
      <t>32,423</t>
    </r>
    <r>
      <rPr>
        <sz val="13"/>
        <rFont val="標楷體"/>
        <family val="4"/>
        <charset val="136"/>
      </rPr>
      <t xml:space="preserve">千元，係提列基金投資不動產之折舊、地價稅及房屋修護費用
</t>
    </r>
    <r>
      <rPr>
        <sz val="13"/>
        <rFont val="Times New Roman"/>
        <family val="4"/>
      </rPr>
      <t xml:space="preserve">            </t>
    </r>
    <r>
      <rPr>
        <sz val="13"/>
        <rFont val="標楷體"/>
        <family val="4"/>
        <charset val="136"/>
      </rPr>
      <t>等。</t>
    </r>
    <phoneticPr fontId="6" type="noConversion"/>
  </si>
  <si>
    <r>
      <rPr>
        <sz val="13"/>
        <rFont val="標楷體"/>
        <family val="4"/>
        <charset val="136"/>
      </rPr>
      <t>（四）其他業務成本</t>
    </r>
    <r>
      <rPr>
        <sz val="13"/>
        <rFont val="Times New Roman"/>
        <family val="1"/>
      </rPr>
      <t>5,959,146</t>
    </r>
    <r>
      <rPr>
        <sz val="13"/>
        <rFont val="標楷體"/>
        <family val="4"/>
        <charset val="136"/>
      </rPr>
      <t>千元，係依就業保險法第</t>
    </r>
    <r>
      <rPr>
        <sz val="13"/>
        <rFont val="Times New Roman"/>
        <family val="1"/>
      </rPr>
      <t>12</t>
    </r>
    <r>
      <rPr>
        <sz val="13"/>
        <rFont val="標楷體"/>
        <family val="4"/>
        <charset val="136"/>
      </rPr>
      <t>條第</t>
    </r>
    <r>
      <rPr>
        <sz val="13"/>
        <rFont val="Times New Roman"/>
        <family val="1"/>
      </rPr>
      <t>3</t>
    </r>
    <r>
      <rPr>
        <sz val="13"/>
        <rFont val="標楷體"/>
        <family val="4"/>
        <charset val="136"/>
      </rPr>
      <t>項規定辦理促進就業等業</t>
    </r>
    <r>
      <rPr>
        <sz val="13"/>
        <rFont val="Times New Roman"/>
        <family val="4"/>
      </rPr>
      <t xml:space="preserve">
</t>
    </r>
    <r>
      <rPr>
        <sz val="13"/>
        <rFont val="Times New Roman"/>
        <family val="1"/>
      </rPr>
      <t xml:space="preserve">            </t>
    </r>
    <r>
      <rPr>
        <sz val="13"/>
        <rFont val="標楷體"/>
        <family val="4"/>
        <charset val="136"/>
      </rPr>
      <t>務、農保虧損借款之利息支出及依勞工職業災害保險及保護法第</t>
    </r>
    <r>
      <rPr>
        <sz val="13"/>
        <rFont val="Times New Roman"/>
        <family val="1"/>
      </rPr>
      <t>62</t>
    </r>
    <r>
      <rPr>
        <sz val="13"/>
        <rFont val="標楷體"/>
        <family val="4"/>
        <charset val="136"/>
      </rPr>
      <t>條規定辦理職</t>
    </r>
    <r>
      <rPr>
        <sz val="13"/>
        <rFont val="Times New Roman"/>
        <family val="4"/>
      </rPr>
      <t xml:space="preserve">
</t>
    </r>
    <r>
      <rPr>
        <sz val="13"/>
        <rFont val="Times New Roman"/>
        <family val="1"/>
      </rPr>
      <t xml:space="preserve">            </t>
    </r>
    <r>
      <rPr>
        <sz val="13"/>
        <rFont val="標楷體"/>
        <family val="4"/>
        <charset val="136"/>
      </rPr>
      <t>業災害預防及重建等業務。</t>
    </r>
    <phoneticPr fontId="6" type="noConversion"/>
  </si>
  <si>
    <r>
      <rPr>
        <sz val="13"/>
        <rFont val="標楷體"/>
        <family val="4"/>
        <charset val="136"/>
      </rPr>
      <t>本年度業務外收入</t>
    </r>
    <r>
      <rPr>
        <sz val="13"/>
        <rFont val="Times New Roman"/>
        <family val="1"/>
      </rPr>
      <t>328,255</t>
    </r>
    <r>
      <rPr>
        <sz val="13"/>
        <rFont val="標楷體"/>
        <family val="4"/>
        <charset val="136"/>
      </rPr>
      <t>千元：</t>
    </r>
    <phoneticPr fontId="6" type="noConversion"/>
  </si>
  <si>
    <r>
      <t>（一）財務收入</t>
    </r>
    <r>
      <rPr>
        <sz val="13"/>
        <rFont val="Times New Roman"/>
        <family val="1"/>
      </rPr>
      <t>394</t>
    </r>
    <r>
      <rPr>
        <sz val="13"/>
        <rFont val="標楷體"/>
        <family val="4"/>
        <charset val="136"/>
      </rPr>
      <t>千元，係利息收入。</t>
    </r>
    <phoneticPr fontId="6" type="noConversion"/>
  </si>
  <si>
    <r>
      <rPr>
        <sz val="13"/>
        <rFont val="標楷體"/>
        <family val="4"/>
        <charset val="136"/>
      </rPr>
      <t>（二）其他業務外收入</t>
    </r>
    <r>
      <rPr>
        <sz val="13"/>
        <rFont val="Times New Roman"/>
        <family val="1"/>
      </rPr>
      <t>327,861</t>
    </r>
    <r>
      <rPr>
        <sz val="13"/>
        <rFont val="標楷體"/>
        <family val="4"/>
        <charset val="136"/>
      </rPr>
      <t>千元，係違規罰款收入</t>
    </r>
    <r>
      <rPr>
        <sz val="13"/>
        <rFont val="新細明體"/>
        <family val="1"/>
        <charset val="136"/>
      </rPr>
      <t>、</t>
    </r>
    <r>
      <rPr>
        <sz val="13"/>
        <rFont val="標楷體"/>
        <family val="4"/>
        <charset val="136"/>
      </rPr>
      <t>收回呆帳及雜項收入等。</t>
    </r>
    <phoneticPr fontId="6" type="noConversion"/>
  </si>
  <si>
    <r>
      <rPr>
        <sz val="13"/>
        <rFont val="標楷體"/>
        <family val="4"/>
        <charset val="136"/>
      </rPr>
      <t>四、本年度業務外費用</t>
    </r>
    <r>
      <rPr>
        <sz val="13"/>
        <rFont val="Times New Roman"/>
        <family val="1"/>
      </rPr>
      <t>2,034</t>
    </r>
    <r>
      <rPr>
        <sz val="13"/>
        <rFont val="標楷體"/>
        <family val="4"/>
        <charset val="136"/>
      </rPr>
      <t>千元，係應付保管款滿</t>
    </r>
    <r>
      <rPr>
        <sz val="13"/>
        <rFont val="Times New Roman"/>
        <family val="1"/>
      </rPr>
      <t>4</t>
    </r>
    <r>
      <rPr>
        <sz val="13"/>
        <rFont val="標楷體"/>
        <family val="4"/>
        <charset val="136"/>
      </rPr>
      <t>年轉雜項收入後再提出申請等</t>
    </r>
    <r>
      <rPr>
        <sz val="13"/>
        <rFont val="新細明體"/>
        <family val="1"/>
        <charset val="136"/>
      </rPr>
      <t>。</t>
    </r>
    <phoneticPr fontId="6" type="noConversion"/>
  </si>
  <si>
    <r>
      <t>2.</t>
    </r>
    <r>
      <rPr>
        <sz val="12"/>
        <rFont val="標楷體"/>
        <family val="4"/>
        <charset val="136"/>
      </rPr>
      <t>提存責任準備</t>
    </r>
    <phoneticPr fontId="6" type="noConversion"/>
  </si>
  <si>
    <r>
      <rPr>
        <sz val="12"/>
        <rFont val="標楷體"/>
        <family val="4"/>
        <charset val="136"/>
      </rPr>
      <t>係勞工保險業務減少流動金融資產</t>
    </r>
    <r>
      <rPr>
        <sz val="12"/>
        <rFont val="Times New Roman"/>
        <family val="1"/>
      </rPr>
      <t>2,709,009</t>
    </r>
    <r>
      <rPr>
        <sz val="12"/>
        <rFont val="標楷體"/>
        <family val="4"/>
        <charset val="136"/>
      </rPr>
      <t>千元。</t>
    </r>
    <phoneticPr fontId="6" type="noConversion"/>
  </si>
  <si>
    <r>
      <rPr>
        <sz val="12"/>
        <color theme="1"/>
        <rFont val="標楷體"/>
        <family val="4"/>
        <charset val="136"/>
      </rPr>
      <t>係勞工保險業務增加短期貸款</t>
    </r>
    <r>
      <rPr>
        <sz val="12"/>
        <color theme="1"/>
        <rFont val="Times New Roman"/>
        <family val="4"/>
      </rPr>
      <t>1,607,000</t>
    </r>
    <r>
      <rPr>
        <sz val="12"/>
        <color theme="1"/>
        <rFont val="標楷體"/>
        <family val="4"/>
        <charset val="136"/>
      </rPr>
      <t>千元</t>
    </r>
    <r>
      <rPr>
        <sz val="12"/>
        <color theme="1"/>
        <rFont val="新細明體"/>
        <family val="4"/>
        <charset val="136"/>
      </rPr>
      <t>、</t>
    </r>
    <r>
      <rPr>
        <sz val="12"/>
        <color theme="1"/>
        <rFont val="標楷體"/>
        <family val="4"/>
        <charset val="136"/>
      </rPr>
      <t>就業保險業務增加流動金融資產</t>
    </r>
    <r>
      <rPr>
        <sz val="12"/>
        <color theme="1"/>
        <rFont val="Times New Roman"/>
        <family val="1"/>
      </rPr>
      <t>2,236,101</t>
    </r>
    <r>
      <rPr>
        <sz val="12"/>
        <color theme="1"/>
        <rFont val="標楷體"/>
        <family val="4"/>
        <charset val="136"/>
      </rPr>
      <t>千元</t>
    </r>
    <r>
      <rPr>
        <sz val="12"/>
        <color theme="1"/>
        <rFont val="新細明體"/>
        <family val="4"/>
        <charset val="136"/>
      </rPr>
      <t>、</t>
    </r>
    <r>
      <rPr>
        <sz val="12"/>
        <color theme="1"/>
        <rFont val="標楷體"/>
        <family val="4"/>
        <charset val="136"/>
      </rPr>
      <t>勞職保及保護業務增加流動金融資產</t>
    </r>
    <r>
      <rPr>
        <sz val="12"/>
        <color theme="1"/>
        <rFont val="Times New Roman"/>
        <family val="4"/>
      </rPr>
      <t>1,048,680</t>
    </r>
    <r>
      <rPr>
        <sz val="12"/>
        <color theme="1"/>
        <rFont val="標楷體"/>
        <family val="4"/>
        <charset val="136"/>
      </rPr>
      <t>千元。</t>
    </r>
    <phoneticPr fontId="6" type="noConversion"/>
  </si>
  <si>
    <r>
      <rPr>
        <sz val="12"/>
        <color theme="1"/>
        <rFont val="標楷體"/>
        <family val="4"/>
        <charset val="136"/>
      </rPr>
      <t>係勞工保險業務減少長期貸款</t>
    </r>
    <r>
      <rPr>
        <sz val="12"/>
        <color theme="1"/>
        <rFont val="Times New Roman"/>
        <family val="1"/>
      </rPr>
      <t>10,100,000</t>
    </r>
    <r>
      <rPr>
        <sz val="12"/>
        <color theme="1"/>
        <rFont val="標楷體"/>
        <family val="4"/>
        <charset val="136"/>
      </rPr>
      <t>千元。</t>
    </r>
    <phoneticPr fontId="6" type="noConversion"/>
  </si>
  <si>
    <r>
      <rPr>
        <sz val="12"/>
        <rFont val="標楷體"/>
        <family val="4"/>
        <charset val="136"/>
      </rPr>
      <t>收取利息</t>
    </r>
    <r>
      <rPr>
        <sz val="12"/>
        <rFont val="Times New Roman"/>
        <family val="1"/>
      </rPr>
      <t>8,375,073</t>
    </r>
    <r>
      <rPr>
        <sz val="12"/>
        <rFont val="標楷體"/>
        <family val="4"/>
        <charset val="136"/>
      </rPr>
      <t>千元。</t>
    </r>
    <phoneticPr fontId="6" type="noConversion"/>
  </si>
  <si>
    <r>
      <rPr>
        <sz val="12"/>
        <rFont val="標楷體"/>
        <family val="4"/>
        <charset val="136"/>
      </rPr>
      <t>係勞工保險業務增加投資</t>
    </r>
    <r>
      <rPr>
        <sz val="12"/>
        <rFont val="Times New Roman"/>
        <family val="1"/>
      </rPr>
      <t>-</t>
    </r>
    <r>
      <rPr>
        <sz val="12"/>
        <rFont val="標楷體"/>
        <family val="4"/>
        <charset val="136"/>
      </rPr>
      <t>非流動金融資產</t>
    </r>
    <r>
      <rPr>
        <sz val="12"/>
        <rFont val="Times New Roman"/>
        <family val="1"/>
      </rPr>
      <t>13,930,289</t>
    </r>
    <r>
      <rPr>
        <sz val="12"/>
        <rFont val="標楷體"/>
        <family val="4"/>
        <charset val="136"/>
      </rPr>
      <t>千元及長期貸款</t>
    </r>
    <r>
      <rPr>
        <sz val="12"/>
        <rFont val="Times New Roman"/>
        <family val="1"/>
      </rPr>
      <t>9,785,591</t>
    </r>
    <r>
      <rPr>
        <sz val="12"/>
        <rFont val="標楷體"/>
        <family val="4"/>
        <charset val="136"/>
      </rPr>
      <t>千元、就業保險業務增加投資</t>
    </r>
    <r>
      <rPr>
        <sz val="12"/>
        <rFont val="Times New Roman"/>
        <family val="1"/>
      </rPr>
      <t>-</t>
    </r>
    <r>
      <rPr>
        <sz val="12"/>
        <rFont val="標楷體"/>
        <family val="4"/>
        <charset val="136"/>
      </rPr>
      <t>非流動金融資產</t>
    </r>
    <r>
      <rPr>
        <sz val="12"/>
        <rFont val="Times New Roman"/>
        <family val="1"/>
      </rPr>
      <t>2,588,633</t>
    </r>
    <r>
      <rPr>
        <sz val="12"/>
        <rFont val="標楷體"/>
        <family val="4"/>
        <charset val="136"/>
      </rPr>
      <t>千元、勞職保及保護業務增加投資</t>
    </r>
    <r>
      <rPr>
        <sz val="12"/>
        <rFont val="Times New Roman"/>
        <family val="1"/>
      </rPr>
      <t>-</t>
    </r>
    <r>
      <rPr>
        <sz val="12"/>
        <rFont val="標楷體"/>
        <family val="4"/>
        <charset val="136"/>
      </rPr>
      <t>非流動金融資產</t>
    </r>
    <r>
      <rPr>
        <sz val="12"/>
        <rFont val="Times New Roman"/>
        <family val="1"/>
      </rPr>
      <t>439,999</t>
    </r>
    <r>
      <rPr>
        <sz val="12"/>
        <rFont val="標楷體"/>
        <family val="4"/>
        <charset val="136"/>
      </rPr>
      <t>千元。</t>
    </r>
    <phoneticPr fontId="6" type="noConversion"/>
  </si>
  <si>
    <r>
      <rPr>
        <sz val="12"/>
        <rFont val="標楷體"/>
        <family val="4"/>
        <charset val="136"/>
      </rPr>
      <t>支付利息</t>
    </r>
    <r>
      <rPr>
        <sz val="12"/>
        <rFont val="Times New Roman"/>
        <family val="1"/>
      </rPr>
      <t>101,398</t>
    </r>
    <r>
      <rPr>
        <sz val="12"/>
        <rFont val="標楷體"/>
        <family val="4"/>
        <charset val="136"/>
      </rPr>
      <t>千元。</t>
    </r>
    <phoneticPr fontId="6" type="noConversion"/>
  </si>
  <si>
    <t>加(夜)
班費</t>
    <phoneticPr fontId="6" type="noConversion"/>
  </si>
  <si>
    <r>
      <t xml:space="preserve">  </t>
    </r>
    <r>
      <rPr>
        <sz val="16"/>
        <rFont val="標楷體"/>
        <family val="4"/>
        <charset val="136"/>
      </rPr>
      <t>租金及權利金收入</t>
    </r>
  </si>
  <si>
    <r>
      <t xml:space="preserve">  </t>
    </r>
    <r>
      <rPr>
        <sz val="16"/>
        <rFont val="標楷體"/>
        <family val="4"/>
        <charset val="136"/>
      </rPr>
      <t>投融資業務收入</t>
    </r>
  </si>
  <si>
    <r>
      <t xml:space="preserve">  </t>
    </r>
    <r>
      <rPr>
        <sz val="16"/>
        <rFont val="標楷體"/>
        <family val="4"/>
        <charset val="136"/>
      </rPr>
      <t>保險收入</t>
    </r>
  </si>
  <si>
    <r>
      <t xml:space="preserve">  </t>
    </r>
    <r>
      <rPr>
        <sz val="16"/>
        <rFont val="標楷體"/>
        <family val="4"/>
        <charset val="136"/>
      </rPr>
      <t>其他業務收入</t>
    </r>
  </si>
  <si>
    <t xml:space="preserve"> 業務外收入</t>
    <phoneticPr fontId="6" type="noConversion"/>
  </si>
  <si>
    <r>
      <t xml:space="preserve">  </t>
    </r>
    <r>
      <rPr>
        <sz val="16"/>
        <rFont val="標楷體"/>
        <family val="4"/>
        <charset val="136"/>
      </rPr>
      <t>出租資產成本</t>
    </r>
  </si>
  <si>
    <r>
      <t xml:space="preserve">  </t>
    </r>
    <r>
      <rPr>
        <sz val="16"/>
        <rFont val="標楷體"/>
        <family val="4"/>
        <charset val="136"/>
      </rPr>
      <t>投融資業務成本</t>
    </r>
  </si>
  <si>
    <r>
      <t xml:space="preserve">  </t>
    </r>
    <r>
      <rPr>
        <sz val="16"/>
        <rFont val="標楷體"/>
        <family val="4"/>
        <charset val="136"/>
      </rPr>
      <t>保險成本</t>
    </r>
  </si>
  <si>
    <r>
      <t xml:space="preserve">  </t>
    </r>
    <r>
      <rPr>
        <sz val="16"/>
        <rFont val="標楷體"/>
        <family val="4"/>
        <charset val="136"/>
      </rPr>
      <t>其他業務成本</t>
    </r>
  </si>
  <si>
    <r>
      <t xml:space="preserve">  </t>
    </r>
    <r>
      <rPr>
        <sz val="16"/>
        <rFont val="標楷體"/>
        <family val="4"/>
        <charset val="136"/>
      </rPr>
      <t>業務外費用</t>
    </r>
    <phoneticPr fontId="6" type="noConversion"/>
  </si>
  <si>
    <r>
      <t>編列</t>
    </r>
    <r>
      <rPr>
        <sz val="12"/>
        <rFont val="Times New Roman"/>
        <family val="1"/>
      </rPr>
      <t>5,000</t>
    </r>
    <r>
      <rPr>
        <sz val="12"/>
        <rFont val="標楷體"/>
        <family val="4"/>
        <charset val="136"/>
      </rPr>
      <t>千元，係各種文件、表單、報表、書函等之印刷及裝訂費。</t>
    </r>
    <phoneticPr fontId="6" type="noConversion"/>
  </si>
  <si>
    <r>
      <t>編列</t>
    </r>
    <r>
      <rPr>
        <sz val="12"/>
        <rFont val="Times New Roman"/>
        <family val="1"/>
      </rPr>
      <t>821,959</t>
    </r>
    <r>
      <rPr>
        <sz val="12"/>
        <rFont val="標楷體"/>
        <family val="4"/>
        <charset val="136"/>
      </rPr>
      <t>千元，係補助職業及機械設備輔導、認可醫療機構辦理傷病診治服務、通報及轉介、認可職能復健機構辦理職能復健服務、補助地方主管機關辦理職業災害勞工協助事項、捐(補)助財團法人職業災害預防及重建中心等。</t>
    </r>
    <phoneticPr fontId="6" type="noConversion"/>
  </si>
  <si>
    <r>
      <t>編列</t>
    </r>
    <r>
      <rPr>
        <sz val="12"/>
        <rFont val="Times New Roman"/>
        <family val="1"/>
      </rPr>
      <t>140,706</t>
    </r>
    <r>
      <rPr>
        <sz val="12"/>
        <rFont val="標楷體"/>
        <family val="4"/>
        <charset val="136"/>
      </rPr>
      <t>千元，係委託廠商之服務費</t>
    </r>
    <r>
      <rPr>
        <sz val="12"/>
        <color theme="1"/>
        <rFont val="標楷體"/>
        <family val="4"/>
        <charset val="136"/>
      </rPr>
      <t>等</t>
    </r>
    <r>
      <rPr>
        <sz val="12"/>
        <rFont val="標楷體"/>
        <family val="4"/>
        <charset val="136"/>
      </rPr>
      <t>；其中勞務承攬人力預計進用</t>
    </r>
    <r>
      <rPr>
        <sz val="12"/>
        <rFont val="Times New Roman"/>
        <family val="1"/>
      </rPr>
      <t>5</t>
    </r>
    <r>
      <rPr>
        <sz val="12"/>
        <rFont val="標楷體"/>
        <family val="4"/>
        <charset val="136"/>
      </rPr>
      <t>人，編列</t>
    </r>
    <r>
      <rPr>
        <sz val="12"/>
        <rFont val="Times New Roman"/>
        <family val="1"/>
      </rPr>
      <t>3,960</t>
    </r>
    <r>
      <rPr>
        <sz val="12"/>
        <rFont val="標楷體"/>
        <family val="4"/>
        <charset val="136"/>
      </rPr>
      <t>千元；契僱人力預計進用</t>
    </r>
    <r>
      <rPr>
        <sz val="12"/>
        <rFont val="Times New Roman"/>
        <family val="1"/>
      </rPr>
      <t>9</t>
    </r>
    <r>
      <rPr>
        <sz val="12"/>
        <rFont val="標楷體"/>
        <family val="4"/>
        <charset val="136"/>
      </rPr>
      <t>人，編列</t>
    </r>
    <r>
      <rPr>
        <sz val="12"/>
        <rFont val="Times New Roman"/>
        <family val="1"/>
      </rPr>
      <t>5,260</t>
    </r>
    <r>
      <rPr>
        <sz val="12"/>
        <rFont val="標楷體"/>
        <family val="4"/>
        <charset val="136"/>
      </rPr>
      <t xml:space="preserve">千元。
</t>
    </r>
    <phoneticPr fontId="6" type="noConversion"/>
  </si>
  <si>
    <r>
      <rPr>
        <sz val="12"/>
        <rFont val="標楷體"/>
        <family val="4"/>
        <charset val="136"/>
      </rPr>
      <t>編列</t>
    </r>
    <r>
      <rPr>
        <sz val="12"/>
        <rFont val="Times New Roman"/>
        <family val="1"/>
      </rPr>
      <t>1,584,201</t>
    </r>
    <r>
      <rPr>
        <sz val="12"/>
        <rFont val="標楷體"/>
        <family val="4"/>
        <charset val="136"/>
      </rPr>
      <t>千元，係勞職保及保護收入減支出後之餘額，悉數轉列提存責任準備。</t>
    </r>
    <phoneticPr fontId="6" type="noConversion"/>
  </si>
  <si>
    <r>
      <rPr>
        <sz val="12"/>
        <rFont val="標楷體"/>
        <family val="4"/>
        <charset val="136"/>
      </rPr>
      <t>本科目勞動部及所屬機關辦理</t>
    </r>
    <r>
      <rPr>
        <sz val="12"/>
        <rFont val="Times New Roman"/>
        <family val="1"/>
      </rPr>
      <t>4,459,467</t>
    </r>
    <r>
      <rPr>
        <sz val="12"/>
        <rFont val="標楷體"/>
        <family val="4"/>
        <charset val="136"/>
      </rPr>
      <t>千元；勞動部勞工保險局辦理</t>
    </r>
    <r>
      <rPr>
        <sz val="12"/>
        <rFont val="Times New Roman"/>
        <family val="1"/>
      </rPr>
      <t>414,898</t>
    </r>
    <r>
      <rPr>
        <sz val="12"/>
        <rFont val="標楷體"/>
        <family val="4"/>
        <charset val="136"/>
      </rPr>
      <t>千元；勞動部職業安全衛生署辦理</t>
    </r>
    <r>
      <rPr>
        <sz val="12"/>
        <rFont val="Times New Roman"/>
        <family val="1"/>
      </rPr>
      <t>1,084,781</t>
    </r>
    <r>
      <rPr>
        <sz val="12"/>
        <rFont val="標楷體"/>
        <family val="4"/>
        <charset val="136"/>
      </rPr>
      <t>千元。</t>
    </r>
    <phoneticPr fontId="6" type="noConversion"/>
  </si>
  <si>
    <r>
      <rPr>
        <sz val="12"/>
        <rFont val="標楷體"/>
        <family val="4"/>
        <charset val="136"/>
      </rPr>
      <t>編列</t>
    </r>
    <r>
      <rPr>
        <sz val="12"/>
        <rFont val="Times New Roman"/>
        <family val="1"/>
      </rPr>
      <t>101,398</t>
    </r>
    <r>
      <rPr>
        <sz val="12"/>
        <rFont val="標楷體"/>
        <family val="4"/>
        <charset val="136"/>
      </rPr>
      <t>千元，由勞動部勞工保險局辦理，係農保虧損向勞工保險基金借款之利息支出，預估</t>
    </r>
    <r>
      <rPr>
        <sz val="12"/>
        <rFont val="Times New Roman"/>
        <family val="1"/>
      </rPr>
      <t>113</t>
    </r>
    <r>
      <rPr>
        <sz val="12"/>
        <rFont val="標楷體"/>
        <family val="4"/>
        <charset val="136"/>
      </rPr>
      <t>年度平均借款金額為</t>
    </r>
    <r>
      <rPr>
        <sz val="12"/>
        <rFont val="Times New Roman"/>
        <family val="1"/>
      </rPr>
      <t>3,402,627</t>
    </r>
    <r>
      <rPr>
        <sz val="12"/>
        <rFont val="標楷體"/>
        <family val="4"/>
        <charset val="136"/>
      </rPr>
      <t>千元，平均借款利率</t>
    </r>
    <r>
      <rPr>
        <sz val="12"/>
        <rFont val="Times New Roman"/>
        <family val="1"/>
      </rPr>
      <t>2.98%</t>
    </r>
    <r>
      <rPr>
        <sz val="12"/>
        <rFont val="標楷體"/>
        <family val="4"/>
        <charset val="136"/>
      </rPr>
      <t>。貸款機關為勞動部勞動基金運用局，貸款用途為補足農保當年度收支不足數。</t>
    </r>
    <phoneticPr fontId="6" type="noConversion"/>
  </si>
  <si>
    <r>
      <rPr>
        <sz val="12"/>
        <rFont val="標楷體"/>
        <family val="4"/>
        <charset val="136"/>
      </rPr>
      <t>係農保收入減支出後之虧損數</t>
    </r>
    <r>
      <rPr>
        <sz val="12"/>
        <rFont val="Times New Roman"/>
        <family val="1"/>
      </rPr>
      <t>5,209,157</t>
    </r>
    <r>
      <rPr>
        <sz val="12"/>
        <rFont val="標楷體"/>
        <family val="4"/>
        <charset val="136"/>
      </rPr>
      <t>千元，依農民健康保險條例第</t>
    </r>
    <r>
      <rPr>
        <sz val="12"/>
        <rFont val="Times New Roman"/>
        <family val="1"/>
      </rPr>
      <t>44</t>
    </r>
    <r>
      <rPr>
        <sz val="12"/>
        <rFont val="標楷體"/>
        <family val="4"/>
        <charset val="136"/>
      </rPr>
      <t>條規定，由主管機關撥補。</t>
    </r>
    <phoneticPr fontId="6" type="noConversion"/>
  </si>
  <si>
    <r>
      <t>本科目勞動部勞工保險局辦理</t>
    </r>
    <r>
      <rPr>
        <sz val="12"/>
        <rFont val="Times New Roman"/>
        <family val="1"/>
      </rPr>
      <t>9,069,800</t>
    </r>
    <r>
      <rPr>
        <sz val="12"/>
        <rFont val="標楷體"/>
        <family val="4"/>
        <charset val="136"/>
      </rPr>
      <t>千元；勞動部職業安全衛生署辦理</t>
    </r>
    <r>
      <rPr>
        <sz val="12"/>
        <rFont val="Times New Roman"/>
        <family val="1"/>
      </rPr>
      <t>211,187</t>
    </r>
    <r>
      <rPr>
        <sz val="12"/>
        <rFont val="標楷體"/>
        <family val="4"/>
        <charset val="136"/>
      </rPr>
      <t>千元。</t>
    </r>
    <phoneticPr fontId="6" type="noConversion"/>
  </si>
  <si>
    <r>
      <rPr>
        <sz val="11.5"/>
        <rFont val="標楷體"/>
        <family val="4"/>
        <charset val="136"/>
      </rPr>
      <t>註：</t>
    </r>
    <r>
      <rPr>
        <sz val="11.5"/>
        <rFont val="Times New Roman"/>
        <family val="1"/>
      </rPr>
      <t>1.109</t>
    </r>
    <r>
      <rPr>
        <sz val="11.5"/>
        <rFont val="標楷體"/>
        <family val="4"/>
        <charset val="136"/>
      </rPr>
      <t>至</t>
    </r>
    <r>
      <rPr>
        <sz val="11.5"/>
        <rFont val="Times New Roman"/>
        <family val="1"/>
      </rPr>
      <t>111</t>
    </r>
    <r>
      <rPr>
        <sz val="11.5"/>
        <rFont val="標楷體"/>
        <family val="4"/>
        <charset val="136"/>
      </rPr>
      <t>年度決算數為審定決算數；</t>
    </r>
    <r>
      <rPr>
        <sz val="11.5"/>
        <rFont val="Times New Roman"/>
        <family val="1"/>
      </rPr>
      <t>112</t>
    </r>
    <r>
      <rPr>
        <sz val="11.5"/>
        <rFont val="標楷體"/>
        <family val="4"/>
        <charset val="136"/>
      </rPr>
      <t xml:space="preserve">年度為法定預算數。以下各表同。
</t>
    </r>
    <r>
      <rPr>
        <sz val="11.5"/>
        <rFont val="Times New Roman"/>
        <family val="1"/>
      </rPr>
      <t xml:space="preserve">        2.</t>
    </r>
    <r>
      <rPr>
        <sz val="11.5"/>
        <rFont val="標楷體"/>
        <family val="4"/>
        <charset val="136"/>
      </rPr>
      <t xml:space="preserve">決算數細數之和與總數或略有出入，係四捨五入關係。
</t>
    </r>
    <r>
      <rPr>
        <sz val="11.5"/>
        <rFont val="Times New Roman"/>
        <family val="1"/>
      </rPr>
      <t xml:space="preserve"> </t>
    </r>
    <phoneticPr fontId="73" type="noConversion"/>
  </si>
  <si>
    <t>　　兌換賸餘</t>
    <phoneticPr fontId="6" type="noConversion"/>
  </si>
  <si>
    <r>
      <rPr>
        <sz val="13"/>
        <rFont val="標楷體"/>
        <family val="4"/>
        <charset val="136"/>
      </rPr>
      <t>（二）投融資業務收入</t>
    </r>
    <r>
      <rPr>
        <sz val="13"/>
        <rFont val="Times New Roman"/>
        <family val="1"/>
      </rPr>
      <t>32,289,141</t>
    </r>
    <r>
      <rPr>
        <sz val="13"/>
        <rFont val="標楷體"/>
        <family val="4"/>
        <charset val="136"/>
      </rPr>
      <t>千元，係本基金</t>
    </r>
    <r>
      <rPr>
        <sz val="13"/>
        <color theme="1"/>
        <rFont val="標楷體"/>
        <family val="4"/>
        <charset val="136"/>
      </rPr>
      <t xml:space="preserve">投資運用收益、存款利息收入及融資業
</t>
    </r>
    <r>
      <rPr>
        <sz val="13"/>
        <color theme="1"/>
        <rFont val="Times New Roman"/>
        <family val="1"/>
      </rPr>
      <t xml:space="preserve">            </t>
    </r>
    <r>
      <rPr>
        <sz val="13"/>
        <color theme="1"/>
        <rFont val="標楷體"/>
        <family val="4"/>
        <charset val="136"/>
      </rPr>
      <t>務收入。</t>
    </r>
    <phoneticPr fontId="6" type="noConversion"/>
  </si>
  <si>
    <r>
      <rPr>
        <sz val="13"/>
        <rFont val="標楷體"/>
        <family val="4"/>
        <charset val="136"/>
      </rPr>
      <t>（二）投融資業務成本</t>
    </r>
    <r>
      <rPr>
        <sz val="13"/>
        <rFont val="Times New Roman"/>
        <family val="1"/>
      </rPr>
      <t>1,013,286</t>
    </r>
    <r>
      <rPr>
        <sz val="13"/>
        <rFont val="標楷體"/>
        <family val="4"/>
        <charset val="136"/>
      </rPr>
      <t>千元，</t>
    </r>
    <r>
      <rPr>
        <sz val="13"/>
        <color theme="1"/>
        <rFont val="標楷體"/>
        <family val="4"/>
        <charset val="136"/>
      </rPr>
      <t>係本基金投資運用之委託經營經理費</t>
    </r>
    <r>
      <rPr>
        <sz val="13"/>
        <color theme="1"/>
        <rFont val="新細明體"/>
        <family val="1"/>
        <charset val="136"/>
      </rPr>
      <t>、</t>
    </r>
    <r>
      <rPr>
        <sz val="13"/>
        <color theme="1"/>
        <rFont val="標楷體"/>
        <family val="4"/>
        <charset val="136"/>
      </rPr>
      <t xml:space="preserve">國外投資
</t>
    </r>
    <r>
      <rPr>
        <sz val="13"/>
        <color theme="1"/>
        <rFont val="Times New Roman"/>
        <family val="1"/>
      </rPr>
      <t xml:space="preserve">            </t>
    </r>
    <r>
      <rPr>
        <sz val="13"/>
        <color theme="1"/>
        <rFont val="標楷體"/>
        <family val="4"/>
        <charset val="136"/>
      </rPr>
      <t>保管費及被保險人貸款手續費等</t>
    </r>
    <r>
      <rPr>
        <sz val="13"/>
        <color theme="1"/>
        <rFont val="新細明體"/>
        <family val="1"/>
        <charset val="136"/>
      </rPr>
      <t>。</t>
    </r>
    <phoneticPr fontId="6" type="noConversion"/>
  </si>
  <si>
    <r>
      <rPr>
        <sz val="12"/>
        <rFont val="標楷體"/>
        <family val="4"/>
        <charset val="136"/>
      </rPr>
      <t>係基金投資性不動產平均營運量</t>
    </r>
    <r>
      <rPr>
        <sz val="12"/>
        <rFont val="Times New Roman"/>
        <family val="1"/>
      </rPr>
      <t>1,599,107</t>
    </r>
    <r>
      <rPr>
        <sz val="12"/>
        <rFont val="標楷體"/>
        <family val="4"/>
        <charset val="136"/>
      </rPr>
      <t>千元所獲得之租金收入等，詳</t>
    </r>
    <r>
      <rPr>
        <sz val="12"/>
        <color theme="1"/>
        <rFont val="標楷體"/>
        <family val="4"/>
        <charset val="136"/>
      </rPr>
      <t>第</t>
    </r>
    <r>
      <rPr>
        <sz val="12"/>
        <color theme="1"/>
        <rFont val="Times New Roman"/>
        <family val="1"/>
      </rPr>
      <t>63</t>
    </r>
    <r>
      <rPr>
        <sz val="12"/>
        <color theme="1"/>
        <rFont val="標楷體"/>
        <family val="4"/>
        <charset val="136"/>
      </rPr>
      <t>頁投資</t>
    </r>
    <r>
      <rPr>
        <sz val="12"/>
        <rFont val="標楷體"/>
        <family val="4"/>
        <charset val="136"/>
      </rPr>
      <t>性不動產收入分析表。</t>
    </r>
    <phoneticPr fontId="6" type="noConversion"/>
  </si>
  <si>
    <r>
      <t>109</t>
    </r>
    <r>
      <rPr>
        <sz val="12"/>
        <rFont val="標楷體"/>
        <family val="4"/>
        <charset val="136"/>
      </rPr>
      <t>年度決算</t>
    </r>
  </si>
  <si>
    <r>
      <t>110</t>
    </r>
    <r>
      <rPr>
        <sz val="12"/>
        <rFont val="標楷體"/>
        <family val="4"/>
        <charset val="136"/>
      </rPr>
      <t>年度決算</t>
    </r>
  </si>
  <si>
    <r>
      <t>111</t>
    </r>
    <r>
      <rPr>
        <sz val="12"/>
        <rFont val="標楷體"/>
        <family val="4"/>
        <charset val="136"/>
      </rPr>
      <t>年度決算</t>
    </r>
    <phoneticPr fontId="6" type="noConversion"/>
  </si>
  <si>
    <r>
      <t>112</t>
    </r>
    <r>
      <rPr>
        <sz val="12"/>
        <rFont val="標楷體"/>
        <family val="4"/>
        <charset val="136"/>
      </rPr>
      <t>年度預算</t>
    </r>
    <phoneticPr fontId="6" type="noConversion"/>
  </si>
  <si>
    <r>
      <t>113</t>
    </r>
    <r>
      <rPr>
        <sz val="12"/>
        <rFont val="標楷體"/>
        <family val="4"/>
        <charset val="136"/>
      </rPr>
      <t>年度預算</t>
    </r>
    <phoneticPr fontId="73" type="noConversion"/>
  </si>
  <si>
    <r>
      <rPr>
        <sz val="13"/>
        <rFont val="標楷體"/>
        <family val="4"/>
        <charset val="136"/>
      </rPr>
      <t>一、本年度業務收入</t>
    </r>
    <r>
      <rPr>
        <sz val="13"/>
        <rFont val="Times New Roman"/>
        <family val="1"/>
      </rPr>
      <t>698,902,259</t>
    </r>
    <r>
      <rPr>
        <sz val="13"/>
        <rFont val="標楷體"/>
        <family val="4"/>
        <charset val="136"/>
      </rPr>
      <t>千元：</t>
    </r>
    <phoneticPr fontId="6" type="noConversion"/>
  </si>
  <si>
    <r>
      <rPr>
        <sz val="13"/>
        <rFont val="標楷體"/>
        <family val="4"/>
        <charset val="136"/>
      </rPr>
      <t>二、本年度業務成本與費用</t>
    </r>
    <r>
      <rPr>
        <sz val="13"/>
        <rFont val="Times New Roman"/>
        <family val="1"/>
      </rPr>
      <t>699,228,480</t>
    </r>
    <r>
      <rPr>
        <sz val="13"/>
        <rFont val="標楷體"/>
        <family val="4"/>
        <charset val="136"/>
      </rPr>
      <t>千元：</t>
    </r>
    <phoneticPr fontId="6" type="noConversion"/>
  </si>
  <si>
    <r>
      <rPr>
        <sz val="13"/>
        <rFont val="標楷體"/>
        <family val="4"/>
        <charset val="136"/>
      </rPr>
      <t>（四）其他業務收入</t>
    </r>
    <r>
      <rPr>
        <sz val="13"/>
        <rFont val="Times New Roman"/>
        <family val="1"/>
      </rPr>
      <t>135,267,028</t>
    </r>
    <r>
      <rPr>
        <sz val="13"/>
        <rFont val="標楷體"/>
        <family val="4"/>
        <charset val="136"/>
      </rPr>
      <t>千元，係</t>
    </r>
    <r>
      <rPr>
        <sz val="13"/>
        <color theme="1"/>
        <rFont val="標楷體"/>
        <family val="4"/>
        <charset val="136"/>
      </rPr>
      <t>政府撥補勞工保險基金及</t>
    </r>
    <r>
      <rPr>
        <sz val="13"/>
        <rFont val="標楷體"/>
        <family val="4"/>
        <charset val="136"/>
      </rPr>
      <t>農保虧損由政府補</t>
    </r>
    <r>
      <rPr>
        <sz val="13"/>
        <color theme="1"/>
        <rFont val="標楷體"/>
        <family val="4"/>
        <charset val="136"/>
      </rPr>
      <t>助</t>
    </r>
    <r>
      <rPr>
        <sz val="13"/>
        <rFont val="Times New Roman"/>
        <family val="4"/>
        <charset val="136"/>
      </rPr>
      <t xml:space="preserve">
            </t>
    </r>
    <r>
      <rPr>
        <sz val="13"/>
        <rFont val="標楷體"/>
        <family val="4"/>
        <charset val="136"/>
      </rPr>
      <t>等。</t>
    </r>
    <phoneticPr fontId="6" type="noConversion"/>
  </si>
  <si>
    <r>
      <rPr>
        <sz val="12"/>
        <rFont val="標楷體"/>
        <family val="4"/>
        <charset val="136"/>
      </rPr>
      <t>係政府撥補勞工保險基金。</t>
    </r>
    <r>
      <rPr>
        <sz val="12"/>
        <rFont val="Times New Roman"/>
        <family val="1"/>
      </rPr>
      <t>(</t>
    </r>
    <r>
      <rPr>
        <sz val="12"/>
        <rFont val="標楷體"/>
        <family val="4"/>
        <charset val="136"/>
      </rPr>
      <t>含中央政府疫後強化經濟與社會韌性及全民共享經濟成果特別預算於</t>
    </r>
    <r>
      <rPr>
        <sz val="12"/>
        <rFont val="Times New Roman"/>
        <family val="1"/>
      </rPr>
      <t>112</t>
    </r>
    <r>
      <rPr>
        <sz val="12"/>
        <rFont val="標楷體"/>
        <family val="4"/>
        <charset val="136"/>
      </rPr>
      <t>至</t>
    </r>
    <r>
      <rPr>
        <sz val="12"/>
        <rFont val="Times New Roman"/>
        <family val="1"/>
      </rPr>
      <t>114</t>
    </r>
    <r>
      <rPr>
        <sz val="12"/>
        <rFont val="標楷體"/>
        <family val="4"/>
        <charset val="136"/>
      </rPr>
      <t>年度共挹注勞工保險基金</t>
    </r>
    <r>
      <rPr>
        <sz val="12"/>
        <rFont val="Times New Roman"/>
        <family val="4"/>
      </rPr>
      <t>3</t>
    </r>
    <r>
      <rPr>
        <sz val="12"/>
        <rFont val="Times New Roman"/>
        <family val="1"/>
      </rPr>
      <t>0,000,000</t>
    </r>
    <r>
      <rPr>
        <sz val="12"/>
        <rFont val="標楷體"/>
        <family val="4"/>
        <charset val="136"/>
      </rPr>
      <t>千元，本年度編列</t>
    </r>
    <r>
      <rPr>
        <sz val="12"/>
        <rFont val="Times New Roman"/>
        <family val="4"/>
      </rPr>
      <t>10,000,000</t>
    </r>
    <r>
      <rPr>
        <sz val="12"/>
        <rFont val="標楷體"/>
        <family val="4"/>
        <charset val="136"/>
      </rPr>
      <t>千元</t>
    </r>
    <r>
      <rPr>
        <sz val="12"/>
        <rFont val="Times New Roman"/>
        <family val="1"/>
      </rPr>
      <t>)</t>
    </r>
    <phoneticPr fontId="6" type="noConversion"/>
  </si>
  <si>
    <t>科　目</t>
    <phoneticPr fontId="6" type="noConversion"/>
  </si>
  <si>
    <r>
      <rPr>
        <sz val="13"/>
        <rFont val="標楷體"/>
        <family val="4"/>
        <charset val="136"/>
      </rPr>
      <t>（三）保險成本</t>
    </r>
    <r>
      <rPr>
        <sz val="13"/>
        <rFont val="Times New Roman"/>
        <family val="1"/>
      </rPr>
      <t>692,223,625</t>
    </r>
    <r>
      <rPr>
        <sz val="13"/>
        <rFont val="標楷體"/>
        <family val="4"/>
        <charset val="136"/>
      </rPr>
      <t>千元，包含保險給付</t>
    </r>
    <r>
      <rPr>
        <sz val="13"/>
        <rFont val="Times New Roman"/>
        <family val="1"/>
      </rPr>
      <t>586,951,800</t>
    </r>
    <r>
      <rPr>
        <sz val="13"/>
        <rFont val="標楷體"/>
        <family val="4"/>
        <charset val="136"/>
      </rPr>
      <t>千元</t>
    </r>
    <r>
      <rPr>
        <sz val="13"/>
        <rFont val="新細明體"/>
        <family val="1"/>
        <charset val="136"/>
      </rPr>
      <t>、</t>
    </r>
    <r>
      <rPr>
        <sz val="13"/>
        <rFont val="標楷體"/>
        <family val="4"/>
        <charset val="136"/>
      </rPr>
      <t xml:space="preserve">提存責任準備
</t>
    </r>
    <r>
      <rPr>
        <sz val="13"/>
        <rFont val="Times New Roman"/>
        <family val="1"/>
      </rPr>
      <t xml:space="preserve">            104,526,278</t>
    </r>
    <r>
      <rPr>
        <sz val="13"/>
        <rFont val="標楷體"/>
        <family val="4"/>
        <charset val="136"/>
      </rPr>
      <t>千元及呆帳</t>
    </r>
    <r>
      <rPr>
        <sz val="13"/>
        <rFont val="Times New Roman"/>
        <family val="1"/>
      </rPr>
      <t>745,547</t>
    </r>
    <r>
      <rPr>
        <sz val="13"/>
        <rFont val="標楷體"/>
        <family val="4"/>
        <charset val="136"/>
      </rPr>
      <t>千元。</t>
    </r>
    <phoneticPr fontId="6" type="noConversion"/>
  </si>
  <si>
    <t>補助危老移動式起重機汰舊換新試辦計畫
　　　　</t>
    <phoneticPr fontId="23" type="noConversion"/>
  </si>
  <si>
    <t>職業安全衛生全國巡迴推廣及工安意識促進</t>
    <phoneticPr fontId="6" type="noConversion"/>
  </si>
  <si>
    <t>職場危害評估採樣分析計畫</t>
    <phoneticPr fontId="6" type="noConversion"/>
  </si>
  <si>
    <t>職災勞工傷病防治整合性服務及職業病鑑定</t>
    <phoneticPr fontId="23" type="noConversion"/>
  </si>
  <si>
    <t>職業病預防介入改善計畫</t>
    <phoneticPr fontId="23" type="noConversion"/>
  </si>
  <si>
    <t>營造業職業安全衛生管理促進計畫</t>
    <phoneticPr fontId="23" type="noConversion"/>
  </si>
  <si>
    <t>推動產業車輛機械及機具安全檢驗，暨補助新購安全機械及改善既有機械安全</t>
    <phoneticPr fontId="23" type="noConversion"/>
  </si>
  <si>
    <r>
      <rPr>
        <sz val="12"/>
        <rFont val="標楷體"/>
        <family val="4"/>
        <charset val="136"/>
      </rPr>
      <t>本科目勞動部勞工保險局辦理</t>
    </r>
    <r>
      <rPr>
        <sz val="12"/>
        <rFont val="Times New Roman"/>
        <family val="1"/>
      </rPr>
      <t>692,012,438</t>
    </r>
    <r>
      <rPr>
        <sz val="12"/>
        <rFont val="標楷體"/>
        <family val="4"/>
        <charset val="136"/>
      </rPr>
      <t>千元；勞動部職業安全衛生署辦理</t>
    </r>
    <r>
      <rPr>
        <sz val="12"/>
        <rFont val="Times New Roman"/>
        <family val="1"/>
      </rPr>
      <t>211,187</t>
    </r>
    <r>
      <rPr>
        <sz val="12"/>
        <rFont val="標楷體"/>
        <family val="4"/>
        <charset val="136"/>
      </rPr>
      <t>千元。</t>
    </r>
    <phoneticPr fontId="6" type="noConversion"/>
  </si>
  <si>
    <r>
      <rPr>
        <sz val="12"/>
        <rFont val="標楷體"/>
        <family val="4"/>
        <charset val="136"/>
      </rPr>
      <t>編列</t>
    </r>
    <r>
      <rPr>
        <sz val="12"/>
        <rFont val="Times New Roman"/>
        <family val="4"/>
      </rPr>
      <t>9</t>
    </r>
    <r>
      <rPr>
        <sz val="12"/>
        <rFont val="Times New Roman"/>
        <family val="1"/>
      </rPr>
      <t>7,931,897</t>
    </r>
    <r>
      <rPr>
        <sz val="12"/>
        <rFont val="標楷體"/>
        <family val="4"/>
        <charset val="136"/>
      </rPr>
      <t>千元，係勞工保險收入減支出後之餘額，悉數轉列提存責任準備。</t>
    </r>
    <phoneticPr fontId="6" type="noConversion"/>
  </si>
  <si>
    <t>石化、化學工廠及高科技廠製程安全管理輔導</t>
    <phoneticPr fontId="23" type="noConversion"/>
  </si>
  <si>
    <r>
      <t>編列</t>
    </r>
    <r>
      <rPr>
        <sz val="12"/>
        <rFont val="Times New Roman"/>
        <family val="1"/>
      </rPr>
      <t>1,398,281</t>
    </r>
    <r>
      <rPr>
        <sz val="12"/>
        <rFont val="標楷體"/>
        <family val="4"/>
        <charset val="136"/>
      </rPr>
      <t>千元，由勞動部勞工保險局辦理</t>
    </r>
    <r>
      <rPr>
        <sz val="12"/>
        <rFont val="Times New Roman"/>
        <family val="1"/>
      </rPr>
      <t>313,500</t>
    </r>
    <r>
      <rPr>
        <sz val="12"/>
        <rFont val="標楷體"/>
        <family val="4"/>
        <charset val="136"/>
      </rPr>
      <t>千元及勞動部職業安全衛生署辦理</t>
    </r>
    <r>
      <rPr>
        <sz val="12"/>
        <rFont val="Times New Roman"/>
        <family val="1"/>
      </rPr>
      <t>1,084,781</t>
    </r>
    <r>
      <rPr>
        <sz val="12"/>
        <rFont val="標楷體"/>
        <family val="4"/>
        <charset val="136"/>
      </rPr>
      <t>千元，係依勞工職業災害保險及保護法第</t>
    </r>
    <r>
      <rPr>
        <sz val="12"/>
        <rFont val="Times New Roman"/>
        <family val="1"/>
      </rPr>
      <t>62</t>
    </r>
    <r>
      <rPr>
        <sz val="12"/>
        <rFont val="標楷體"/>
        <family val="4"/>
        <charset val="136"/>
      </rPr>
      <t>條規定辦理職業災害預防及重建等業務，詳第</t>
    </r>
    <r>
      <rPr>
        <sz val="12"/>
        <rFont val="Times New Roman"/>
        <family val="1"/>
      </rPr>
      <t>81~82</t>
    </r>
    <r>
      <rPr>
        <sz val="12"/>
        <rFont val="標楷體"/>
        <family val="4"/>
        <charset val="136"/>
      </rPr>
      <t>頁雜項業務成本分析表─勞職保及保護。</t>
    </r>
    <phoneticPr fontId="6" type="noConversion"/>
  </si>
  <si>
    <r>
      <rPr>
        <sz val="12"/>
        <rFont val="標楷體"/>
        <family val="4"/>
        <charset val="136"/>
      </rPr>
      <t>編列</t>
    </r>
    <r>
      <rPr>
        <sz val="12"/>
        <rFont val="Times New Roman"/>
        <family val="1"/>
      </rPr>
      <t>783</t>
    </r>
    <r>
      <rPr>
        <sz val="12"/>
        <rFont val="標楷體"/>
        <family val="4"/>
        <charset val="136"/>
      </rPr>
      <t>千元，係基金投資不動產保全費用、租賃契約公證費、國產署代標租之作業費用等；其中勞務承攬人力預計進用</t>
    </r>
    <r>
      <rPr>
        <sz val="12"/>
        <rFont val="Times New Roman"/>
        <family val="4"/>
      </rPr>
      <t>1</t>
    </r>
    <r>
      <rPr>
        <sz val="12"/>
        <rFont val="標楷體"/>
        <family val="4"/>
        <charset val="136"/>
      </rPr>
      <t>人，編列</t>
    </r>
    <r>
      <rPr>
        <sz val="12"/>
        <rFont val="Times New Roman"/>
        <family val="4"/>
      </rPr>
      <t>389</t>
    </r>
    <r>
      <rPr>
        <sz val="12"/>
        <rFont val="標楷體"/>
        <family val="4"/>
        <charset val="136"/>
      </rPr>
      <t>千元。</t>
    </r>
    <phoneticPr fontId="6" type="noConversion"/>
  </si>
  <si>
    <r>
      <rPr>
        <sz val="12"/>
        <rFont val="標楷體"/>
        <family val="4"/>
        <charset val="136"/>
      </rPr>
      <t>編列</t>
    </r>
    <r>
      <rPr>
        <sz val="12"/>
        <rFont val="Times New Roman"/>
        <family val="1"/>
      </rPr>
      <t>150</t>
    </r>
    <r>
      <rPr>
        <sz val="12"/>
        <rFont val="標楷體"/>
        <family val="4"/>
        <charset val="136"/>
      </rPr>
      <t>千元，為委託調查研究費，係基金投資不動產之鑑價費。</t>
    </r>
    <phoneticPr fontId="6" type="noConversion"/>
  </si>
  <si>
    <r>
      <t>編列</t>
    </r>
    <r>
      <rPr>
        <sz val="12"/>
        <rFont val="Times New Roman"/>
        <family val="1"/>
      </rPr>
      <t>9</t>
    </r>
    <r>
      <rPr>
        <sz val="12"/>
        <rFont val="標楷體"/>
        <family val="4"/>
        <charset val="136"/>
      </rPr>
      <t>千元，係定存利息匯款手續費等。</t>
    </r>
    <phoneticPr fontId="6" type="noConversion"/>
  </si>
  <si>
    <r>
      <rPr>
        <sz val="12"/>
        <color theme="1"/>
        <rFont val="標楷體"/>
        <family val="4"/>
        <charset val="136"/>
      </rPr>
      <t>編列</t>
    </r>
    <r>
      <rPr>
        <sz val="12"/>
        <color theme="1"/>
        <rFont val="Times New Roman"/>
        <family val="1"/>
      </rPr>
      <t>7,452,979</t>
    </r>
    <r>
      <rPr>
        <sz val="12"/>
        <color theme="1"/>
        <rFont val="標楷體"/>
        <family val="4"/>
        <charset val="136"/>
      </rPr>
      <t>千元，係參考以前年度統計資料預估各項給付發生率及單價等因素，主要包含醫療、傷病、失能及死亡之各項給付等。</t>
    </r>
    <phoneticPr fontId="6" type="noConversion"/>
  </si>
  <si>
    <r>
      <rPr>
        <sz val="12"/>
        <color rgb="FF000000"/>
        <rFont val="標楷體"/>
        <family val="4"/>
        <charset val="136"/>
      </rPr>
      <t>辦理職業安全衛生、職業健康與安全衛生永續發展政策、職災勞工重返職場業務、職業傷病診治業務、職業災害預防及重建業務推廣、勞動與安全健康工作環境觀念認知等職業災害預防業務，相關媒體通路宣導製作、託播及刊登等經費</t>
    </r>
    <r>
      <rPr>
        <sz val="12"/>
        <color rgb="FF000000"/>
        <rFont val="Times New Roman"/>
        <family val="1"/>
      </rPr>
      <t>7,740</t>
    </r>
    <r>
      <rPr>
        <sz val="12"/>
        <color rgb="FF000000"/>
        <rFont val="標楷體"/>
        <family val="4"/>
        <charset val="136"/>
      </rPr>
      <t>千元。</t>
    </r>
    <phoneticPr fontId="6" type="noConversion"/>
  </si>
  <si>
    <r>
      <rPr>
        <sz val="12"/>
        <rFont val="標楷體"/>
        <family val="4"/>
        <charset val="136"/>
      </rPr>
      <t>編列</t>
    </r>
    <r>
      <rPr>
        <sz val="12"/>
        <rFont val="Times New Roman"/>
        <family val="1"/>
      </rPr>
      <t>7,740</t>
    </r>
    <r>
      <rPr>
        <sz val="12"/>
        <rFont val="標楷體"/>
        <family val="4"/>
        <charset val="136"/>
      </rPr>
      <t>千元，係辦理職業安全衛生、職業健康與安全衛生永續發展政策、職災勞工重返職場業務、職業傷病診治業務、職業災害預防及重建業務推廣、勞動與安全健康工作環境觀念認知等職業災害預防業務，相關媒體通路宣導製作、託播及刊登等。</t>
    </r>
    <phoneticPr fontId="6" type="noConversion"/>
  </si>
  <si>
    <r>
      <t>係依勞工職業災害保險及保護法第</t>
    </r>
    <r>
      <rPr>
        <sz val="12"/>
        <rFont val="Times New Roman"/>
        <family val="1"/>
      </rPr>
      <t>101</t>
    </r>
    <r>
      <rPr>
        <sz val="12"/>
        <rFont val="標楷體"/>
        <family val="4"/>
        <charset val="136"/>
      </rPr>
      <t>條規定所處罰鍰，由勞動部職業安全衛生署辦理。</t>
    </r>
    <phoneticPr fontId="6" type="noConversion"/>
  </si>
  <si>
    <r>
      <rPr>
        <sz val="12"/>
        <rFont val="標楷體"/>
        <family val="4"/>
        <charset val="136"/>
      </rPr>
      <t>編列</t>
    </r>
    <r>
      <rPr>
        <sz val="12"/>
        <rFont val="Times New Roman"/>
        <family val="1"/>
      </rPr>
      <t>211,187</t>
    </r>
    <r>
      <rPr>
        <sz val="12"/>
        <rFont val="標楷體"/>
        <family val="4"/>
        <charset val="136"/>
      </rPr>
      <t>千元，由勞動部職業安全衛生署辦理，係參考職業災害勞工保護法以前年度執行情形，依勞工職業災害保險及保護法第</t>
    </r>
    <r>
      <rPr>
        <sz val="12"/>
        <rFont val="Times New Roman"/>
        <family val="1"/>
      </rPr>
      <t>79</t>
    </r>
    <r>
      <rPr>
        <sz val="12"/>
        <rFont val="標楷體"/>
        <family val="4"/>
        <charset val="136"/>
      </rPr>
      <t>、</t>
    </r>
    <r>
      <rPr>
        <sz val="12"/>
        <rFont val="Times New Roman"/>
        <family val="1"/>
      </rPr>
      <t>104</t>
    </r>
    <r>
      <rPr>
        <sz val="12"/>
        <rFont val="標楷體"/>
        <family val="4"/>
        <charset val="136"/>
      </rPr>
      <t>及</t>
    </r>
    <r>
      <rPr>
        <sz val="12"/>
        <rFont val="Times New Roman"/>
        <family val="1"/>
      </rPr>
      <t>105</t>
    </r>
    <r>
      <rPr>
        <sz val="12"/>
        <rFont val="標楷體"/>
        <family val="4"/>
        <charset val="136"/>
      </rPr>
      <t>條規定之各項補助。</t>
    </r>
    <phoneticPr fontId="6" type="noConversion"/>
  </si>
  <si>
    <r>
      <rPr>
        <sz val="12"/>
        <color theme="1"/>
        <rFont val="標楷體"/>
        <family val="4"/>
        <charset val="136"/>
      </rPr>
      <t>投保人數係參酌</t>
    </r>
    <r>
      <rPr>
        <sz val="12"/>
        <color theme="1"/>
        <rFont val="Times New Roman"/>
        <family val="1"/>
      </rPr>
      <t>111</t>
    </r>
    <r>
      <rPr>
        <sz val="12"/>
        <color theme="1"/>
        <rFont val="標楷體"/>
        <family val="4"/>
        <charset val="136"/>
      </rPr>
      <t>年之加、退保人數增減幅度，另考量</t>
    </r>
    <r>
      <rPr>
        <sz val="12"/>
        <color theme="1"/>
        <rFont val="Times New Roman"/>
        <family val="1"/>
      </rPr>
      <t>110</t>
    </r>
    <r>
      <rPr>
        <sz val="12"/>
        <color theme="1"/>
        <rFont val="標楷體"/>
        <family val="4"/>
        <charset val="136"/>
      </rPr>
      <t>年初開辦農民退休儲金、</t>
    </r>
    <r>
      <rPr>
        <sz val="12"/>
        <color theme="1"/>
        <rFont val="Times New Roman"/>
        <family val="1"/>
      </rPr>
      <t>111</t>
    </r>
    <r>
      <rPr>
        <sz val="12"/>
        <color theme="1"/>
        <rFont val="標楷體"/>
        <family val="4"/>
        <charset val="136"/>
      </rPr>
      <t>年增訂服短役期退伍軍人得參加農保等因素編列。</t>
    </r>
    <phoneticPr fontId="6" type="noConversion"/>
  </si>
  <si>
    <r>
      <rPr>
        <sz val="12"/>
        <color theme="1"/>
        <rFont val="標楷體"/>
        <family val="4"/>
        <charset val="136"/>
      </rPr>
      <t>月投保金額係依</t>
    </r>
    <r>
      <rPr>
        <sz val="12"/>
        <color theme="1"/>
        <rFont val="Times New Roman"/>
        <family val="1"/>
      </rPr>
      <t>112</t>
    </r>
    <r>
      <rPr>
        <sz val="12"/>
        <color theme="1"/>
        <rFont val="標楷體"/>
        <family val="4"/>
        <charset val="136"/>
      </rPr>
      <t>年修正之農民健康保險條例第</t>
    </r>
    <r>
      <rPr>
        <sz val="12"/>
        <color theme="1"/>
        <rFont val="Times New Roman"/>
        <family val="1"/>
      </rPr>
      <t>11</t>
    </r>
    <r>
      <rPr>
        <sz val="12"/>
        <color theme="1"/>
        <rFont val="標楷體"/>
        <family val="4"/>
        <charset val="136"/>
      </rPr>
      <t>條規定，由</t>
    </r>
    <r>
      <rPr>
        <sz val="12"/>
        <color theme="1"/>
        <rFont val="Times New Roman"/>
        <family val="1"/>
      </rPr>
      <t>10,200</t>
    </r>
    <r>
      <rPr>
        <sz val="12"/>
        <color theme="1"/>
        <rFont val="標楷體"/>
        <family val="4"/>
        <charset val="136"/>
      </rPr>
      <t>元調整為</t>
    </r>
    <r>
      <rPr>
        <sz val="12"/>
        <color theme="1"/>
        <rFont val="Times New Roman"/>
        <family val="1"/>
      </rPr>
      <t>20,400</t>
    </r>
    <r>
      <rPr>
        <sz val="12"/>
        <color theme="1"/>
        <rFont val="標楷體"/>
        <family val="4"/>
        <charset val="136"/>
      </rPr>
      <t>元編列。</t>
    </r>
    <phoneticPr fontId="6" type="noConversion"/>
  </si>
  <si>
    <r>
      <rPr>
        <sz val="12"/>
        <color theme="1"/>
        <rFont val="標楷體"/>
        <family val="1"/>
        <charset val="136"/>
      </rPr>
      <t>投保人數係參酌</t>
    </r>
    <r>
      <rPr>
        <sz val="12"/>
        <color theme="1"/>
        <rFont val="Times New Roman"/>
        <family val="1"/>
      </rPr>
      <t>112</t>
    </r>
    <r>
      <rPr>
        <sz val="12"/>
        <color theme="1"/>
        <rFont val="標楷體"/>
        <family val="1"/>
        <charset val="136"/>
      </rPr>
      <t>年</t>
    </r>
    <r>
      <rPr>
        <sz val="12"/>
        <color theme="1"/>
        <rFont val="Times New Roman"/>
        <family val="1"/>
      </rPr>
      <t>12</t>
    </r>
    <r>
      <rPr>
        <sz val="12"/>
        <color theme="1"/>
        <rFont val="標楷體"/>
        <family val="1"/>
        <charset val="136"/>
      </rPr>
      <t>月</t>
    </r>
    <r>
      <rPr>
        <sz val="12"/>
        <color theme="1"/>
        <rFont val="Times New Roman"/>
        <family val="1"/>
      </rPr>
      <t>1</t>
    </r>
    <r>
      <rPr>
        <sz val="12"/>
        <color theme="1"/>
        <rFont val="標楷體"/>
        <family val="1"/>
        <charset val="136"/>
      </rPr>
      <t>日起申請參加農民健康保險者，視為一併申請參加農民職業災害保險，另考量近來持續加強宣導有助於提升投保率等因素編列。</t>
    </r>
    <phoneticPr fontId="6" type="noConversion"/>
  </si>
  <si>
    <r>
      <rPr>
        <sz val="12"/>
        <rFont val="標楷體"/>
        <family val="4"/>
        <charset val="136"/>
      </rPr>
      <t>係依投保人數</t>
    </r>
    <r>
      <rPr>
        <sz val="12"/>
        <rFont val="Times New Roman"/>
        <family val="1"/>
      </rPr>
      <t>92</t>
    </r>
    <r>
      <rPr>
        <sz val="12"/>
        <rFont val="標楷體"/>
        <family val="4"/>
        <charset val="136"/>
      </rPr>
      <t>萬</t>
    </r>
    <r>
      <rPr>
        <sz val="12"/>
        <rFont val="Times New Roman"/>
        <family val="1"/>
      </rPr>
      <t>5</t>
    </r>
    <r>
      <rPr>
        <sz val="12"/>
        <rFont val="標楷體"/>
        <family val="4"/>
        <charset val="136"/>
      </rPr>
      <t>千人、月投保金額</t>
    </r>
    <r>
      <rPr>
        <sz val="12"/>
        <rFont val="Times New Roman"/>
        <family val="1"/>
      </rPr>
      <t>20,400</t>
    </r>
    <r>
      <rPr>
        <sz val="12"/>
        <rFont val="標楷體"/>
        <family val="4"/>
        <charset val="136"/>
      </rPr>
      <t>元及保險費率</t>
    </r>
    <r>
      <rPr>
        <sz val="12"/>
        <rFont val="Times New Roman"/>
        <family val="1"/>
      </rPr>
      <t>2.55%</t>
    </r>
    <r>
      <rPr>
        <sz val="12"/>
        <rFont val="標楷體"/>
        <family val="4"/>
        <charset val="136"/>
      </rPr>
      <t>估算。</t>
    </r>
    <phoneticPr fontId="6" type="noConversion"/>
  </si>
  <si>
    <r>
      <rPr>
        <sz val="12"/>
        <rFont val="標楷體"/>
        <family val="4"/>
        <charset val="136"/>
      </rPr>
      <t>係依投保人數</t>
    </r>
    <r>
      <rPr>
        <sz val="12"/>
        <rFont val="Times New Roman"/>
        <family val="1"/>
      </rPr>
      <t>34</t>
    </r>
    <r>
      <rPr>
        <sz val="12"/>
        <rFont val="標楷體"/>
        <family val="4"/>
        <charset val="136"/>
      </rPr>
      <t>萬</t>
    </r>
    <r>
      <rPr>
        <sz val="12"/>
        <rFont val="Times New Roman"/>
        <family val="1"/>
      </rPr>
      <t>9</t>
    </r>
    <r>
      <rPr>
        <sz val="12"/>
        <rFont val="標楷體"/>
        <family val="4"/>
        <charset val="136"/>
      </rPr>
      <t>千人、月投保金額</t>
    </r>
    <r>
      <rPr>
        <sz val="12"/>
        <rFont val="Times New Roman"/>
        <family val="1"/>
      </rPr>
      <t>20,400</t>
    </r>
    <r>
      <rPr>
        <sz val="12"/>
        <rFont val="標楷體"/>
        <family val="4"/>
        <charset val="136"/>
      </rPr>
      <t>元及保險費率</t>
    </r>
    <r>
      <rPr>
        <sz val="12"/>
        <rFont val="Times New Roman"/>
        <family val="1"/>
      </rPr>
      <t>0.19%</t>
    </r>
    <r>
      <rPr>
        <sz val="12"/>
        <rFont val="標楷體"/>
        <family val="4"/>
        <charset val="136"/>
      </rPr>
      <t>估算。</t>
    </r>
    <phoneticPr fontId="6" type="noConversion"/>
  </si>
  <si>
    <r>
      <rPr>
        <sz val="12"/>
        <rFont val="標楷體"/>
        <family val="4"/>
        <charset val="136"/>
      </rPr>
      <t>台北市興隆路</t>
    </r>
    <r>
      <rPr>
        <sz val="12"/>
        <rFont val="Times New Roman"/>
        <family val="1"/>
      </rPr>
      <t>3</t>
    </r>
    <r>
      <rPr>
        <sz val="12"/>
        <rFont val="標楷體"/>
        <family val="4"/>
        <charset val="136"/>
      </rPr>
      <t>段</t>
    </r>
    <r>
      <rPr>
        <sz val="12"/>
        <rFont val="Times New Roman"/>
        <family val="1"/>
      </rPr>
      <t>304</t>
    </r>
    <r>
      <rPr>
        <sz val="12"/>
        <rFont val="標楷體"/>
        <family val="4"/>
        <charset val="136"/>
      </rPr>
      <t>巷</t>
    </r>
    <r>
      <rPr>
        <sz val="12"/>
        <rFont val="Times New Roman"/>
        <family val="1"/>
      </rPr>
      <t>27-1</t>
    </r>
    <r>
      <rPr>
        <sz val="12"/>
        <rFont val="標楷體"/>
        <family val="4"/>
        <charset val="136"/>
      </rPr>
      <t>、</t>
    </r>
    <r>
      <rPr>
        <sz val="12"/>
        <rFont val="Times New Roman"/>
        <family val="1"/>
      </rPr>
      <t>31</t>
    </r>
    <r>
      <rPr>
        <sz val="12"/>
        <rFont val="標楷體"/>
        <family val="4"/>
        <charset val="136"/>
      </rPr>
      <t>等號</t>
    </r>
    <phoneticPr fontId="23" type="noConversion"/>
  </si>
  <si>
    <r>
      <rPr>
        <sz val="12"/>
        <rFont val="標楷體"/>
        <family val="4"/>
        <charset val="136"/>
      </rPr>
      <t>台北市大安區泰順街</t>
    </r>
    <r>
      <rPr>
        <sz val="12"/>
        <rFont val="Times New Roman"/>
        <family val="1"/>
      </rPr>
      <t>16</t>
    </r>
    <r>
      <rPr>
        <sz val="12"/>
        <rFont val="標楷體"/>
        <family val="4"/>
        <charset val="136"/>
      </rPr>
      <t>巷</t>
    </r>
    <r>
      <rPr>
        <sz val="12"/>
        <rFont val="Times New Roman"/>
        <family val="4"/>
      </rPr>
      <t>32</t>
    </r>
    <r>
      <rPr>
        <sz val="12"/>
        <rFont val="新細明體"/>
        <family val="4"/>
        <charset val="136"/>
      </rPr>
      <t>、</t>
    </r>
    <r>
      <rPr>
        <sz val="12"/>
        <rFont val="Times New Roman"/>
        <family val="1"/>
      </rPr>
      <t>32-</t>
    </r>
    <r>
      <rPr>
        <sz val="12"/>
        <rFont val="Times New Roman"/>
        <family val="4"/>
      </rPr>
      <t>1</t>
    </r>
    <r>
      <rPr>
        <sz val="12"/>
        <rFont val="標楷體"/>
        <family val="4"/>
        <charset val="136"/>
      </rPr>
      <t>、</t>
    </r>
    <r>
      <rPr>
        <sz val="12"/>
        <rFont val="Times New Roman"/>
        <family val="4"/>
      </rPr>
      <t>32-2</t>
    </r>
    <r>
      <rPr>
        <sz val="12"/>
        <rFont val="標楷體"/>
        <family val="4"/>
        <charset val="136"/>
      </rPr>
      <t>、</t>
    </r>
    <r>
      <rPr>
        <sz val="12"/>
        <rFont val="Times New Roman"/>
        <family val="4"/>
      </rPr>
      <t>32-3</t>
    </r>
    <r>
      <rPr>
        <sz val="12"/>
        <rFont val="標楷體"/>
        <family val="4"/>
        <charset val="136"/>
      </rPr>
      <t>號</t>
    </r>
    <phoneticPr fontId="6" type="noConversion"/>
  </si>
  <si>
    <r>
      <rPr>
        <sz val="10"/>
        <rFont val="標楷體"/>
        <family val="4"/>
        <charset val="136"/>
      </rPr>
      <t xml:space="preserve">註：係勞動部職業安全衛生署、勞動部勞動基金運用局非以用人費用科目辦理項目，包括：
</t>
    </r>
    <r>
      <rPr>
        <sz val="10"/>
        <rFont val="Times New Roman"/>
        <family val="1"/>
      </rPr>
      <t xml:space="preserve">        1.</t>
    </r>
    <r>
      <rPr>
        <sz val="10"/>
        <rFont val="標楷體"/>
        <family val="4"/>
        <charset val="136"/>
      </rPr>
      <t>勞務承攬人力主要係辦理協助發放職災勞工死亡慰問金、基金投資不動產保全管理等相關業務，預計</t>
    </r>
    <r>
      <rPr>
        <sz val="10"/>
        <rFont val="Times New Roman"/>
        <family val="1"/>
      </rPr>
      <t>6</t>
    </r>
    <r>
      <rPr>
        <sz val="10"/>
        <rFont val="標楷體"/>
        <family val="4"/>
        <charset val="136"/>
      </rPr>
      <t xml:space="preserve">人。
</t>
    </r>
    <r>
      <rPr>
        <sz val="10"/>
        <rFont val="Times New Roman"/>
        <family val="1"/>
      </rPr>
      <t xml:space="preserve">        2.</t>
    </r>
    <r>
      <rPr>
        <sz val="10"/>
        <rFont val="標楷體"/>
        <family val="4"/>
        <charset val="136"/>
      </rPr>
      <t xml:space="preserve">契僱人力主要係辦理各地方政府職災勞工服務紀錄填報確認、電話服務、郵件收受、公文繕校、資料建檔
</t>
    </r>
    <r>
      <rPr>
        <sz val="10"/>
        <rFont val="Times New Roman"/>
        <family val="1"/>
      </rPr>
      <t xml:space="preserve">           </t>
    </r>
    <r>
      <rPr>
        <sz val="10"/>
        <rFont val="標楷體"/>
        <family val="4"/>
        <charset val="136"/>
      </rPr>
      <t>繕校等業務，預計</t>
    </r>
    <r>
      <rPr>
        <sz val="10"/>
        <rFont val="Times New Roman"/>
        <family val="1"/>
      </rPr>
      <t>9</t>
    </r>
    <r>
      <rPr>
        <sz val="10"/>
        <rFont val="標楷體"/>
        <family val="4"/>
        <charset val="136"/>
      </rPr>
      <t>人。</t>
    </r>
    <phoneticPr fontId="6" type="noConversion"/>
  </si>
  <si>
    <r>
      <rPr>
        <sz val="10"/>
        <color theme="1"/>
        <rFont val="標楷體"/>
        <family val="4"/>
        <charset val="136"/>
      </rPr>
      <t xml:space="preserve">註：係勞動部職業安全衛生署、勞動部勞動基金運用局非以用人費用科目辦理項目，包括：
</t>
    </r>
    <r>
      <rPr>
        <sz val="10"/>
        <color theme="1"/>
        <rFont val="Times New Roman"/>
        <family val="1"/>
      </rPr>
      <t xml:space="preserve">        1.</t>
    </r>
    <r>
      <rPr>
        <sz val="10"/>
        <color indexed="8"/>
        <rFont val="標楷體"/>
        <family val="4"/>
        <charset val="136"/>
      </rPr>
      <t>勞務承攬人力主要係辦理協助發放職災勞工死亡慰問金、基金投資不動產保全管理等相關業務，</t>
    </r>
    <r>
      <rPr>
        <sz val="10"/>
        <color rgb="FF000000"/>
        <rFont val="標楷體"/>
        <family val="4"/>
        <charset val="136"/>
      </rPr>
      <t>預計</t>
    </r>
    <r>
      <rPr>
        <sz val="10"/>
        <color rgb="FF000000"/>
        <rFont val="Times New Roman"/>
        <family val="1"/>
      </rPr>
      <t>6</t>
    </r>
    <r>
      <rPr>
        <sz val="10"/>
        <color rgb="FF000000"/>
        <rFont val="標楷體"/>
        <family val="4"/>
        <charset val="136"/>
      </rPr>
      <t>人，</t>
    </r>
    <r>
      <rPr>
        <sz val="10"/>
        <color indexed="8"/>
        <rFont val="Times New Roman"/>
        <family val="1"/>
      </rPr>
      <t xml:space="preserve">
           </t>
    </r>
    <r>
      <rPr>
        <sz val="10"/>
        <color indexed="8"/>
        <rFont val="標楷體"/>
        <family val="4"/>
        <charset val="136"/>
      </rPr>
      <t>編列一般服務費</t>
    </r>
    <r>
      <rPr>
        <sz val="10"/>
        <color indexed="8"/>
        <rFont val="Times New Roman"/>
        <family val="1"/>
      </rPr>
      <t>4,349</t>
    </r>
    <r>
      <rPr>
        <sz val="10"/>
        <color indexed="8"/>
        <rFont val="標楷體"/>
        <family val="4"/>
        <charset val="136"/>
      </rPr>
      <t>千元</t>
    </r>
    <r>
      <rPr>
        <sz val="10"/>
        <color indexed="8"/>
        <rFont val="Times New Roman"/>
        <family val="1"/>
      </rPr>
      <t>(</t>
    </r>
    <r>
      <rPr>
        <sz val="10"/>
        <color indexed="8"/>
        <rFont val="標楷體"/>
        <family val="4"/>
        <charset val="136"/>
      </rPr>
      <t>勞動部職業安全衛生署</t>
    </r>
    <r>
      <rPr>
        <sz val="10"/>
        <color indexed="8"/>
        <rFont val="Times New Roman"/>
        <family val="1"/>
      </rPr>
      <t>3,960</t>
    </r>
    <r>
      <rPr>
        <sz val="10"/>
        <color rgb="FF000000"/>
        <rFont val="標楷體"/>
        <family val="4"/>
        <charset val="136"/>
      </rPr>
      <t>千</t>
    </r>
    <r>
      <rPr>
        <sz val="10"/>
        <color indexed="8"/>
        <rFont val="標楷體"/>
        <family val="4"/>
        <charset val="136"/>
      </rPr>
      <t>元，勞動部勞動基金運用局</t>
    </r>
    <r>
      <rPr>
        <sz val="10"/>
        <color indexed="8"/>
        <rFont val="Times New Roman"/>
        <family val="1"/>
      </rPr>
      <t>389</t>
    </r>
    <r>
      <rPr>
        <sz val="10"/>
        <color indexed="8"/>
        <rFont val="標楷體"/>
        <family val="4"/>
        <charset val="136"/>
      </rPr>
      <t>千元</t>
    </r>
    <r>
      <rPr>
        <sz val="10"/>
        <color indexed="8"/>
        <rFont val="Times New Roman"/>
        <family val="1"/>
      </rPr>
      <t>)</t>
    </r>
    <r>
      <rPr>
        <sz val="10"/>
        <color rgb="FF000000"/>
        <rFont val="標楷體"/>
        <family val="4"/>
        <charset val="136"/>
      </rPr>
      <t>。</t>
    </r>
    <r>
      <rPr>
        <sz val="10"/>
        <color indexed="8"/>
        <rFont val="Times New Roman"/>
        <family val="1"/>
      </rPr>
      <t xml:space="preserve">
        2.</t>
    </r>
    <r>
      <rPr>
        <sz val="10"/>
        <color indexed="8"/>
        <rFont val="標楷體"/>
        <family val="4"/>
        <charset val="136"/>
      </rPr>
      <t xml:space="preserve">契僱人力主要係辦理各地方政府職災勞工服務紀錄填報確認、電話服務、郵件收受、公文繕校、資料建檔
</t>
    </r>
    <r>
      <rPr>
        <sz val="10"/>
        <color indexed="8"/>
        <rFont val="Times New Roman"/>
        <family val="1"/>
      </rPr>
      <t xml:space="preserve">           </t>
    </r>
    <r>
      <rPr>
        <sz val="10"/>
        <color indexed="8"/>
        <rFont val="標楷體"/>
        <family val="4"/>
        <charset val="136"/>
      </rPr>
      <t>繕校等業務，預計</t>
    </r>
    <r>
      <rPr>
        <sz val="10"/>
        <color indexed="8"/>
        <rFont val="Times New Roman"/>
        <family val="1"/>
      </rPr>
      <t>9</t>
    </r>
    <r>
      <rPr>
        <sz val="10"/>
        <color indexed="8"/>
        <rFont val="標楷體"/>
        <family val="4"/>
        <charset val="136"/>
      </rPr>
      <t>人，</t>
    </r>
    <r>
      <rPr>
        <sz val="10"/>
        <color rgb="FF000000"/>
        <rFont val="標楷體"/>
        <family val="4"/>
        <charset val="136"/>
      </rPr>
      <t>勞動部職業安全衛生署編列一般服務費</t>
    </r>
    <r>
      <rPr>
        <sz val="10"/>
        <color rgb="FF000000"/>
        <rFont val="Times New Roman"/>
        <family val="1"/>
      </rPr>
      <t>5,260</t>
    </r>
    <r>
      <rPr>
        <sz val="10"/>
        <color rgb="FF000000"/>
        <rFont val="標楷體"/>
        <family val="4"/>
        <charset val="136"/>
      </rPr>
      <t>千元。</t>
    </r>
    <phoneticPr fontId="6" type="noConversion"/>
  </si>
  <si>
    <r>
      <t>2.</t>
    </r>
    <r>
      <rPr>
        <sz val="12"/>
        <rFont val="標楷體"/>
        <family val="4"/>
        <charset val="136"/>
      </rPr>
      <t>淨提存責任準備</t>
    </r>
    <phoneticPr fontId="6" type="noConversion"/>
  </si>
  <si>
    <r>
      <t>　　　　　　　　　　　　　　</t>
    </r>
    <r>
      <rPr>
        <sz val="12"/>
        <rFont val="Times New Roman"/>
        <family val="1"/>
      </rPr>
      <t xml:space="preserve">         </t>
    </r>
    <r>
      <rPr>
        <sz val="12"/>
        <rFont val="標楷體"/>
        <family val="4"/>
        <charset val="136"/>
      </rPr>
      <t>中華民國</t>
    </r>
    <r>
      <rPr>
        <sz val="12"/>
        <rFont val="Times New Roman"/>
        <family val="1"/>
      </rPr>
      <t>113</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6" type="noConversion"/>
  </si>
  <si>
    <r>
      <rPr>
        <sz val="12"/>
        <color theme="1"/>
        <rFont val="標楷體"/>
        <family val="4"/>
        <charset val="136"/>
      </rPr>
      <t>扣除政府機關及政府補助後依逾期繳納保費數之</t>
    </r>
    <r>
      <rPr>
        <sz val="12"/>
        <color theme="1"/>
        <rFont val="Times New Roman"/>
        <family val="1"/>
      </rPr>
      <t>0.1%</t>
    </r>
    <r>
      <rPr>
        <sz val="12"/>
        <color theme="1"/>
        <rFont val="標楷體"/>
        <family val="4"/>
        <charset val="136"/>
      </rPr>
      <t>，按平均逾期</t>
    </r>
    <r>
      <rPr>
        <sz val="12"/>
        <color theme="1"/>
        <rFont val="Times New Roman"/>
        <family val="1"/>
      </rPr>
      <t>17</t>
    </r>
    <r>
      <rPr>
        <sz val="12"/>
        <color theme="1"/>
        <rFont val="標楷體"/>
        <family val="4"/>
        <charset val="136"/>
      </rPr>
      <t>天計列。</t>
    </r>
    <phoneticPr fontId="23" type="noConversion"/>
  </si>
  <si>
    <t xml:space="preserve">   職業傷病診治服務網絡及傷病通報</t>
    <phoneticPr fontId="6" type="noConversion"/>
  </si>
  <si>
    <r>
      <rPr>
        <sz val="12"/>
        <color theme="1"/>
        <rFont val="標楷體"/>
        <family val="4"/>
        <charset val="136"/>
      </rPr>
      <t>保險費由被保險人負擔</t>
    </r>
    <r>
      <rPr>
        <sz val="12"/>
        <color theme="1"/>
        <rFont val="Times New Roman"/>
        <family val="1"/>
      </rPr>
      <t>60%</t>
    </r>
    <r>
      <rPr>
        <sz val="12"/>
        <color theme="1"/>
        <rFont val="標楷體"/>
        <family val="4"/>
        <charset val="136"/>
      </rPr>
      <t>，政府補助</t>
    </r>
    <r>
      <rPr>
        <sz val="12"/>
        <color theme="1"/>
        <rFont val="Times New Roman"/>
        <family val="1"/>
      </rPr>
      <t>40%</t>
    </r>
    <r>
      <rPr>
        <sz val="12"/>
        <color theme="1"/>
        <rFont val="標楷體"/>
        <family val="4"/>
        <charset val="136"/>
      </rPr>
      <t>。
被保險人負擔</t>
    </r>
    <r>
      <rPr>
        <sz val="12"/>
        <color theme="1"/>
        <rFont val="Times New Roman"/>
        <family val="1"/>
      </rPr>
      <t>96,324</t>
    </r>
    <r>
      <rPr>
        <sz val="12"/>
        <color theme="1"/>
        <rFont val="標楷體"/>
        <family val="4"/>
        <charset val="136"/>
      </rPr>
      <t>千元，</t>
    </r>
    <r>
      <rPr>
        <sz val="12"/>
        <color theme="1"/>
        <rFont val="Times New Roman"/>
        <family val="1"/>
      </rPr>
      <t>112</t>
    </r>
    <r>
      <rPr>
        <sz val="12"/>
        <color theme="1"/>
        <rFont val="標楷體"/>
        <family val="4"/>
        <charset val="136"/>
      </rPr>
      <t>年農民健康保險條例修正施行，因月投保金額提高為</t>
    </r>
    <r>
      <rPr>
        <sz val="12"/>
        <color theme="1"/>
        <rFont val="Times New Roman"/>
        <family val="1"/>
      </rPr>
      <t>20,400</t>
    </r>
    <r>
      <rPr>
        <sz val="12"/>
        <color theme="1"/>
        <rFont val="標楷體"/>
        <family val="4"/>
        <charset val="136"/>
      </rPr>
      <t>元後被保險人每月應負擔保費增加</t>
    </r>
    <r>
      <rPr>
        <sz val="12"/>
        <color theme="1"/>
        <rFont val="Times New Roman"/>
        <family val="1"/>
      </rPr>
      <t>8</t>
    </r>
    <r>
      <rPr>
        <sz val="12"/>
        <color theme="1"/>
        <rFont val="標楷體"/>
        <family val="4"/>
        <charset val="136"/>
      </rPr>
      <t>元之保險費</t>
    </r>
    <r>
      <rPr>
        <sz val="12"/>
        <color theme="1"/>
        <rFont val="Times New Roman"/>
        <family val="1"/>
      </rPr>
      <t>33,504</t>
    </r>
    <r>
      <rPr>
        <sz val="12"/>
        <color theme="1"/>
        <rFont val="標楷體"/>
        <family val="4"/>
        <charset val="136"/>
      </rPr>
      <t>千元，依立法院修正農民健康保險條例部分條文時通過之附帶決議，前</t>
    </r>
    <r>
      <rPr>
        <sz val="12"/>
        <color theme="1"/>
        <rFont val="Times New Roman"/>
        <family val="1"/>
      </rPr>
      <t>3</t>
    </r>
    <r>
      <rPr>
        <sz val="12"/>
        <color theme="1"/>
        <rFont val="標楷體"/>
        <family val="4"/>
        <charset val="136"/>
      </rPr>
      <t>年由中央負擔。</t>
    </r>
    <phoneticPr fontId="23" type="noConversion"/>
  </si>
  <si>
    <r>
      <rPr>
        <sz val="12"/>
        <color theme="1"/>
        <rFont val="標楷體"/>
        <family val="4"/>
        <charset val="136"/>
      </rPr>
      <t>保險費由被保險人負擔</t>
    </r>
    <r>
      <rPr>
        <sz val="12"/>
        <color theme="1"/>
        <rFont val="Times New Roman"/>
        <family val="1"/>
      </rPr>
      <t>30%</t>
    </r>
    <r>
      <rPr>
        <sz val="12"/>
        <color theme="1"/>
        <rFont val="標楷體"/>
        <family val="4"/>
        <charset val="136"/>
      </rPr>
      <t>，政府補助</t>
    </r>
    <r>
      <rPr>
        <sz val="12"/>
        <color theme="1"/>
        <rFont val="Times New Roman"/>
        <family val="1"/>
      </rPr>
      <t>70%</t>
    </r>
    <r>
      <rPr>
        <sz val="12"/>
        <color theme="1"/>
        <rFont val="標楷體"/>
        <family val="4"/>
        <charset val="136"/>
      </rPr>
      <t>。
被保險人負擔</t>
    </r>
    <r>
      <rPr>
        <sz val="12"/>
        <color theme="1"/>
        <rFont val="Times New Roman"/>
        <family val="1"/>
      </rPr>
      <t>1,732,266</t>
    </r>
    <r>
      <rPr>
        <sz val="12"/>
        <color theme="1"/>
        <rFont val="標楷體"/>
        <family val="4"/>
        <charset val="136"/>
      </rPr>
      <t>千元，</t>
    </r>
    <r>
      <rPr>
        <sz val="12"/>
        <color theme="1"/>
        <rFont val="Times New Roman"/>
        <family val="1"/>
      </rPr>
      <t>112</t>
    </r>
    <r>
      <rPr>
        <sz val="12"/>
        <color theme="1"/>
        <rFont val="標楷體"/>
        <family val="4"/>
        <charset val="136"/>
      </rPr>
      <t>年農民健康保險條例修正施行，因月投保金額提高為</t>
    </r>
    <r>
      <rPr>
        <sz val="12"/>
        <color theme="1"/>
        <rFont val="Times New Roman"/>
        <family val="1"/>
      </rPr>
      <t>20,400</t>
    </r>
    <r>
      <rPr>
        <sz val="12"/>
        <color theme="1"/>
        <rFont val="標楷體"/>
        <family val="4"/>
        <charset val="136"/>
      </rPr>
      <t>元後被保險人所增加應負擔之保險費</t>
    </r>
    <r>
      <rPr>
        <sz val="12"/>
        <color theme="1"/>
        <rFont val="Times New Roman"/>
        <family val="1"/>
      </rPr>
      <t>866,133</t>
    </r>
    <r>
      <rPr>
        <sz val="12"/>
        <color theme="1"/>
        <rFont val="標楷體"/>
        <family val="4"/>
        <charset val="136"/>
      </rPr>
      <t>千元，依據農民健康保險條例施行細則第</t>
    </r>
    <r>
      <rPr>
        <sz val="12"/>
        <color theme="1"/>
        <rFont val="Times New Roman"/>
        <family val="1"/>
      </rPr>
      <t>27</t>
    </r>
    <r>
      <rPr>
        <sz val="12"/>
        <color theme="1"/>
        <rFont val="標楷體"/>
        <family val="4"/>
        <charset val="136"/>
      </rPr>
      <t>條之</t>
    </r>
    <r>
      <rPr>
        <sz val="12"/>
        <color theme="1"/>
        <rFont val="Times New Roman"/>
        <family val="1"/>
      </rPr>
      <t>1</t>
    </r>
    <r>
      <rPr>
        <sz val="12"/>
        <color theme="1"/>
        <rFont val="標楷體"/>
        <family val="4"/>
        <charset val="136"/>
      </rPr>
      <t>規定，由中央主管機關予以補助。</t>
    </r>
    <phoneticPr fontId="6" type="noConversion"/>
  </si>
  <si>
    <r>
      <rPr>
        <sz val="12"/>
        <color theme="1"/>
        <rFont val="標楷體"/>
        <family val="4"/>
        <charset val="136"/>
      </rPr>
      <t>扣除政府補助後依逾期繳納保費數之</t>
    </r>
    <r>
      <rPr>
        <sz val="12"/>
        <color theme="1"/>
        <rFont val="Times New Roman"/>
        <family val="1"/>
      </rPr>
      <t>0.2%</t>
    </r>
    <r>
      <rPr>
        <sz val="12"/>
        <color theme="1"/>
        <rFont val="標楷體"/>
        <family val="4"/>
        <charset val="136"/>
      </rPr>
      <t>，按平均逾期</t>
    </r>
    <r>
      <rPr>
        <sz val="12"/>
        <color theme="1"/>
        <rFont val="Times New Roman"/>
        <family val="1"/>
      </rPr>
      <t>280</t>
    </r>
    <r>
      <rPr>
        <sz val="12"/>
        <color theme="1"/>
        <rFont val="標楷體"/>
        <family val="4"/>
        <charset val="136"/>
      </rPr>
      <t>天計列。</t>
    </r>
    <phoneticPr fontId="2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</si>
</sst>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42" formatCode="_-&quot;$&quot;* #,##0_-;\-&quot;$&quot;* #,##0_-;_-&quot;$&quot;* &quot;-&quot;_-;_-@_-"/>
    <numFmt numFmtId="41" formatCode="_-* #,##0_-;\-* #,##0_-;_-* &quot;-&quot;_-;_-@_-"/>
    <numFmt numFmtId="44" formatCode="_-&quot;$&quot;* #,##0.00_-;\-&quot;$&quot;* #,##0.00_-;_-&quot;$&quot;* &quot;-&quot;??_-;_-@_-"/>
    <numFmt numFmtId="43" formatCode="_-* #,##0.00_-;\-* #,##0.00_-;_-* &quot;-&quot;??_-;_-@_-"/>
    <numFmt numFmtId="176" formatCode="0.00_ "/>
    <numFmt numFmtId="177" formatCode="0.000%"/>
    <numFmt numFmtId="178" formatCode="_-* #,##0_-;\-* #,##0_-;_-* &quot;-&quot;??_-;_-@_-"/>
    <numFmt numFmtId="179" formatCode="#,##0_ "/>
    <numFmt numFmtId="180" formatCode="#,##0_);[Red]\(#,##0\)"/>
    <numFmt numFmtId="181" formatCode="#,##0.00_ "/>
    <numFmt numFmtId="182" formatCode="#,##0_ ;[Red]\-#,##0\ "/>
    <numFmt numFmtId="183" formatCode="0.00000_);[Red]\(0.00000\)"/>
    <numFmt numFmtId="184" formatCode="#,##0.00_);[Red]\(#,##0.00\)"/>
    <numFmt numFmtId="185" formatCode="0.00_);[Red]\(0.00\)"/>
    <numFmt numFmtId="186" formatCode="_-[$€-2]* #,##0.00_-;\-[$€-2]* #,##0.00_-;_-[$€-2]* &quot;-&quot;??_-"/>
    <numFmt numFmtId="187" formatCode="0.0000%"/>
    <numFmt numFmtId="188" formatCode="0.0000_ "/>
    <numFmt numFmtId="189" formatCode="#,##0.0000_ "/>
    <numFmt numFmtId="190" formatCode="&quot;$&quot;#,##0\ ;\(&quot;$&quot;#,##0\)"/>
    <numFmt numFmtId="191" formatCode="#\ ##0_-;\-#\ ##0_-;_-0_-;_-@_ "/>
    <numFmt numFmtId="192" formatCode="#\ ##0.0_-;\-#\ ##0.0_-;_-0.0_-;_-@_ "/>
    <numFmt numFmtId="193" formatCode="_ * #,##0.00_ ;_ * \-#,##0.00_ ;_ * &quot;-&quot;??_ ;_ @_ "/>
    <numFmt numFmtId="194" formatCode="_ * #,##0_ ;_ * \-#,##0_ ;_ * &quot;-&quot;_ ;_ @_ "/>
    <numFmt numFmtId="195" formatCode="_(&quot;$&quot;* #,##0_);_(&quot;$&quot;* \(#,##0\);_(&quot;$&quot;* &quot;-&quot;_);_(@_)"/>
    <numFmt numFmtId="196" formatCode="_ * #,##0_ ;_ * &quot;\&quot;&quot;\&quot;&quot;\&quot;\-#,##0_ ;_ * &quot;-&quot;_ ;_ @_ "/>
    <numFmt numFmtId="197" formatCode="_ * #,##0.00_ ;_ * &quot;\&quot;&quot;\&quot;&quot;\&quot;\-#,##0.00_ ;_ * &quot;-&quot;??_ ;_ @_ "/>
    <numFmt numFmtId="198" formatCode="_ &quot;\&quot;* #,##0_ ;_ &quot;\&quot;* &quot;\&quot;&quot;\&quot;&quot;\&quot;\-#,##0_ ;_ &quot;\&quot;* &quot;-&quot;_ ;_ @_ "/>
    <numFmt numFmtId="199" formatCode="_ &quot;\&quot;* #,##0.00_ ;_ &quot;\&quot;* &quot;\&quot;&quot;\&quot;&quot;\&quot;\-#,##0.00_ ;_ &quot;\&quot;* &quot;-&quot;??_ ;_ @_ "/>
    <numFmt numFmtId="200" formatCode="_-* #,##0.00_-;\-* #,##0.00_-;_-* &quot;-&quot;_-;_-@_-"/>
    <numFmt numFmtId="201" formatCode="0.000"/>
    <numFmt numFmtId="202" formatCode="&quot; &quot;#,##0&quot; &quot;;&quot;-&quot;#,##0&quot; &quot;;&quot; - &quot;;&quot; &quot;@&quot; &quot;"/>
  </numFmts>
  <fonts count="151">
    <font>
      <sz val="12"/>
      <name val="新細明體"/>
      <family val="1"/>
      <charset val="136"/>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name val="新細明體"/>
      <family val="1"/>
      <charset val="136"/>
    </font>
    <font>
      <sz val="9"/>
      <name val="新細明體"/>
      <family val="1"/>
      <charset val="136"/>
    </font>
    <font>
      <u/>
      <sz val="16"/>
      <name val="Times New Roman"/>
      <family val="1"/>
    </font>
    <font>
      <u/>
      <sz val="16"/>
      <name val="標楷體"/>
      <family val="4"/>
      <charset val="136"/>
    </font>
    <font>
      <u/>
      <sz val="14"/>
      <name val="Times New Roman"/>
      <family val="1"/>
    </font>
    <font>
      <sz val="12"/>
      <name val="Times New Roman"/>
      <family val="1"/>
    </font>
    <font>
      <sz val="18"/>
      <name val="標楷體"/>
      <family val="4"/>
      <charset val="136"/>
    </font>
    <font>
      <sz val="18"/>
      <name val="Times New Roman"/>
      <family val="1"/>
    </font>
    <font>
      <b/>
      <sz val="18"/>
      <name val="Times New Roman"/>
      <family val="1"/>
    </font>
    <font>
      <sz val="12"/>
      <name val="標楷體"/>
      <family val="4"/>
      <charset val="136"/>
    </font>
    <font>
      <b/>
      <sz val="12"/>
      <name val="標楷體"/>
      <family val="4"/>
      <charset val="136"/>
    </font>
    <font>
      <b/>
      <sz val="12"/>
      <name val="Times New Roman"/>
      <family val="1"/>
    </font>
    <font>
      <sz val="14"/>
      <name val="Times New Roman"/>
      <family val="1"/>
    </font>
    <font>
      <sz val="14"/>
      <name val="標楷體"/>
      <family val="4"/>
      <charset val="136"/>
    </font>
    <font>
      <sz val="13"/>
      <name val="Times New Roman"/>
      <family val="1"/>
    </font>
    <font>
      <sz val="12"/>
      <color indexed="8"/>
      <name val="標楷體"/>
      <family val="4"/>
      <charset val="136"/>
    </font>
    <font>
      <sz val="12"/>
      <color indexed="8"/>
      <name val="Times New Roman"/>
      <family val="1"/>
    </font>
    <font>
      <sz val="11"/>
      <name val="標楷體"/>
      <family val="4"/>
      <charset val="136"/>
    </font>
    <font>
      <sz val="16"/>
      <name val="華康楷書體W5"/>
      <family val="3"/>
      <charset val="136"/>
    </font>
    <font>
      <sz val="11"/>
      <name val="Times New Roman"/>
      <family val="1"/>
    </font>
    <font>
      <b/>
      <sz val="11"/>
      <name val="標楷體"/>
      <family val="4"/>
      <charset val="136"/>
    </font>
    <font>
      <sz val="16"/>
      <name val="標楷體"/>
      <family val="4"/>
      <charset val="136"/>
    </font>
    <font>
      <b/>
      <sz val="9"/>
      <color indexed="81"/>
      <name val="新細明體"/>
      <family val="1"/>
      <charset val="136"/>
    </font>
    <font>
      <sz val="9"/>
      <color indexed="81"/>
      <name val="新細明體"/>
      <family val="1"/>
      <charset val="136"/>
    </font>
    <font>
      <sz val="10"/>
      <name val="Times New Roman"/>
      <family val="1"/>
    </font>
    <font>
      <sz val="13"/>
      <color indexed="10"/>
      <name val="Times New Roman"/>
      <family val="1"/>
    </font>
    <font>
      <sz val="13"/>
      <name val="標楷體"/>
      <family val="4"/>
      <charset val="136"/>
    </font>
    <font>
      <sz val="12"/>
      <color indexed="12"/>
      <name val="Times New Roman"/>
      <family val="1"/>
    </font>
    <font>
      <b/>
      <sz val="9"/>
      <name val="標楷體"/>
      <family val="4"/>
      <charset val="136"/>
    </font>
    <font>
      <sz val="9"/>
      <name val="Times New Roman"/>
      <family val="1"/>
    </font>
    <font>
      <sz val="9"/>
      <name val="標楷體"/>
      <family val="4"/>
      <charset val="136"/>
    </font>
    <font>
      <b/>
      <sz val="11"/>
      <name val="Times New Roman"/>
      <family val="1"/>
    </font>
    <font>
      <sz val="16"/>
      <name val="Times New Roman"/>
      <family val="1"/>
    </font>
    <font>
      <b/>
      <sz val="12"/>
      <color indexed="8"/>
      <name val="Times New Roman"/>
      <family val="1"/>
    </font>
    <font>
      <sz val="12"/>
      <color indexed="8"/>
      <name val="新細明體"/>
      <family val="1"/>
      <charset val="136"/>
    </font>
    <font>
      <sz val="12"/>
      <color indexed="9"/>
      <name val="新細明體"/>
      <family val="1"/>
      <charset val="136"/>
    </font>
    <font>
      <sz val="12"/>
      <color indexed="60"/>
      <name val="新細明體"/>
      <family val="1"/>
      <charset val="136"/>
    </font>
    <font>
      <sz val="12"/>
      <name val="Courier"/>
      <family val="3"/>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10"/>
      <name val="標楷體"/>
      <family val="4"/>
      <charset val="136"/>
    </font>
    <font>
      <b/>
      <sz val="10"/>
      <name val="Times New Roman"/>
      <family val="1"/>
    </font>
    <font>
      <sz val="7.5"/>
      <name val="標楷體"/>
      <family val="4"/>
      <charset val="136"/>
    </font>
    <font>
      <sz val="7.5"/>
      <name val="Times New Roman"/>
      <family val="1"/>
    </font>
    <font>
      <sz val="11.5"/>
      <name val="Times New Roman"/>
      <family val="1"/>
    </font>
    <font>
      <sz val="11.5"/>
      <name val="標楷體"/>
      <family val="4"/>
      <charset val="136"/>
    </font>
    <font>
      <sz val="10"/>
      <name val="Trebuchet MS"/>
      <family val="2"/>
    </font>
    <font>
      <sz val="9"/>
      <name val="微軟正黑體"/>
      <family val="1"/>
      <charset val="136"/>
    </font>
    <font>
      <sz val="10"/>
      <color indexed="64"/>
      <name val="Arial"/>
      <family val="2"/>
    </font>
    <font>
      <sz val="9"/>
      <color indexed="8"/>
      <name val="Eras Medium ITC"/>
      <family val="2"/>
    </font>
    <font>
      <sz val="10.5"/>
      <name val="標楷體"/>
      <family val="4"/>
      <charset val="136"/>
    </font>
    <font>
      <sz val="12"/>
      <color rgb="FFFF0000"/>
      <name val="Times New Roman"/>
      <family val="1"/>
    </font>
    <font>
      <sz val="10.5"/>
      <name val="Times New Roman"/>
      <family val="1"/>
    </font>
    <font>
      <sz val="10.6"/>
      <name val="標楷體"/>
      <family val="4"/>
      <charset val="136"/>
    </font>
    <font>
      <b/>
      <sz val="16"/>
      <name val="Times New Roman"/>
      <family val="1"/>
    </font>
    <font>
      <b/>
      <sz val="16"/>
      <name val="標楷體"/>
      <family val="4"/>
      <charset val="136"/>
    </font>
    <font>
      <sz val="9"/>
      <name val="細明體"/>
      <family val="3"/>
      <charset val="136"/>
    </font>
    <font>
      <b/>
      <sz val="10"/>
      <name val="標楷體"/>
      <family val="4"/>
      <charset val="136"/>
    </font>
    <font>
      <sz val="8"/>
      <name val="Times New Roman"/>
      <family val="1"/>
    </font>
    <font>
      <sz val="8"/>
      <name val="標楷體"/>
      <family val="4"/>
      <charset val="136"/>
    </font>
    <font>
      <b/>
      <sz val="10"/>
      <color indexed="8"/>
      <name val="Times New Roman"/>
      <family val="1"/>
    </font>
    <font>
      <b/>
      <sz val="9"/>
      <name val="Times New Roman"/>
      <family val="1"/>
    </font>
    <font>
      <b/>
      <sz val="9"/>
      <color indexed="81"/>
      <name val="Tahoma"/>
      <family val="2"/>
    </font>
    <font>
      <sz val="9"/>
      <color indexed="81"/>
      <name val="Tahoma"/>
      <family val="2"/>
    </font>
    <font>
      <sz val="9"/>
      <color indexed="81"/>
      <name val="細明體"/>
      <family val="3"/>
      <charset val="136"/>
    </font>
    <font>
      <b/>
      <sz val="9"/>
      <color indexed="81"/>
      <name val="細明體"/>
      <family val="3"/>
      <charset val="136"/>
    </font>
    <font>
      <sz val="13"/>
      <name val="新細明體"/>
      <family val="1"/>
      <charset val="136"/>
    </font>
    <font>
      <sz val="10.6"/>
      <name val="Times New Roman"/>
      <family val="1"/>
    </font>
    <font>
      <sz val="16"/>
      <name val="細明體"/>
      <family val="3"/>
      <charset val="136"/>
    </font>
    <font>
      <sz val="12"/>
      <name val="細明體"/>
      <family val="3"/>
      <charset val="136"/>
    </font>
    <font>
      <b/>
      <sz val="12"/>
      <name val="細明體"/>
      <family val="3"/>
      <charset val="136"/>
    </font>
    <font>
      <b/>
      <sz val="12"/>
      <color theme="1"/>
      <name val="Times New Roman"/>
      <family val="1"/>
    </font>
    <font>
      <sz val="12"/>
      <color theme="1"/>
      <name val="Times New Roman"/>
      <family val="1"/>
    </font>
    <font>
      <sz val="10"/>
      <color indexed="24"/>
      <name val="Courier New"/>
      <family val="3"/>
    </font>
    <font>
      <sz val="8"/>
      <name val="Arial"/>
      <family val="2"/>
    </font>
    <font>
      <b/>
      <sz val="12"/>
      <name val="Arial"/>
      <family val="2"/>
    </font>
    <font>
      <b/>
      <sz val="12"/>
      <color indexed="24"/>
      <name val="Times New Roman"/>
      <family val="1"/>
    </font>
    <font>
      <sz val="10"/>
      <color indexed="24"/>
      <name val="Times New Roman"/>
      <family val="1"/>
    </font>
    <font>
      <sz val="7.5"/>
      <name val="Century Schoolbook"/>
      <family val="1"/>
    </font>
    <font>
      <sz val="10"/>
      <name val="Arial"/>
      <family val="2"/>
    </font>
    <font>
      <sz val="12"/>
      <name val="掉葡羹"/>
      <family val="1"/>
      <charset val="136"/>
    </font>
    <font>
      <sz val="9"/>
      <name val="微軟正黑體"/>
      <family val="2"/>
      <charset val="136"/>
    </font>
    <font>
      <sz val="12"/>
      <color theme="1"/>
      <name val="新細明體"/>
      <family val="1"/>
      <charset val="136"/>
      <scheme val="minor"/>
    </font>
    <font>
      <u/>
      <sz val="9"/>
      <color indexed="36"/>
      <name val="Times New Roman"/>
      <family val="1"/>
    </font>
    <font>
      <sz val="12"/>
      <name val="夥鰻羹"/>
      <family val="1"/>
      <charset val="136"/>
    </font>
    <font>
      <sz val="10"/>
      <name val="新細明體"/>
      <family val="1"/>
      <charset val="136"/>
    </font>
    <font>
      <sz val="9"/>
      <name val="新細明體"/>
      <family val="2"/>
      <charset val="136"/>
      <scheme val="minor"/>
    </font>
    <font>
      <sz val="13"/>
      <name val="細明體"/>
      <family val="3"/>
      <charset val="136"/>
    </font>
    <font>
      <sz val="11"/>
      <name val="Lucida Sans Unicode"/>
      <family val="2"/>
    </font>
    <font>
      <sz val="12"/>
      <color theme="1"/>
      <name val="標楷體"/>
      <family val="4"/>
      <charset val="136"/>
    </font>
    <font>
      <sz val="11"/>
      <color indexed="8"/>
      <name val="標楷體"/>
      <family val="4"/>
      <charset val="136"/>
    </font>
    <font>
      <sz val="11"/>
      <color theme="1"/>
      <name val="標楷體"/>
      <family val="4"/>
      <charset val="136"/>
    </font>
    <font>
      <sz val="10"/>
      <color theme="1"/>
      <name val="標楷體"/>
      <family val="4"/>
      <charset val="136"/>
    </font>
    <font>
      <sz val="10"/>
      <color indexed="8"/>
      <name val="標楷體"/>
      <family val="4"/>
      <charset val="136"/>
    </font>
    <font>
      <sz val="10"/>
      <color indexed="8"/>
      <name val="Times New Roman"/>
      <family val="1"/>
    </font>
    <font>
      <sz val="10"/>
      <color theme="1"/>
      <name val="Times New Roman"/>
      <family val="1"/>
    </font>
    <font>
      <sz val="12"/>
      <name val="標楷體"/>
      <family val="1"/>
      <charset val="136"/>
    </font>
    <font>
      <b/>
      <sz val="12"/>
      <color theme="1"/>
      <name val="標楷體"/>
      <family val="4"/>
      <charset val="136"/>
    </font>
    <font>
      <sz val="12"/>
      <name val="Times New Roman"/>
      <family val="4"/>
      <charset val="136"/>
    </font>
    <font>
      <u/>
      <sz val="16"/>
      <name val="Times New Roman"/>
      <family val="4"/>
      <charset val="136"/>
    </font>
    <font>
      <sz val="18"/>
      <name val="Times New Roman"/>
      <family val="4"/>
      <charset val="136"/>
    </font>
    <font>
      <sz val="12"/>
      <name val="Times New Roman"/>
      <family val="4"/>
    </font>
    <font>
      <sz val="11.5"/>
      <name val="Times New Roman"/>
      <family val="4"/>
      <charset val="136"/>
    </font>
    <font>
      <sz val="12"/>
      <color theme="1"/>
      <name val="新細明體"/>
      <family val="4"/>
      <charset val="136"/>
    </font>
    <font>
      <sz val="12"/>
      <color theme="1"/>
      <name val="Times New Roman"/>
      <family val="4"/>
      <charset val="136"/>
    </font>
    <font>
      <b/>
      <sz val="12"/>
      <name val="標楷體"/>
      <family val="1"/>
      <charset val="136"/>
    </font>
    <font>
      <sz val="12"/>
      <color rgb="FF000000"/>
      <name val="Times New Roman"/>
      <family val="1"/>
    </font>
    <font>
      <sz val="12"/>
      <name val="新細明體"/>
      <family val="4"/>
      <charset val="136"/>
    </font>
    <font>
      <sz val="12"/>
      <name val="Times New Roman"/>
      <family val="1"/>
      <charset val="136"/>
    </font>
    <font>
      <sz val="12"/>
      <name val="微軟正黑體"/>
      <family val="4"/>
      <charset val="136"/>
    </font>
    <font>
      <sz val="12"/>
      <name val="微軟正黑體"/>
      <family val="1"/>
      <charset val="136"/>
    </font>
    <font>
      <b/>
      <sz val="12"/>
      <color theme="1"/>
      <name val="Times New Roman"/>
      <family val="4"/>
      <charset val="136"/>
    </font>
    <font>
      <sz val="12"/>
      <color theme="1"/>
      <name val="Times New Roman"/>
      <family val="4"/>
    </font>
    <font>
      <sz val="10.5"/>
      <name val="Times New Roman"/>
      <family val="4"/>
      <charset val="136"/>
    </font>
    <font>
      <sz val="9"/>
      <name val="Times New Roman"/>
      <family val="4"/>
      <charset val="136"/>
    </font>
    <font>
      <sz val="7.5"/>
      <name val="Times New Roman"/>
      <family val="4"/>
      <charset val="136"/>
    </font>
    <font>
      <sz val="13"/>
      <name val="Times New Roman"/>
      <family val="4"/>
      <charset val="136"/>
    </font>
    <font>
      <sz val="13"/>
      <name val="Times New Roman"/>
      <family val="4"/>
    </font>
    <font>
      <sz val="13"/>
      <color theme="1"/>
      <name val="標楷體"/>
      <family val="4"/>
      <charset val="136"/>
    </font>
    <font>
      <sz val="36"/>
      <name val="標楷體"/>
      <family val="4"/>
      <charset val="136"/>
    </font>
    <font>
      <sz val="16"/>
      <color theme="1"/>
      <name val="Times New Roman"/>
      <family val="1"/>
    </font>
    <font>
      <b/>
      <sz val="12"/>
      <color rgb="FFFF0000"/>
      <name val="Times New Roman"/>
      <family val="1"/>
    </font>
    <font>
      <sz val="12"/>
      <color theme="1"/>
      <name val="新細明體"/>
      <family val="1"/>
      <charset val="136"/>
    </font>
    <font>
      <b/>
      <sz val="10"/>
      <color theme="1"/>
      <name val="Times New Roman"/>
      <family val="1"/>
    </font>
    <font>
      <sz val="13"/>
      <color theme="1"/>
      <name val="Times New Roman"/>
      <family val="1"/>
    </font>
    <font>
      <sz val="13"/>
      <color theme="1"/>
      <name val="新細明體"/>
      <family val="1"/>
      <charset val="136"/>
    </font>
    <font>
      <sz val="11"/>
      <color theme="1"/>
      <name val="Times New Roman"/>
      <family val="1"/>
    </font>
    <font>
      <sz val="12"/>
      <color rgb="FF000000"/>
      <name val="標楷體"/>
      <family val="4"/>
      <charset val="136"/>
    </font>
    <font>
      <sz val="10"/>
      <color rgb="FF000000"/>
      <name val="標楷體"/>
      <family val="4"/>
      <charset val="136"/>
    </font>
    <font>
      <sz val="10"/>
      <color theme="1"/>
      <name val="Times New Roman"/>
      <family val="4"/>
      <charset val="136"/>
    </font>
    <font>
      <sz val="10"/>
      <color rgb="FF000000"/>
      <name val="Times New Roman"/>
      <family val="1"/>
    </font>
    <font>
      <sz val="10"/>
      <name val="Times New Roman"/>
      <family val="4"/>
      <charset val="136"/>
    </font>
    <font>
      <sz val="12"/>
      <color theme="1"/>
      <name val="Times New Roman"/>
      <family val="1"/>
      <charset val="136"/>
    </font>
    <font>
      <sz val="12"/>
      <color theme="1"/>
      <name val="標楷體"/>
      <family val="1"/>
      <charset val="136"/>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2"/>
        <bgColor indexed="64"/>
      </patternFill>
    </fill>
    <fill>
      <patternFill patternType="solid">
        <fgColor rgb="FFFFFF00"/>
        <bgColor indexed="64"/>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theme="0"/>
        <bgColor indexed="64"/>
      </patternFill>
    </fill>
  </fills>
  <borders count="73">
    <border>
      <left/>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style="medium">
        <color indexed="64"/>
      </left>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right/>
      <top/>
      <bottom style="medium">
        <color indexed="64"/>
      </bottom>
      <diagonal/>
    </border>
    <border>
      <left/>
      <right/>
      <top style="thin">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diagonalDown="1">
      <left style="medium">
        <color indexed="64"/>
      </left>
      <right style="thin">
        <color indexed="64"/>
      </right>
      <top style="medium">
        <color indexed="64"/>
      </top>
      <bottom style="thin">
        <color indexed="64"/>
      </bottom>
      <diagonal style="thin">
        <color indexed="64"/>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right style="dotted">
        <color indexed="64"/>
      </right>
      <top/>
      <bottom/>
      <diagonal/>
    </border>
    <border>
      <left/>
      <right/>
      <top style="double">
        <color indexed="64"/>
      </top>
      <bottom/>
      <diagonal/>
    </border>
  </borders>
  <cellStyleXfs count="258">
    <xf numFmtId="0" fontId="0" fillId="0" borderId="0">
      <alignment vertical="center"/>
    </xf>
    <xf numFmtId="0" fontId="39" fillId="2" borderId="0" applyNumberFormat="0" applyBorder="0" applyAlignment="0" applyProtection="0">
      <alignment vertical="center"/>
    </xf>
    <xf numFmtId="0" fontId="39" fillId="3" borderId="0" applyNumberFormat="0" applyBorder="0" applyAlignment="0" applyProtection="0">
      <alignment vertical="center"/>
    </xf>
    <xf numFmtId="0" fontId="39" fillId="4" borderId="0" applyNumberFormat="0" applyBorder="0" applyAlignment="0" applyProtection="0">
      <alignment vertical="center"/>
    </xf>
    <xf numFmtId="0" fontId="39" fillId="5" borderId="0" applyNumberFormat="0" applyBorder="0" applyAlignment="0" applyProtection="0">
      <alignment vertical="center"/>
    </xf>
    <xf numFmtId="0" fontId="39" fillId="6" borderId="0" applyNumberFormat="0" applyBorder="0" applyAlignment="0" applyProtection="0">
      <alignment vertical="center"/>
    </xf>
    <xf numFmtId="0" fontId="39" fillId="7" borderId="0" applyNumberFormat="0" applyBorder="0" applyAlignment="0" applyProtection="0">
      <alignment vertical="center"/>
    </xf>
    <xf numFmtId="0" fontId="39" fillId="8" borderId="0" applyNumberFormat="0" applyBorder="0" applyAlignment="0" applyProtection="0">
      <alignment vertical="center"/>
    </xf>
    <xf numFmtId="0" fontId="39" fillId="9" borderId="0" applyNumberFormat="0" applyBorder="0" applyAlignment="0" applyProtection="0">
      <alignment vertical="center"/>
    </xf>
    <xf numFmtId="0" fontId="39" fillId="10" borderId="0" applyNumberFormat="0" applyBorder="0" applyAlignment="0" applyProtection="0">
      <alignment vertical="center"/>
    </xf>
    <xf numFmtId="0" fontId="39" fillId="5" borderId="0" applyNumberFormat="0" applyBorder="0" applyAlignment="0" applyProtection="0">
      <alignment vertical="center"/>
    </xf>
    <xf numFmtId="0" fontId="39" fillId="8" borderId="0" applyNumberFormat="0" applyBorder="0" applyAlignment="0" applyProtection="0">
      <alignment vertical="center"/>
    </xf>
    <xf numFmtId="0" fontId="39" fillId="11" borderId="0" applyNumberFormat="0" applyBorder="0" applyAlignment="0" applyProtection="0">
      <alignment vertical="center"/>
    </xf>
    <xf numFmtId="0" fontId="40" fillId="12" borderId="0" applyNumberFormat="0" applyBorder="0" applyAlignment="0" applyProtection="0">
      <alignment vertical="center"/>
    </xf>
    <xf numFmtId="0" fontId="40" fillId="9" borderId="0" applyNumberFormat="0" applyBorder="0" applyAlignment="0" applyProtection="0">
      <alignment vertical="center"/>
    </xf>
    <xf numFmtId="0" fontId="40" fillId="10" borderId="0" applyNumberFormat="0" applyBorder="0" applyAlignment="0" applyProtection="0">
      <alignment vertical="center"/>
    </xf>
    <xf numFmtId="0" fontId="40" fillId="13" borderId="0" applyNumberFormat="0" applyBorder="0" applyAlignment="0" applyProtection="0">
      <alignment vertical="center"/>
    </xf>
    <xf numFmtId="0" fontId="40" fillId="14" borderId="0" applyNumberFormat="0" applyBorder="0" applyAlignment="0" applyProtection="0">
      <alignment vertical="center"/>
    </xf>
    <xf numFmtId="0" fontId="40" fillId="15" borderId="0" applyNumberFormat="0" applyBorder="0" applyAlignment="0" applyProtection="0">
      <alignment vertical="center"/>
    </xf>
    <xf numFmtId="186" fontId="26" fillId="0" borderId="0" applyFont="0" applyFill="0" applyBorder="0" applyAlignment="0" applyProtection="0"/>
    <xf numFmtId="0" fontId="23" fillId="0" borderId="0" applyFont="0"/>
    <xf numFmtId="43" fontId="5" fillId="0" borderId="0" applyFont="0" applyFill="0" applyBorder="0" applyAlignment="0" applyProtection="0">
      <alignment vertical="center"/>
    </xf>
    <xf numFmtId="0" fontId="41" fillId="16" borderId="0" applyNumberFormat="0" applyBorder="0" applyAlignment="0" applyProtection="0">
      <alignment vertical="center"/>
    </xf>
    <xf numFmtId="0" fontId="42" fillId="0" borderId="0"/>
    <xf numFmtId="0" fontId="43" fillId="0" borderId="1" applyNumberFormat="0" applyFill="0" applyAlignment="0" applyProtection="0">
      <alignment vertical="center"/>
    </xf>
    <xf numFmtId="0" fontId="44" fillId="4" borderId="0" applyNumberFormat="0" applyBorder="0" applyAlignment="0" applyProtection="0">
      <alignment vertical="center"/>
    </xf>
    <xf numFmtId="9" fontId="5" fillId="0" borderId="0" applyFont="0" applyFill="0" applyBorder="0" applyAlignment="0" applyProtection="0">
      <alignment vertical="center"/>
    </xf>
    <xf numFmtId="0" fontId="45" fillId="17" borderId="2" applyNumberFormat="0" applyAlignment="0" applyProtection="0">
      <alignment vertical="center"/>
    </xf>
    <xf numFmtId="0" fontId="46" fillId="0" borderId="3" applyNumberFormat="0" applyFill="0" applyAlignment="0" applyProtection="0">
      <alignment vertical="center"/>
    </xf>
    <xf numFmtId="0" fontId="39" fillId="18" borderId="4" applyNumberFormat="0" applyFont="0" applyAlignment="0" applyProtection="0">
      <alignment vertical="center"/>
    </xf>
    <xf numFmtId="0" fontId="47" fillId="0" borderId="0" applyNumberFormat="0" applyFill="0" applyBorder="0" applyAlignment="0" applyProtection="0">
      <alignment vertical="center"/>
    </xf>
    <xf numFmtId="0" fontId="40" fillId="19" borderId="0" applyNumberFormat="0" applyBorder="0" applyAlignment="0" applyProtection="0">
      <alignment vertical="center"/>
    </xf>
    <xf numFmtId="0" fontId="40" fillId="20" borderId="0" applyNumberFormat="0" applyBorder="0" applyAlignment="0" applyProtection="0">
      <alignment vertical="center"/>
    </xf>
    <xf numFmtId="0" fontId="40" fillId="21" borderId="0" applyNumberFormat="0" applyBorder="0" applyAlignment="0" applyProtection="0">
      <alignment vertical="center"/>
    </xf>
    <xf numFmtId="0" fontId="40" fillId="13" borderId="0" applyNumberFormat="0" applyBorder="0" applyAlignment="0" applyProtection="0">
      <alignment vertical="center"/>
    </xf>
    <xf numFmtId="0" fontId="40" fillId="14" borderId="0" applyNumberFormat="0" applyBorder="0" applyAlignment="0" applyProtection="0">
      <alignment vertical="center"/>
    </xf>
    <xf numFmtId="0" fontId="40" fillId="22" borderId="0" applyNumberFormat="0" applyBorder="0" applyAlignment="0" applyProtection="0">
      <alignment vertical="center"/>
    </xf>
    <xf numFmtId="0" fontId="48" fillId="0" borderId="0" applyNumberFormat="0" applyFill="0" applyBorder="0" applyAlignment="0" applyProtection="0">
      <alignment vertical="center"/>
    </xf>
    <xf numFmtId="0" fontId="49" fillId="0" borderId="5" applyNumberFormat="0" applyFill="0" applyAlignment="0" applyProtection="0">
      <alignment vertical="center"/>
    </xf>
    <xf numFmtId="0" fontId="50" fillId="0" borderId="6" applyNumberFormat="0" applyFill="0" applyAlignment="0" applyProtection="0">
      <alignment vertical="center"/>
    </xf>
    <xf numFmtId="0" fontId="51" fillId="0" borderId="7" applyNumberFormat="0" applyFill="0" applyAlignment="0" applyProtection="0">
      <alignment vertical="center"/>
    </xf>
    <xf numFmtId="0" fontId="51" fillId="0" borderId="0" applyNumberFormat="0" applyFill="0" applyBorder="0" applyAlignment="0" applyProtection="0">
      <alignment vertical="center"/>
    </xf>
    <xf numFmtId="0" fontId="52" fillId="7" borderId="2" applyNumberFormat="0" applyAlignment="0" applyProtection="0">
      <alignment vertical="center"/>
    </xf>
    <xf numFmtId="0" fontId="53" fillId="17" borderId="8" applyNumberFormat="0" applyAlignment="0" applyProtection="0">
      <alignment vertical="center"/>
    </xf>
    <xf numFmtId="0" fontId="54" fillId="23" borderId="9" applyNumberFormat="0" applyAlignment="0" applyProtection="0">
      <alignment vertical="center"/>
    </xf>
    <xf numFmtId="0" fontId="55" fillId="3" borderId="0" applyNumberFormat="0" applyBorder="0" applyAlignment="0" applyProtection="0">
      <alignment vertical="center"/>
    </xf>
    <xf numFmtId="0" fontId="56" fillId="0" borderId="0" applyNumberFormat="0" applyFill="0" applyBorder="0" applyAlignment="0" applyProtection="0">
      <alignment vertical="center"/>
    </xf>
    <xf numFmtId="0" fontId="63" fillId="0" borderId="0">
      <alignment horizontal="left" vertical="center"/>
    </xf>
    <xf numFmtId="0" fontId="39" fillId="2" borderId="0" applyNumberFormat="0" applyBorder="0" applyAlignment="0" applyProtection="0">
      <alignment vertical="center"/>
    </xf>
    <xf numFmtId="0" fontId="39" fillId="3" borderId="0" applyNumberFormat="0" applyBorder="0" applyAlignment="0" applyProtection="0">
      <alignment vertical="center"/>
    </xf>
    <xf numFmtId="0" fontId="39" fillId="4" borderId="0" applyNumberFormat="0" applyBorder="0" applyAlignment="0" applyProtection="0">
      <alignment vertical="center"/>
    </xf>
    <xf numFmtId="0" fontId="39" fillId="5" borderId="0" applyNumberFormat="0" applyBorder="0" applyAlignment="0" applyProtection="0">
      <alignment vertical="center"/>
    </xf>
    <xf numFmtId="0" fontId="39" fillId="6" borderId="0" applyNumberFormat="0" applyBorder="0" applyAlignment="0" applyProtection="0">
      <alignment vertical="center"/>
    </xf>
    <xf numFmtId="0" fontId="39" fillId="7" borderId="0" applyNumberFormat="0" applyBorder="0" applyAlignment="0" applyProtection="0">
      <alignment vertical="center"/>
    </xf>
    <xf numFmtId="0" fontId="39" fillId="8" borderId="0" applyNumberFormat="0" applyBorder="0" applyAlignment="0" applyProtection="0">
      <alignment vertical="center"/>
    </xf>
    <xf numFmtId="0" fontId="39" fillId="9" borderId="0" applyNumberFormat="0" applyBorder="0" applyAlignment="0" applyProtection="0">
      <alignment vertical="center"/>
    </xf>
    <xf numFmtId="0" fontId="39" fillId="10" borderId="0" applyNumberFormat="0" applyBorder="0" applyAlignment="0" applyProtection="0">
      <alignment vertical="center"/>
    </xf>
    <xf numFmtId="0" fontId="39" fillId="5" borderId="0" applyNumberFormat="0" applyBorder="0" applyAlignment="0" applyProtection="0">
      <alignment vertical="center"/>
    </xf>
    <xf numFmtId="0" fontId="39" fillId="8" borderId="0" applyNumberFormat="0" applyBorder="0" applyAlignment="0" applyProtection="0">
      <alignment vertical="center"/>
    </xf>
    <xf numFmtId="0" fontId="39" fillId="11" borderId="0" applyNumberFormat="0" applyBorder="0" applyAlignment="0" applyProtection="0">
      <alignment vertical="center"/>
    </xf>
    <xf numFmtId="0" fontId="40" fillId="12" borderId="0" applyNumberFormat="0" applyBorder="0" applyAlignment="0" applyProtection="0">
      <alignment vertical="center"/>
    </xf>
    <xf numFmtId="0" fontId="40" fillId="9" borderId="0" applyNumberFormat="0" applyBorder="0" applyAlignment="0" applyProtection="0">
      <alignment vertical="center"/>
    </xf>
    <xf numFmtId="0" fontId="40" fillId="10" borderId="0" applyNumberFormat="0" applyBorder="0" applyAlignment="0" applyProtection="0">
      <alignment vertical="center"/>
    </xf>
    <xf numFmtId="0" fontId="40" fillId="13" borderId="0" applyNumberFormat="0" applyBorder="0" applyAlignment="0" applyProtection="0">
      <alignment vertical="center"/>
    </xf>
    <xf numFmtId="0" fontId="40" fillId="14" borderId="0" applyNumberFormat="0" applyBorder="0" applyAlignment="0" applyProtection="0">
      <alignment vertical="center"/>
    </xf>
    <xf numFmtId="0" fontId="40" fillId="15" borderId="0" applyNumberFormat="0" applyBorder="0" applyAlignment="0" applyProtection="0">
      <alignment vertical="center"/>
    </xf>
    <xf numFmtId="0" fontId="64" fillId="0" borderId="0"/>
    <xf numFmtId="0" fontId="5" fillId="0" borderId="0">
      <alignment vertical="center"/>
    </xf>
    <xf numFmtId="0" fontId="64" fillId="0" borderId="0"/>
    <xf numFmtId="0" fontId="10" fillId="0" borderId="0">
      <alignment vertical="center"/>
    </xf>
    <xf numFmtId="0" fontId="39" fillId="0" borderId="0">
      <alignment vertical="center"/>
    </xf>
    <xf numFmtId="0" fontId="5" fillId="0" borderId="0"/>
    <xf numFmtId="0" fontId="10" fillId="0" borderId="0">
      <alignment vertical="center"/>
    </xf>
    <xf numFmtId="0" fontId="65" fillId="0" borderId="0"/>
    <xf numFmtId="0" fontId="10" fillId="0" borderId="0">
      <alignment vertical="center"/>
    </xf>
    <xf numFmtId="0" fontId="10" fillId="0" borderId="0">
      <alignment vertical="center"/>
    </xf>
    <xf numFmtId="43" fontId="26" fillId="0" borderId="0" applyFont="0" applyFill="0" applyBorder="0" applyAlignment="0" applyProtection="0"/>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26" fillId="0" borderId="0" applyFont="0" applyFill="0" applyBorder="0" applyAlignment="0" applyProtection="0"/>
    <xf numFmtId="43" fontId="5" fillId="0" borderId="0" applyFont="0" applyFill="0" applyBorder="0" applyAlignment="0" applyProtection="0">
      <alignment vertical="center"/>
    </xf>
    <xf numFmtId="43" fontId="10" fillId="0" borderId="0" applyFont="0" applyFill="0" applyBorder="0" applyAlignment="0" applyProtection="0">
      <alignment vertical="center"/>
    </xf>
    <xf numFmtId="43" fontId="5" fillId="0" borderId="0" applyFont="0" applyFill="0" applyBorder="0" applyAlignment="0" applyProtection="0"/>
    <xf numFmtId="41" fontId="66" fillId="0" borderId="0" applyFont="0" applyFill="0" applyBorder="0" applyAlignment="0" applyProtection="0">
      <alignment vertical="center"/>
    </xf>
    <xf numFmtId="41" fontId="5" fillId="0" borderId="0" applyFont="0" applyFill="0" applyBorder="0" applyAlignment="0" applyProtection="0">
      <alignment vertical="center"/>
    </xf>
    <xf numFmtId="0" fontId="41" fillId="16" borderId="0" applyNumberFormat="0" applyBorder="0" applyAlignment="0" applyProtection="0">
      <alignment vertical="center"/>
    </xf>
    <xf numFmtId="0" fontId="43" fillId="0" borderId="1" applyNumberFormat="0" applyFill="0" applyAlignment="0" applyProtection="0">
      <alignment vertical="center"/>
    </xf>
    <xf numFmtId="0" fontId="44" fillId="4" borderId="0" applyNumberFormat="0" applyBorder="0" applyAlignment="0" applyProtection="0">
      <alignment vertical="center"/>
    </xf>
    <xf numFmtId="9" fontId="5" fillId="0" borderId="0" applyFont="0" applyFill="0" applyBorder="0" applyAlignment="0" applyProtection="0">
      <alignment vertical="center"/>
    </xf>
    <xf numFmtId="9" fontId="10" fillId="0" borderId="0" applyFont="0" applyFill="0" applyBorder="0" applyAlignment="0" applyProtection="0">
      <alignment vertical="center"/>
    </xf>
    <xf numFmtId="0" fontId="45" fillId="17" borderId="2" applyNumberFormat="0" applyAlignment="0" applyProtection="0">
      <alignment vertical="center"/>
    </xf>
    <xf numFmtId="0" fontId="46" fillId="0" borderId="3" applyNumberFormat="0" applyFill="0" applyAlignment="0" applyProtection="0">
      <alignment vertical="center"/>
    </xf>
    <xf numFmtId="0" fontId="5" fillId="18" borderId="4" applyNumberFormat="0" applyFont="0" applyAlignment="0" applyProtection="0">
      <alignment vertical="center"/>
    </xf>
    <xf numFmtId="0" fontId="47" fillId="0" borderId="0" applyNumberFormat="0" applyFill="0" applyBorder="0" applyAlignment="0" applyProtection="0">
      <alignment vertical="center"/>
    </xf>
    <xf numFmtId="0" fontId="40" fillId="19" borderId="0" applyNumberFormat="0" applyBorder="0" applyAlignment="0" applyProtection="0">
      <alignment vertical="center"/>
    </xf>
    <xf numFmtId="0" fontId="40" fillId="20" borderId="0" applyNumberFormat="0" applyBorder="0" applyAlignment="0" applyProtection="0">
      <alignment vertical="center"/>
    </xf>
    <xf numFmtId="0" fontId="40" fillId="21" borderId="0" applyNumberFormat="0" applyBorder="0" applyAlignment="0" applyProtection="0">
      <alignment vertical="center"/>
    </xf>
    <xf numFmtId="0" fontId="40" fillId="13" borderId="0" applyNumberFormat="0" applyBorder="0" applyAlignment="0" applyProtection="0">
      <alignment vertical="center"/>
    </xf>
    <xf numFmtId="0" fontId="40" fillId="14" borderId="0" applyNumberFormat="0" applyBorder="0" applyAlignment="0" applyProtection="0">
      <alignment vertical="center"/>
    </xf>
    <xf numFmtId="0" fontId="40" fillId="22" borderId="0" applyNumberFormat="0" applyBorder="0" applyAlignment="0" applyProtection="0">
      <alignment vertical="center"/>
    </xf>
    <xf numFmtId="0" fontId="49" fillId="0" borderId="5" applyNumberFormat="0" applyFill="0" applyAlignment="0" applyProtection="0">
      <alignment vertical="center"/>
    </xf>
    <xf numFmtId="0" fontId="50" fillId="0" borderId="6" applyNumberFormat="0" applyFill="0" applyAlignment="0" applyProtection="0">
      <alignment vertical="center"/>
    </xf>
    <xf numFmtId="0" fontId="51" fillId="0" borderId="7" applyNumberFormat="0" applyFill="0" applyAlignment="0" applyProtection="0">
      <alignment vertical="center"/>
    </xf>
    <xf numFmtId="0" fontId="51"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63" fillId="0" borderId="0">
      <alignment horizontal="left" vertical="center"/>
    </xf>
    <xf numFmtId="0" fontId="52" fillId="7" borderId="2" applyNumberFormat="0" applyAlignment="0" applyProtection="0">
      <alignment vertical="center"/>
    </xf>
    <xf numFmtId="0" fontId="53" fillId="17" borderId="8" applyNumberFormat="0" applyAlignment="0" applyProtection="0">
      <alignment vertical="center"/>
    </xf>
    <xf numFmtId="0" fontId="54" fillId="23" borderId="9" applyNumberFormat="0" applyAlignment="0" applyProtection="0">
      <alignment vertical="center"/>
    </xf>
    <xf numFmtId="0" fontId="55" fillId="3" borderId="0" applyNumberFormat="0" applyBorder="0" applyAlignment="0" applyProtection="0">
      <alignment vertical="center"/>
    </xf>
    <xf numFmtId="0" fontId="56" fillId="0" borderId="0" applyNumberFormat="0" applyFill="0" applyBorder="0" applyAlignment="0" applyProtection="0">
      <alignment vertical="center"/>
    </xf>
    <xf numFmtId="0" fontId="23" fillId="0" borderId="0" applyFont="0"/>
    <xf numFmtId="0" fontId="23" fillId="0" borderId="0" applyFont="0"/>
    <xf numFmtId="0" fontId="23" fillId="0" borderId="0" applyFont="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4" fillId="0" borderId="0"/>
    <xf numFmtId="0" fontId="14" fillId="0" borderId="0"/>
    <xf numFmtId="0" fontId="10" fillId="0" borderId="0"/>
    <xf numFmtId="0" fontId="14" fillId="0" borderId="0"/>
    <xf numFmtId="0" fontId="10" fillId="0" borderId="0"/>
    <xf numFmtId="0" fontId="10" fillId="0" borderId="0"/>
    <xf numFmtId="0" fontId="10" fillId="0" borderId="0"/>
    <xf numFmtId="0" fontId="10" fillId="0" borderId="0"/>
    <xf numFmtId="0" fontId="14" fillId="0" borderId="0"/>
    <xf numFmtId="0" fontId="10" fillId="0" borderId="0"/>
    <xf numFmtId="0" fontId="10" fillId="0" borderId="0"/>
    <xf numFmtId="0" fontId="10" fillId="0" borderId="0"/>
    <xf numFmtId="3" fontId="90" fillId="0" borderId="0" applyFont="0" applyFill="0" applyBorder="0" applyAlignment="0" applyProtection="0"/>
    <xf numFmtId="190" fontId="90" fillId="0" borderId="0" applyFont="0" applyFill="0" applyBorder="0" applyAlignment="0" applyProtection="0"/>
    <xf numFmtId="0" fontId="90" fillId="0" borderId="0" applyFont="0" applyFill="0" applyBorder="0" applyAlignment="0" applyProtection="0"/>
    <xf numFmtId="38" fontId="24" fillId="0" borderId="0" applyBorder="0" applyAlignment="0"/>
    <xf numFmtId="2" fontId="90" fillId="0" borderId="0" applyFont="0" applyFill="0" applyBorder="0" applyAlignment="0" applyProtection="0"/>
    <xf numFmtId="38" fontId="91" fillId="26" borderId="0" applyNumberFormat="0" applyBorder="0" applyAlignment="0" applyProtection="0"/>
    <xf numFmtId="0" fontId="71" fillId="0" borderId="0"/>
    <xf numFmtId="0" fontId="92" fillId="0" borderId="69" applyNumberFormat="0" applyAlignment="0" applyProtection="0">
      <alignment horizontal="left" vertical="center"/>
    </xf>
    <xf numFmtId="0" fontId="92" fillId="0" borderId="70">
      <alignment horizontal="left" vertical="center"/>
    </xf>
    <xf numFmtId="0" fontId="93" fillId="0" borderId="0" applyNumberFormat="0" applyFill="0" applyBorder="0" applyAlignment="0" applyProtection="0"/>
    <xf numFmtId="0" fontId="94" fillId="0" borderId="0" applyNumberFormat="0" applyFill="0" applyBorder="0" applyAlignment="0" applyProtection="0"/>
    <xf numFmtId="10" fontId="91" fillId="27" borderId="28" applyNumberFormat="0" applyBorder="0" applyAlignment="0" applyProtection="0"/>
    <xf numFmtId="0" fontId="5" fillId="0" borderId="0" applyNumberFormat="0" applyFill="0" applyBorder="0">
      <alignment horizontal="center" vertical="center"/>
    </xf>
    <xf numFmtId="191" fontId="95" fillId="0" borderId="71" applyFill="0" applyBorder="0" applyProtection="0">
      <alignment horizontal="right" vertical="center"/>
    </xf>
    <xf numFmtId="192" fontId="95" fillId="0" borderId="0" applyFill="0" applyBorder="0" applyProtection="0">
      <alignment horizontal="right" vertical="center"/>
    </xf>
    <xf numFmtId="0" fontId="96" fillId="0" borderId="0"/>
    <xf numFmtId="0" fontId="29" fillId="0" borderId="0"/>
    <xf numFmtId="10" fontId="96" fillId="0" borderId="0" applyFont="0" applyFill="0" applyBorder="0" applyAlignment="0" applyProtection="0"/>
    <xf numFmtId="0" fontId="10" fillId="0" borderId="0">
      <alignment vertical="center"/>
    </xf>
    <xf numFmtId="0" fontId="90" fillId="0" borderId="72" applyNumberFormat="0" applyFont="0" applyFill="0" applyAlignment="0" applyProtection="0"/>
    <xf numFmtId="0" fontId="97" fillId="0" borderId="0"/>
    <xf numFmtId="0" fontId="4" fillId="0" borderId="0">
      <alignment vertical="center"/>
    </xf>
    <xf numFmtId="0" fontId="5" fillId="0" borderId="0">
      <alignment vertical="center"/>
    </xf>
    <xf numFmtId="0" fontId="98" fillId="0" borderId="0"/>
    <xf numFmtId="0" fontId="10" fillId="0" borderId="0">
      <alignment vertical="center"/>
    </xf>
    <xf numFmtId="0" fontId="5" fillId="0" borderId="0">
      <alignment vertical="center"/>
    </xf>
    <xf numFmtId="0" fontId="5" fillId="0" borderId="0">
      <alignment vertical="center"/>
    </xf>
    <xf numFmtId="0" fontId="5" fillId="0" borderId="0">
      <alignment vertical="center"/>
    </xf>
    <xf numFmtId="0" fontId="10" fillId="0" borderId="0">
      <alignment vertical="center"/>
    </xf>
    <xf numFmtId="0" fontId="10" fillId="0" borderId="0">
      <alignment vertical="center"/>
    </xf>
    <xf numFmtId="0" fontId="10" fillId="0" borderId="0">
      <alignment vertical="center"/>
    </xf>
    <xf numFmtId="0" fontId="86" fillId="0" borderId="0"/>
    <xf numFmtId="0" fontId="5" fillId="0" borderId="0"/>
    <xf numFmtId="0" fontId="5" fillId="0" borderId="0"/>
    <xf numFmtId="0" fontId="4" fillId="0" borderId="0">
      <alignment vertical="center"/>
    </xf>
    <xf numFmtId="0" fontId="4" fillId="0" borderId="0">
      <alignment vertical="center"/>
    </xf>
    <xf numFmtId="43" fontId="4" fillId="0" borderId="0" applyFont="0" applyFill="0" applyBorder="0" applyAlignment="0" applyProtection="0">
      <alignment vertical="center"/>
    </xf>
    <xf numFmtId="43" fontId="99"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26" fillId="0" borderId="0" applyFont="0" applyFill="0" applyBorder="0" applyAlignment="0" applyProtection="0"/>
    <xf numFmtId="43" fontId="26" fillId="0" borderId="0" applyFont="0" applyFill="0" applyBorder="0" applyAlignment="0" applyProtection="0"/>
    <xf numFmtId="43" fontId="5" fillId="0" borderId="0" applyFont="0" applyFill="0" applyBorder="0" applyAlignment="0" applyProtection="0">
      <alignment vertical="center"/>
    </xf>
    <xf numFmtId="43" fontId="10" fillId="0" borderId="0" applyFont="0" applyFill="0" applyBorder="0" applyAlignment="0" applyProtection="0">
      <alignment vertical="center"/>
    </xf>
    <xf numFmtId="43" fontId="5" fillId="0" borderId="0" applyFont="0" applyFill="0" applyBorder="0" applyAlignment="0" applyProtection="0"/>
    <xf numFmtId="43" fontId="5" fillId="0" borderId="0" applyFont="0" applyFill="0" applyBorder="0" applyAlignment="0" applyProtection="0">
      <alignment vertical="center"/>
    </xf>
    <xf numFmtId="41" fontId="66" fillId="0" borderId="0" applyFont="0" applyFill="0" applyBorder="0" applyAlignment="0" applyProtection="0">
      <alignment vertical="center"/>
    </xf>
    <xf numFmtId="41" fontId="5" fillId="0" borderId="0" applyFont="0" applyFill="0" applyBorder="0" applyAlignment="0" applyProtection="0">
      <alignment vertical="center"/>
    </xf>
    <xf numFmtId="0" fontId="10" fillId="0" borderId="0" applyNumberFormat="0">
      <alignment horizontal="centerContinuous" vertical="center"/>
    </xf>
    <xf numFmtId="193" fontId="96" fillId="0" borderId="0" applyFont="0" applyFill="0" applyBorder="0" applyAlignment="0" applyProtection="0"/>
    <xf numFmtId="194" fontId="96" fillId="0" borderId="0" applyFont="0" applyFill="0" applyBorder="0" applyAlignment="0" applyProtection="0"/>
    <xf numFmtId="44" fontId="5" fillId="0" borderId="0" applyFont="0" applyFill="0" applyBorder="0" applyAlignment="0" applyProtection="0">
      <alignment vertical="center"/>
    </xf>
    <xf numFmtId="195" fontId="10" fillId="0" borderId="0" applyFont="0" applyFill="0" applyBorder="0" applyAlignment="0" applyProtection="0"/>
    <xf numFmtId="42" fontId="10" fillId="0" borderId="0" applyFont="0" applyFill="0" applyBorder="0" applyAlignment="0" applyProtection="0"/>
    <xf numFmtId="42" fontId="10" fillId="0" borderId="0" applyFont="0" applyFill="0" applyBorder="0" applyAlignment="0" applyProtection="0"/>
    <xf numFmtId="44" fontId="96" fillId="0" borderId="0" applyFont="0" applyFill="0" applyBorder="0" applyAlignment="0" applyProtection="0"/>
    <xf numFmtId="42" fontId="96" fillId="0" borderId="0" applyFont="0" applyFill="0" applyBorder="0" applyAlignment="0" applyProtection="0"/>
    <xf numFmtId="0" fontId="96" fillId="0" borderId="0"/>
    <xf numFmtId="0" fontId="100" fillId="0" borderId="0" applyNumberFormat="0" applyFill="0" applyBorder="0" applyAlignment="0" applyProtection="0">
      <alignment vertical="top"/>
      <protection locked="0"/>
    </xf>
    <xf numFmtId="196" fontId="101" fillId="0" borderId="0" applyFont="0" applyFill="0" applyBorder="0" applyAlignment="0" applyProtection="0"/>
    <xf numFmtId="197" fontId="101" fillId="0" borderId="0" applyFont="0" applyFill="0" applyBorder="0" applyAlignment="0" applyProtection="0"/>
    <xf numFmtId="198" fontId="101" fillId="0" borderId="0" applyFont="0" applyFill="0" applyBorder="0" applyAlignment="0" applyProtection="0"/>
    <xf numFmtId="199" fontId="101" fillId="0" borderId="0" applyFont="0" applyFill="0" applyBorder="0" applyAlignment="0" applyProtection="0"/>
    <xf numFmtId="0" fontId="3" fillId="0" borderId="0">
      <alignment vertical="center"/>
    </xf>
    <xf numFmtId="43" fontId="3" fillId="0" borderId="0" applyFont="0" applyFill="0" applyBorder="0" applyAlignment="0" applyProtection="0">
      <alignment vertical="center"/>
    </xf>
    <xf numFmtId="0" fontId="5" fillId="0" borderId="0"/>
    <xf numFmtId="0" fontId="2"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0" fontId="2" fillId="0" borderId="0">
      <alignment vertical="center"/>
    </xf>
    <xf numFmtId="43" fontId="2" fillId="0" borderId="0" applyFont="0" applyFill="0" applyBorder="0" applyAlignment="0" applyProtection="0">
      <alignment vertical="center"/>
    </xf>
    <xf numFmtId="43" fontId="5"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43" fontId="99" fillId="0" borderId="0" applyFont="0" applyFill="0" applyBorder="0" applyAlignment="0" applyProtection="0">
      <alignment vertical="center"/>
    </xf>
    <xf numFmtId="43" fontId="1" fillId="0" borderId="0" applyFont="0" applyFill="0" applyBorder="0" applyAlignment="0" applyProtection="0">
      <alignment vertical="center"/>
    </xf>
    <xf numFmtId="43" fontId="26" fillId="0" borderId="0" applyFont="0" applyFill="0" applyBorder="0" applyAlignment="0" applyProtection="0"/>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10" fillId="0" borderId="0" applyFont="0" applyFill="0" applyBorder="0" applyAlignment="0" applyProtection="0">
      <alignment vertical="center"/>
    </xf>
    <xf numFmtId="43" fontId="10" fillId="0" borderId="0" applyFont="0" applyFill="0" applyBorder="0" applyAlignment="0" applyProtection="0">
      <alignment vertical="center"/>
    </xf>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alignment vertical="center"/>
    </xf>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41" fontId="66" fillId="0" borderId="0" applyFont="0" applyFill="0" applyBorder="0" applyAlignment="0" applyProtection="0">
      <alignment vertical="center"/>
    </xf>
    <xf numFmtId="41" fontId="66" fillId="0" borderId="0" applyFont="0" applyFill="0" applyBorder="0" applyAlignment="0" applyProtection="0">
      <alignment vertical="center"/>
    </xf>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44" fontId="5" fillId="0" borderId="0" applyFont="0" applyFill="0" applyBorder="0" applyAlignment="0" applyProtection="0">
      <alignment vertical="center"/>
    </xf>
    <xf numFmtId="42" fontId="10" fillId="0" borderId="0" applyFont="0" applyFill="0" applyBorder="0" applyAlignment="0" applyProtection="0"/>
    <xf numFmtId="0" fontId="10" fillId="0" borderId="0"/>
  </cellStyleXfs>
  <cellXfs count="1721">
    <xf numFmtId="0" fontId="0" fillId="0" borderId="0" xfId="0">
      <alignment vertical="center"/>
    </xf>
    <xf numFmtId="0" fontId="9" fillId="0" borderId="0" xfId="0" applyFont="1" applyFill="1" applyAlignment="1">
      <alignment vertical="center"/>
    </xf>
    <xf numFmtId="0" fontId="10" fillId="0" borderId="0" xfId="0" applyFont="1" applyFill="1">
      <alignment vertical="center"/>
    </xf>
    <xf numFmtId="0" fontId="13" fillId="0" borderId="0" xfId="0" applyFont="1" applyFill="1" applyAlignment="1">
      <alignment vertical="center"/>
    </xf>
    <xf numFmtId="0" fontId="10" fillId="0" borderId="0" xfId="0" applyFont="1" applyFill="1" applyBorder="1" applyAlignment="1">
      <alignment vertical="center"/>
    </xf>
    <xf numFmtId="0" fontId="10" fillId="0" borderId="10" xfId="0" applyFont="1" applyFill="1" applyBorder="1" applyAlignment="1">
      <alignment vertical="center"/>
    </xf>
    <xf numFmtId="0" fontId="10" fillId="0" borderId="0" xfId="0" applyFont="1" applyFill="1" applyAlignment="1">
      <alignment vertical="center"/>
    </xf>
    <xf numFmtId="0" fontId="10" fillId="0" borderId="14" xfId="0" applyFont="1" applyFill="1" applyBorder="1" applyAlignment="1">
      <alignment horizontal="center" vertical="center" wrapText="1"/>
    </xf>
    <xf numFmtId="182" fontId="10" fillId="0" borderId="18" xfId="0" applyNumberFormat="1" applyFont="1" applyFill="1" applyBorder="1" applyAlignment="1">
      <alignment vertical="top" wrapText="1"/>
    </xf>
    <xf numFmtId="0" fontId="10" fillId="0" borderId="0" xfId="0" applyFont="1" applyFill="1" applyAlignment="1">
      <alignment vertical="top"/>
    </xf>
    <xf numFmtId="0" fontId="16" fillId="0" borderId="0" xfId="0" applyFont="1" applyFill="1" applyBorder="1" applyAlignment="1">
      <alignment vertical="top" wrapText="1"/>
    </xf>
    <xf numFmtId="0" fontId="7" fillId="0" borderId="0" xfId="0" applyFont="1" applyAlignment="1">
      <alignment vertical="center"/>
    </xf>
    <xf numFmtId="0" fontId="10" fillId="0" borderId="0" xfId="0" applyFont="1">
      <alignment vertical="center"/>
    </xf>
    <xf numFmtId="0" fontId="13" fillId="0" borderId="0" xfId="0" applyFont="1" applyAlignment="1">
      <alignment vertical="center"/>
    </xf>
    <xf numFmtId="0" fontId="10" fillId="0" borderId="0" xfId="0" applyFont="1" applyBorder="1" applyAlignment="1">
      <alignment vertical="center"/>
    </xf>
    <xf numFmtId="0" fontId="19" fillId="0" borderId="0" xfId="0" applyFont="1" applyBorder="1" applyAlignment="1">
      <alignment vertical="center"/>
    </xf>
    <xf numFmtId="0" fontId="19" fillId="0" borderId="0" xfId="0" applyFont="1">
      <alignment vertical="center"/>
    </xf>
    <xf numFmtId="0" fontId="19" fillId="0" borderId="0" xfId="0" applyFont="1" applyAlignment="1">
      <alignment vertical="top"/>
    </xf>
    <xf numFmtId="0" fontId="18" fillId="0" borderId="19" xfId="0" applyFont="1" applyBorder="1" applyAlignment="1">
      <alignment horizontal="distributed" vertical="center" indent="2"/>
    </xf>
    <xf numFmtId="177" fontId="10" fillId="0" borderId="0" xfId="0" applyNumberFormat="1" applyFont="1" applyFill="1" applyAlignment="1">
      <alignment vertical="center"/>
    </xf>
    <xf numFmtId="182" fontId="16" fillId="0" borderId="18" xfId="0" applyNumberFormat="1" applyFont="1" applyFill="1" applyBorder="1" applyAlignment="1">
      <alignment vertical="top" wrapText="1"/>
    </xf>
    <xf numFmtId="0" fontId="10" fillId="0" borderId="0" xfId="0" applyFont="1" applyAlignment="1">
      <alignment vertical="top"/>
    </xf>
    <xf numFmtId="0" fontId="10" fillId="0" borderId="11" xfId="0" applyFont="1" applyBorder="1" applyAlignment="1">
      <alignment horizontal="left" vertical="top" wrapText="1"/>
    </xf>
    <xf numFmtId="0" fontId="19" fillId="0" borderId="0" xfId="0" applyFont="1" applyAlignment="1">
      <alignment horizontal="left" vertical="top"/>
    </xf>
    <xf numFmtId="0" fontId="10" fillId="0" borderId="14" xfId="0" applyFont="1" applyFill="1" applyBorder="1" applyAlignment="1">
      <alignment horizontal="center" vertical="center"/>
    </xf>
    <xf numFmtId="0" fontId="10" fillId="0" borderId="16" xfId="0" applyFont="1" applyFill="1" applyBorder="1" applyAlignment="1">
      <alignment horizontal="distributed" vertical="center" wrapText="1" indent="2"/>
    </xf>
    <xf numFmtId="0" fontId="15" fillId="0" borderId="17" xfId="0" applyFont="1" applyFill="1" applyBorder="1" applyAlignment="1">
      <alignment horizontal="left" vertical="top"/>
    </xf>
    <xf numFmtId="3" fontId="16" fillId="0" borderId="18" xfId="0" applyNumberFormat="1" applyFont="1" applyFill="1" applyBorder="1" applyAlignment="1">
      <alignment horizontal="right" vertical="top" wrapText="1"/>
    </xf>
    <xf numFmtId="3" fontId="16" fillId="0" borderId="18" xfId="0" applyNumberFormat="1" applyFont="1" applyFill="1" applyBorder="1" applyAlignment="1">
      <alignment horizontal="center" vertical="top" wrapText="1"/>
    </xf>
    <xf numFmtId="0" fontId="16" fillId="0" borderId="11" xfId="0" applyFont="1" applyFill="1" applyBorder="1" applyAlignment="1">
      <alignment vertical="top" wrapText="1"/>
    </xf>
    <xf numFmtId="0" fontId="16" fillId="0" borderId="0" xfId="0" applyFont="1" applyFill="1" applyAlignment="1">
      <alignment vertical="top"/>
    </xf>
    <xf numFmtId="3" fontId="10" fillId="0" borderId="18" xfId="0" applyNumberFormat="1" applyFont="1" applyFill="1" applyBorder="1" applyAlignment="1">
      <alignment horizontal="right" vertical="top" wrapText="1"/>
    </xf>
    <xf numFmtId="0" fontId="16" fillId="0" borderId="0" xfId="0" applyFont="1" applyFill="1" applyBorder="1" applyAlignment="1">
      <alignment vertical="top"/>
    </xf>
    <xf numFmtId="0" fontId="10" fillId="0" borderId="18" xfId="0" applyFont="1" applyFill="1" applyBorder="1" applyAlignment="1">
      <alignment horizontal="center" vertical="top" wrapText="1"/>
    </xf>
    <xf numFmtId="0" fontId="10" fillId="0" borderId="11" xfId="0" applyFont="1" applyFill="1" applyBorder="1" applyAlignment="1">
      <alignment vertical="top" wrapText="1"/>
    </xf>
    <xf numFmtId="0" fontId="16" fillId="0" borderId="0" xfId="0" applyFont="1" applyFill="1" applyBorder="1" applyAlignment="1">
      <alignment horizontal="left" vertical="top" wrapText="1"/>
    </xf>
    <xf numFmtId="0" fontId="16" fillId="0" borderId="0" xfId="0" applyFont="1" applyFill="1" applyAlignment="1">
      <alignment vertical="top" wrapText="1"/>
    </xf>
    <xf numFmtId="182" fontId="10" fillId="0" borderId="12" xfId="0" applyNumberFormat="1" applyFont="1" applyFill="1" applyBorder="1" applyAlignment="1">
      <alignment vertical="top" wrapText="1"/>
    </xf>
    <xf numFmtId="0" fontId="10" fillId="0" borderId="13" xfId="0" applyFont="1" applyFill="1" applyBorder="1" applyAlignment="1">
      <alignment vertical="top" wrapText="1"/>
    </xf>
    <xf numFmtId="0" fontId="19" fillId="0" borderId="0" xfId="0" applyFont="1" applyAlignment="1">
      <alignment vertical="top" wrapText="1"/>
    </xf>
    <xf numFmtId="0" fontId="10" fillId="0" borderId="18" xfId="0" applyFont="1" applyFill="1" applyBorder="1" applyAlignment="1">
      <alignment vertical="top" wrapText="1"/>
    </xf>
    <xf numFmtId="0" fontId="10" fillId="0" borderId="12" xfId="0" applyFont="1" applyFill="1" applyBorder="1" applyAlignment="1">
      <alignment vertical="top" wrapText="1"/>
    </xf>
    <xf numFmtId="0" fontId="10" fillId="0" borderId="11" xfId="0" applyFont="1" applyBorder="1" applyAlignment="1">
      <alignment vertical="top" wrapText="1"/>
    </xf>
    <xf numFmtId="0" fontId="19" fillId="0" borderId="0" xfId="0" applyFont="1" applyBorder="1" applyAlignment="1">
      <alignment vertical="top"/>
    </xf>
    <xf numFmtId="0" fontId="10" fillId="0" borderId="11" xfId="0" applyFont="1" applyBorder="1" applyAlignment="1">
      <alignment horizontal="justify" vertical="top"/>
    </xf>
    <xf numFmtId="0" fontId="10" fillId="0" borderId="11" xfId="0" applyFont="1" applyBorder="1" applyAlignment="1">
      <alignment vertical="top"/>
    </xf>
    <xf numFmtId="0" fontId="15" fillId="0" borderId="17" xfId="0" applyFont="1" applyBorder="1" applyAlignment="1">
      <alignment horizontal="left" vertical="top"/>
    </xf>
    <xf numFmtId="0" fontId="10" fillId="0" borderId="22" xfId="0" applyFont="1" applyBorder="1" applyAlignment="1">
      <alignment horizontal="center" vertical="top"/>
    </xf>
    <xf numFmtId="0" fontId="10" fillId="0" borderId="23" xfId="0" applyFont="1" applyBorder="1" applyAlignment="1">
      <alignment vertical="top"/>
    </xf>
    <xf numFmtId="0" fontId="17" fillId="0" borderId="17" xfId="0" applyFont="1" applyBorder="1" applyAlignment="1">
      <alignment horizontal="distributed" vertical="center" indent="2"/>
    </xf>
    <xf numFmtId="0" fontId="17" fillId="0" borderId="22" xfId="0" applyFont="1" applyBorder="1" applyAlignment="1">
      <alignment horizontal="distributed" vertical="center" indent="2"/>
    </xf>
    <xf numFmtId="0" fontId="14" fillId="0" borderId="24" xfId="0" applyFont="1" applyFill="1" applyBorder="1" applyAlignment="1">
      <alignment horizontal="center" vertical="center" wrapText="1"/>
    </xf>
    <xf numFmtId="0" fontId="17" fillId="0" borderId="25" xfId="0" applyFont="1" applyBorder="1" applyAlignment="1">
      <alignment horizontal="distributed" vertical="center" indent="2"/>
    </xf>
    <xf numFmtId="0" fontId="17" fillId="0" borderId="26" xfId="0" applyFont="1" applyBorder="1" applyAlignment="1">
      <alignment horizontal="distributed" vertical="center" indent="2"/>
    </xf>
    <xf numFmtId="0" fontId="10" fillId="0" borderId="27" xfId="0" applyFont="1" applyBorder="1" applyAlignment="1">
      <alignment horizontal="center" vertical="top"/>
    </xf>
    <xf numFmtId="0" fontId="10" fillId="0" borderId="0" xfId="0" applyFont="1" applyFill="1" applyAlignment="1">
      <alignment horizontal="center" vertical="center"/>
    </xf>
    <xf numFmtId="3" fontId="10" fillId="0" borderId="14" xfId="0" applyNumberFormat="1" applyFont="1" applyBorder="1" applyAlignment="1">
      <alignment vertical="top"/>
    </xf>
    <xf numFmtId="179" fontId="10" fillId="0" borderId="15" xfId="0" applyNumberFormat="1" applyFont="1" applyBorder="1" applyAlignment="1">
      <alignment vertical="top"/>
    </xf>
    <xf numFmtId="179" fontId="10" fillId="0" borderId="16" xfId="0" applyNumberFormat="1" applyFont="1" applyBorder="1" applyAlignment="1">
      <alignment vertical="top"/>
    </xf>
    <xf numFmtId="179" fontId="10" fillId="0" borderId="18" xfId="0" applyNumberFormat="1" applyFont="1" applyBorder="1" applyAlignment="1">
      <alignment vertical="top"/>
    </xf>
    <xf numFmtId="179" fontId="10" fillId="0" borderId="11" xfId="0" applyNumberFormat="1" applyFont="1" applyBorder="1" applyAlignment="1">
      <alignment vertical="top"/>
    </xf>
    <xf numFmtId="179" fontId="16" fillId="0" borderId="18" xfId="0" applyNumberFormat="1" applyFont="1" applyBorder="1" applyAlignment="1">
      <alignment vertical="top"/>
    </xf>
    <xf numFmtId="0" fontId="16" fillId="0" borderId="18" xfId="0" applyFont="1" applyFill="1" applyBorder="1" applyAlignment="1">
      <alignment horizontal="center" vertical="top" wrapText="1"/>
    </xf>
    <xf numFmtId="0" fontId="16" fillId="0" borderId="18" xfId="0" applyFont="1" applyFill="1" applyBorder="1" applyAlignment="1">
      <alignment horizontal="justify" vertical="top" wrapText="1"/>
    </xf>
    <xf numFmtId="0" fontId="10" fillId="0" borderId="11" xfId="0" applyFont="1" applyFill="1" applyBorder="1" applyAlignment="1">
      <alignment horizontal="justify" vertical="top" wrapText="1"/>
    </xf>
    <xf numFmtId="179" fontId="10" fillId="0" borderId="18" xfId="0" applyNumberFormat="1" applyFont="1" applyFill="1" applyBorder="1" applyAlignment="1">
      <alignment horizontal="right" vertical="top" wrapText="1"/>
    </xf>
    <xf numFmtId="0" fontId="10" fillId="0" borderId="18" xfId="0" applyFont="1" applyFill="1" applyBorder="1" applyAlignment="1">
      <alignment horizontal="right" vertical="top" wrapText="1"/>
    </xf>
    <xf numFmtId="0" fontId="10" fillId="0" borderId="17" xfId="0" applyFont="1" applyFill="1" applyBorder="1" applyAlignment="1">
      <alignment horizontal="left" vertical="top" wrapText="1"/>
    </xf>
    <xf numFmtId="0" fontId="10" fillId="0" borderId="18" xfId="0" applyFont="1" applyFill="1" applyBorder="1" applyAlignment="1">
      <alignment horizontal="justify" vertical="top" wrapText="1"/>
    </xf>
    <xf numFmtId="0" fontId="10" fillId="0" borderId="12" xfId="0" applyFont="1" applyFill="1" applyBorder="1" applyAlignment="1">
      <alignment horizontal="center" vertical="top" wrapText="1"/>
    </xf>
    <xf numFmtId="0" fontId="10" fillId="0" borderId="12" xfId="0" applyFont="1" applyFill="1" applyBorder="1" applyAlignment="1">
      <alignment horizontal="justify" vertical="top" wrapText="1"/>
    </xf>
    <xf numFmtId="0" fontId="10" fillId="0" borderId="13" xfId="0" applyFont="1" applyFill="1" applyBorder="1" applyAlignment="1">
      <alignment horizontal="justify" vertical="top" wrapText="1"/>
    </xf>
    <xf numFmtId="0" fontId="14" fillId="0" borderId="14" xfId="0" applyFont="1" applyFill="1" applyBorder="1" applyAlignment="1">
      <alignment horizontal="center" vertical="center" wrapText="1"/>
    </xf>
    <xf numFmtId="0" fontId="14" fillId="0" borderId="15" xfId="0" applyFont="1" applyFill="1" applyBorder="1" applyAlignment="1">
      <alignment horizontal="center" vertical="center" wrapText="1"/>
    </xf>
    <xf numFmtId="0" fontId="14" fillId="0" borderId="16" xfId="0" applyFont="1" applyFill="1" applyBorder="1" applyAlignment="1">
      <alignment horizontal="center" vertical="center" wrapText="1"/>
    </xf>
    <xf numFmtId="0" fontId="16" fillId="0" borderId="11" xfId="0" applyFont="1" applyFill="1" applyBorder="1" applyAlignment="1">
      <alignment horizontal="justify" vertical="top" wrapText="1"/>
    </xf>
    <xf numFmtId="179" fontId="16" fillId="0" borderId="18" xfId="0" applyNumberFormat="1" applyFont="1" applyFill="1" applyBorder="1" applyAlignment="1">
      <alignment horizontal="right" vertical="top" wrapText="1"/>
    </xf>
    <xf numFmtId="3" fontId="10" fillId="0" borderId="18" xfId="0" applyNumberFormat="1" applyFont="1" applyFill="1" applyBorder="1" applyAlignment="1">
      <alignment vertical="top"/>
    </xf>
    <xf numFmtId="3" fontId="16" fillId="0" borderId="18" xfId="0" applyNumberFormat="1" applyFont="1" applyFill="1" applyBorder="1" applyAlignment="1">
      <alignment vertical="top"/>
    </xf>
    <xf numFmtId="0" fontId="10" fillId="0" borderId="29" xfId="0" applyFont="1" applyFill="1" applyBorder="1" applyAlignment="1">
      <alignment horizontal="center" vertical="center" wrapText="1"/>
    </xf>
    <xf numFmtId="0" fontId="10" fillId="0" borderId="29" xfId="0" applyFont="1" applyFill="1" applyBorder="1" applyAlignment="1">
      <alignment vertical="center" wrapText="1"/>
    </xf>
    <xf numFmtId="181" fontId="10" fillId="0" borderId="30" xfId="0" applyNumberFormat="1" applyFont="1" applyFill="1" applyBorder="1" applyAlignment="1">
      <alignment vertical="top"/>
    </xf>
    <xf numFmtId="182" fontId="10" fillId="0" borderId="30" xfId="0" applyNumberFormat="1" applyFont="1" applyFill="1" applyBorder="1" applyAlignment="1">
      <alignment vertical="top" wrapText="1"/>
    </xf>
    <xf numFmtId="0" fontId="10" fillId="0" borderId="25" xfId="0" applyFont="1" applyFill="1" applyBorder="1" applyAlignment="1">
      <alignment horizontal="distributed" vertical="center" wrapText="1" indent="1"/>
    </xf>
    <xf numFmtId="182" fontId="16" fillId="0" borderId="27" xfId="0" applyNumberFormat="1" applyFont="1" applyFill="1" applyBorder="1" applyAlignment="1">
      <alignment vertical="top" wrapText="1"/>
    </xf>
    <xf numFmtId="49" fontId="21" fillId="0" borderId="27" xfId="0" applyNumberFormat="1" applyFont="1" applyBorder="1" applyAlignment="1">
      <alignment vertical="top" wrapText="1"/>
    </xf>
    <xf numFmtId="0" fontId="10" fillId="0" borderId="26" xfId="0" applyFont="1" applyFill="1" applyBorder="1" applyAlignment="1">
      <alignment horizontal="distributed" vertical="center" wrapText="1" indent="1"/>
    </xf>
    <xf numFmtId="0" fontId="16" fillId="0" borderId="30" xfId="0" applyFont="1" applyFill="1" applyBorder="1" applyAlignment="1">
      <alignment vertical="top" wrapText="1"/>
    </xf>
    <xf numFmtId="0" fontId="10" fillId="0" borderId="30" xfId="0" applyFont="1" applyFill="1" applyBorder="1" applyAlignment="1">
      <alignment horizontal="justify" vertical="top"/>
    </xf>
    <xf numFmtId="0" fontId="10" fillId="0" borderId="30" xfId="0" applyFont="1" applyFill="1" applyBorder="1" applyAlignment="1">
      <alignment vertical="top"/>
    </xf>
    <xf numFmtId="177" fontId="16" fillId="0" borderId="18" xfId="0" applyNumberFormat="1" applyFont="1" applyFill="1" applyBorder="1" applyAlignment="1">
      <alignment horizontal="right" vertical="top" wrapText="1"/>
    </xf>
    <xf numFmtId="177" fontId="10" fillId="0" borderId="18" xfId="0" applyNumberFormat="1" applyFont="1" applyFill="1" applyBorder="1" applyAlignment="1">
      <alignment horizontal="right" vertical="top" wrapText="1"/>
    </xf>
    <xf numFmtId="0" fontId="10" fillId="0" borderId="0" xfId="0" applyFont="1" applyAlignment="1">
      <alignment vertical="center"/>
    </xf>
    <xf numFmtId="0" fontId="10" fillId="0" borderId="0" xfId="0" applyFont="1" applyAlignment="1">
      <alignment horizontal="center" vertical="center"/>
    </xf>
    <xf numFmtId="41" fontId="16" fillId="0" borderId="18" xfId="0" applyNumberFormat="1" applyFont="1" applyBorder="1" applyAlignment="1">
      <alignment horizontal="right" vertical="center" wrapText="1"/>
    </xf>
    <xf numFmtId="0" fontId="10" fillId="0" borderId="12" xfId="0" applyFont="1" applyBorder="1" applyAlignment="1">
      <alignment horizontal="justify" vertical="center" wrapText="1"/>
    </xf>
    <xf numFmtId="0" fontId="14" fillId="0" borderId="20" xfId="0" applyFont="1" applyFill="1" applyBorder="1" applyAlignment="1">
      <alignment horizontal="center" vertical="center" wrapText="1"/>
    </xf>
    <xf numFmtId="0" fontId="10" fillId="0" borderId="10" xfId="0" applyFont="1" applyFill="1" applyBorder="1" applyAlignment="1">
      <alignment horizontal="center" vertical="center"/>
    </xf>
    <xf numFmtId="3" fontId="10" fillId="0" borderId="12" xfId="0" applyNumberFormat="1" applyFont="1" applyFill="1" applyBorder="1" applyAlignment="1">
      <alignment horizontal="right" vertical="top" wrapText="1"/>
    </xf>
    <xf numFmtId="0" fontId="14" fillId="0" borderId="17" xfId="0" applyFont="1" applyBorder="1" applyAlignment="1">
      <alignment vertical="top"/>
    </xf>
    <xf numFmtId="0" fontId="10" fillId="0" borderId="11" xfId="0" applyFont="1" applyBorder="1" applyAlignment="1">
      <alignment horizontal="justify" vertical="center" wrapText="1"/>
    </xf>
    <xf numFmtId="0" fontId="10" fillId="0" borderId="17" xfId="0" applyFont="1" applyBorder="1" applyAlignment="1">
      <alignment horizontal="justify" vertical="top" wrapText="1"/>
    </xf>
    <xf numFmtId="0" fontId="10" fillId="0" borderId="18" xfId="0" applyFont="1" applyBorder="1" applyAlignment="1">
      <alignment horizontal="justify" vertical="top" wrapText="1"/>
    </xf>
    <xf numFmtId="0" fontId="10" fillId="0" borderId="18" xfId="0" applyFont="1" applyBorder="1" applyAlignment="1">
      <alignment horizontal="justify" vertical="center" wrapText="1"/>
    </xf>
    <xf numFmtId="0" fontId="24" fillId="0" borderId="18" xfId="0" applyFont="1" applyBorder="1" applyAlignment="1">
      <alignment horizontal="justify" vertical="center" wrapText="1"/>
    </xf>
    <xf numFmtId="0" fontId="10" fillId="0" borderId="21" xfId="0" applyFont="1" applyBorder="1" applyAlignment="1">
      <alignment horizontal="justify" vertical="top" wrapText="1"/>
    </xf>
    <xf numFmtId="0" fontId="10" fillId="0" borderId="12" xfId="0" applyFont="1" applyBorder="1" applyAlignment="1">
      <alignment horizontal="justify" vertical="top" wrapText="1"/>
    </xf>
    <xf numFmtId="0" fontId="24" fillId="0" borderId="12" xfId="0" applyFont="1" applyBorder="1" applyAlignment="1">
      <alignment horizontal="justify" vertical="center" wrapText="1"/>
    </xf>
    <xf numFmtId="0" fontId="10" fillId="0" borderId="13" xfId="0" applyFont="1" applyBorder="1" applyAlignment="1">
      <alignment horizontal="justify" vertical="center" wrapText="1"/>
    </xf>
    <xf numFmtId="176" fontId="10" fillId="0" borderId="0" xfId="0" applyNumberFormat="1" applyFont="1">
      <alignment vertical="center"/>
    </xf>
    <xf numFmtId="0" fontId="30" fillId="0" borderId="0" xfId="0" applyFont="1" applyAlignment="1">
      <alignment vertical="top"/>
    </xf>
    <xf numFmtId="177" fontId="10" fillId="0" borderId="16" xfId="0" applyNumberFormat="1" applyFont="1" applyFill="1" applyBorder="1" applyAlignment="1">
      <alignment horizontal="center" vertical="center" wrapText="1"/>
    </xf>
    <xf numFmtId="179" fontId="16" fillId="0" borderId="17" xfId="0" applyNumberFormat="1" applyFont="1" applyFill="1" applyBorder="1" applyAlignment="1">
      <alignment vertical="top"/>
    </xf>
    <xf numFmtId="0" fontId="15" fillId="0" borderId="0" xfId="0" applyFont="1" applyFill="1" applyBorder="1" applyAlignment="1">
      <alignment horizontal="distributed" vertical="top" indent="6"/>
    </xf>
    <xf numFmtId="179" fontId="16" fillId="0" borderId="18" xfId="0" applyNumberFormat="1" applyFont="1" applyFill="1" applyBorder="1" applyAlignment="1">
      <alignment vertical="top"/>
    </xf>
    <xf numFmtId="179" fontId="16" fillId="0" borderId="11" xfId="0" applyNumberFormat="1" applyFont="1" applyFill="1" applyBorder="1" applyAlignment="1">
      <alignment vertical="top"/>
    </xf>
    <xf numFmtId="0" fontId="15" fillId="0" borderId="0" xfId="0" applyFont="1" applyFill="1" applyBorder="1" applyAlignment="1">
      <alignment horizontal="left" vertical="top"/>
    </xf>
    <xf numFmtId="179" fontId="10" fillId="0" borderId="17" xfId="0" applyNumberFormat="1" applyFont="1" applyFill="1" applyBorder="1" applyAlignment="1">
      <alignment vertical="top"/>
    </xf>
    <xf numFmtId="0" fontId="14" fillId="0" borderId="0" xfId="0" applyFont="1" applyFill="1" applyBorder="1" applyAlignment="1">
      <alignment horizontal="justify" vertical="top"/>
    </xf>
    <xf numFmtId="179" fontId="10" fillId="0" borderId="18" xfId="0" applyNumberFormat="1" applyFont="1" applyFill="1" applyBorder="1" applyAlignment="1">
      <alignment vertical="top"/>
    </xf>
    <xf numFmtId="179" fontId="10" fillId="0" borderId="11" xfId="0" applyNumberFormat="1" applyFont="1" applyFill="1" applyBorder="1" applyAlignment="1">
      <alignment vertical="top"/>
    </xf>
    <xf numFmtId="0" fontId="15" fillId="0" borderId="0" xfId="0" applyFont="1" applyFill="1" applyBorder="1" applyAlignment="1">
      <alignment horizontal="left" vertical="top" shrinkToFit="1"/>
    </xf>
    <xf numFmtId="41" fontId="10" fillId="0" borderId="11" xfId="0" applyNumberFormat="1" applyFont="1" applyFill="1" applyBorder="1" applyAlignment="1">
      <alignment vertical="top"/>
    </xf>
    <xf numFmtId="179" fontId="16" fillId="0" borderId="21" xfId="0" applyNumberFormat="1" applyFont="1" applyFill="1" applyBorder="1" applyAlignment="1">
      <alignment vertical="top"/>
    </xf>
    <xf numFmtId="0" fontId="15" fillId="0" borderId="36" xfId="0" applyFont="1" applyFill="1" applyBorder="1" applyAlignment="1">
      <alignment horizontal="distributed" vertical="top" indent="6"/>
    </xf>
    <xf numFmtId="179" fontId="16" fillId="0" borderId="12" xfId="0" applyNumberFormat="1" applyFont="1" applyFill="1" applyBorder="1" applyAlignment="1">
      <alignment vertical="top"/>
    </xf>
    <xf numFmtId="179" fontId="16" fillId="0" borderId="13" xfId="0" applyNumberFormat="1" applyFont="1" applyFill="1" applyBorder="1" applyAlignment="1">
      <alignment vertical="top"/>
    </xf>
    <xf numFmtId="41" fontId="10" fillId="0" borderId="18" xfId="0" applyNumberFormat="1" applyFont="1" applyFill="1" applyBorder="1" applyAlignment="1">
      <alignment vertical="top"/>
    </xf>
    <xf numFmtId="41" fontId="16" fillId="0" borderId="17" xfId="0" applyNumberFormat="1" applyFont="1" applyFill="1" applyBorder="1" applyAlignment="1">
      <alignment vertical="top"/>
    </xf>
    <xf numFmtId="41" fontId="16" fillId="0" borderId="18" xfId="0" applyNumberFormat="1" applyFont="1" applyFill="1" applyBorder="1" applyAlignment="1">
      <alignment vertical="top"/>
    </xf>
    <xf numFmtId="41" fontId="16" fillId="0" borderId="11" xfId="0" applyNumberFormat="1" applyFont="1" applyFill="1" applyBorder="1" applyAlignment="1">
      <alignment vertical="top"/>
    </xf>
    <xf numFmtId="41" fontId="10" fillId="0" borderId="17" xfId="0" applyNumberFormat="1" applyFont="1" applyFill="1" applyBorder="1" applyAlignment="1">
      <alignment vertical="top"/>
    </xf>
    <xf numFmtId="0" fontId="10" fillId="0" borderId="37" xfId="0" applyFont="1" applyFill="1" applyBorder="1" applyAlignment="1">
      <alignment horizontal="distributed" vertical="center" wrapText="1" indent="1"/>
    </xf>
    <xf numFmtId="0" fontId="15" fillId="0" borderId="17" xfId="0" applyFont="1" applyFill="1" applyBorder="1" applyAlignment="1">
      <alignment horizontal="left" vertical="top" wrapText="1"/>
    </xf>
    <xf numFmtId="3" fontId="16" fillId="0" borderId="18" xfId="0" applyNumberFormat="1" applyFont="1" applyFill="1" applyBorder="1" applyAlignment="1">
      <alignment vertical="top" wrapText="1"/>
    </xf>
    <xf numFmtId="3" fontId="16" fillId="0" borderId="27" xfId="0" applyNumberFormat="1" applyFont="1" applyFill="1" applyBorder="1" applyAlignment="1">
      <alignment vertical="top" wrapText="1"/>
    </xf>
    <xf numFmtId="3" fontId="16" fillId="0" borderId="0" xfId="0" applyNumberFormat="1" applyFont="1" applyFill="1" applyBorder="1" applyAlignment="1">
      <alignment vertical="top" wrapText="1"/>
    </xf>
    <xf numFmtId="0" fontId="24" fillId="0" borderId="22" xfId="0" applyFont="1" applyFill="1" applyBorder="1" applyAlignment="1">
      <alignment vertical="top" wrapText="1"/>
    </xf>
    <xf numFmtId="0" fontId="14" fillId="0" borderId="17" xfId="0" applyFont="1" applyFill="1" applyBorder="1" applyAlignment="1">
      <alignment horizontal="left" vertical="top" wrapText="1"/>
    </xf>
    <xf numFmtId="0" fontId="10" fillId="0" borderId="27" xfId="0" applyFont="1" applyFill="1" applyBorder="1" applyAlignment="1">
      <alignment horizontal="right" vertical="top" wrapText="1"/>
    </xf>
    <xf numFmtId="0" fontId="10" fillId="0" borderId="0" xfId="0" applyFont="1" applyFill="1" applyBorder="1" applyAlignment="1">
      <alignment horizontal="right" vertical="top" wrapText="1"/>
    </xf>
    <xf numFmtId="3" fontId="10" fillId="0" borderId="18" xfId="0" applyNumberFormat="1" applyFont="1" applyFill="1" applyBorder="1" applyAlignment="1">
      <alignment vertical="top" wrapText="1"/>
    </xf>
    <xf numFmtId="41" fontId="16" fillId="0" borderId="18" xfId="0" applyNumberFormat="1" applyFont="1" applyFill="1" applyBorder="1" applyAlignment="1">
      <alignment horizontal="right" vertical="top" wrapText="1"/>
    </xf>
    <xf numFmtId="179" fontId="16" fillId="0" borderId="12" xfId="0" applyNumberFormat="1" applyFont="1" applyFill="1" applyBorder="1" applyAlignment="1">
      <alignment horizontal="right" vertical="top" wrapText="1"/>
    </xf>
    <xf numFmtId="0" fontId="7" fillId="0" borderId="0" xfId="0" applyFont="1" applyFill="1" applyAlignment="1">
      <alignment vertical="center"/>
    </xf>
    <xf numFmtId="0" fontId="12" fillId="0" borderId="0" xfId="0" applyFont="1" applyFill="1" applyAlignment="1">
      <alignment vertical="center"/>
    </xf>
    <xf numFmtId="3" fontId="10" fillId="0" borderId="18" xfId="0" applyNumberFormat="1" applyFont="1" applyBorder="1" applyAlignment="1">
      <alignment horizontal="right" vertical="center" wrapText="1"/>
    </xf>
    <xf numFmtId="3" fontId="10" fillId="0" borderId="18" xfId="0" applyNumberFormat="1" applyFont="1" applyBorder="1" applyAlignment="1">
      <alignment horizontal="right" vertical="top" wrapText="1"/>
    </xf>
    <xf numFmtId="0" fontId="10" fillId="0" borderId="11" xfId="0" applyFont="1" applyBorder="1" applyAlignment="1">
      <alignment horizontal="justify" vertical="top" wrapText="1"/>
    </xf>
    <xf numFmtId="0" fontId="10" fillId="0" borderId="17" xfId="0" applyFont="1" applyBorder="1" applyAlignment="1">
      <alignment horizontal="justify" vertical="center" wrapText="1"/>
    </xf>
    <xf numFmtId="0" fontId="16" fillId="0" borderId="17" xfId="0" applyFont="1" applyBorder="1" applyAlignment="1">
      <alignment horizontal="justify" vertical="center" wrapText="1"/>
    </xf>
    <xf numFmtId="0" fontId="32" fillId="0" borderId="11" xfId="0" applyFont="1" applyBorder="1" applyAlignment="1">
      <alignment horizontal="center" vertical="top" wrapText="1"/>
    </xf>
    <xf numFmtId="0" fontId="16" fillId="0" borderId="21" xfId="0" applyFont="1" applyBorder="1" applyAlignment="1">
      <alignment horizontal="justify" vertical="center" wrapText="1"/>
    </xf>
    <xf numFmtId="179" fontId="16" fillId="0" borderId="12" xfId="0" applyNumberFormat="1" applyFont="1" applyBorder="1" applyAlignment="1">
      <alignment horizontal="right" vertical="center" wrapText="1"/>
    </xf>
    <xf numFmtId="0" fontId="22" fillId="0" borderId="35" xfId="0" applyFont="1" applyFill="1" applyBorder="1" applyAlignment="1">
      <alignment horizontal="center" vertical="center" wrapText="1"/>
    </xf>
    <xf numFmtId="180" fontId="10" fillId="0" borderId="0" xfId="0" applyNumberFormat="1" applyFont="1" applyFill="1">
      <alignment vertical="center"/>
    </xf>
    <xf numFmtId="0" fontId="29" fillId="0" borderId="0" xfId="0" applyFont="1" applyFill="1">
      <alignment vertical="center"/>
    </xf>
    <xf numFmtId="0" fontId="37" fillId="0" borderId="0" xfId="20" applyFont="1" applyAlignment="1">
      <alignment vertical="top"/>
    </xf>
    <xf numFmtId="0" fontId="24" fillId="0" borderId="15" xfId="20" applyFont="1" applyBorder="1" applyAlignment="1">
      <alignment vertical="top"/>
    </xf>
    <xf numFmtId="0" fontId="24" fillId="0" borderId="25" xfId="20" applyFont="1" applyBorder="1" applyAlignment="1">
      <alignment vertical="top"/>
    </xf>
    <xf numFmtId="179" fontId="24" fillId="0" borderId="16" xfId="20" applyNumberFormat="1" applyFont="1" applyBorder="1" applyAlignment="1">
      <alignment vertical="top"/>
    </xf>
    <xf numFmtId="0" fontId="10" fillId="0" borderId="15" xfId="0" applyFont="1" applyBorder="1" applyAlignment="1">
      <alignment horizontal="distributed" vertical="center" wrapText="1" indent="1"/>
    </xf>
    <xf numFmtId="0" fontId="10" fillId="0" borderId="16" xfId="0" applyFont="1" applyBorder="1" applyAlignment="1">
      <alignment horizontal="distributed" vertical="center" wrapText="1" indent="1"/>
    </xf>
    <xf numFmtId="0" fontId="22" fillId="0" borderId="14" xfId="0" applyFont="1" applyFill="1" applyBorder="1" applyAlignment="1">
      <alignment horizontal="center" vertical="center" wrapText="1"/>
    </xf>
    <xf numFmtId="0" fontId="22" fillId="0" borderId="15" xfId="0" applyFont="1" applyFill="1" applyBorder="1" applyAlignment="1">
      <alignment horizontal="center" vertical="center" wrapText="1"/>
    </xf>
    <xf numFmtId="0" fontId="24" fillId="0" borderId="15" xfId="0" applyFont="1" applyFill="1" applyBorder="1" applyAlignment="1">
      <alignment horizontal="center" vertical="center" wrapText="1"/>
    </xf>
    <xf numFmtId="180" fontId="22" fillId="0" borderId="15" xfId="0" applyNumberFormat="1" applyFont="1" applyFill="1" applyBorder="1" applyAlignment="1">
      <alignment horizontal="center" vertical="center" wrapText="1"/>
    </xf>
    <xf numFmtId="0" fontId="10" fillId="0" borderId="17" xfId="0" applyFont="1" applyBorder="1" applyAlignment="1">
      <alignment horizontal="right" vertical="top" wrapText="1"/>
    </xf>
    <xf numFmtId="0" fontId="10" fillId="0" borderId="18" xfId="0" applyFont="1" applyBorder="1" applyAlignment="1">
      <alignment horizontal="right" vertical="top" wrapText="1"/>
    </xf>
    <xf numFmtId="41" fontId="16" fillId="0" borderId="17" xfId="0" applyNumberFormat="1" applyFont="1" applyBorder="1" applyAlignment="1">
      <alignment horizontal="right" vertical="top" wrapText="1"/>
    </xf>
    <xf numFmtId="41" fontId="16" fillId="0" borderId="18" xfId="0" applyNumberFormat="1" applyFont="1" applyBorder="1" applyAlignment="1">
      <alignment horizontal="right" vertical="top" wrapText="1"/>
    </xf>
    <xf numFmtId="178" fontId="16" fillId="0" borderId="11" xfId="21" applyNumberFormat="1" applyFont="1" applyBorder="1" applyAlignment="1">
      <alignment horizontal="right" vertical="top" wrapText="1"/>
    </xf>
    <xf numFmtId="41" fontId="10" fillId="0" borderId="17" xfId="0" applyNumberFormat="1" applyFont="1" applyBorder="1" applyAlignment="1">
      <alignment horizontal="right" vertical="top" wrapText="1"/>
    </xf>
    <xf numFmtId="41" fontId="10" fillId="0" borderId="18" xfId="0" applyNumberFormat="1" applyFont="1" applyBorder="1" applyAlignment="1">
      <alignment horizontal="right" vertical="top" wrapText="1"/>
    </xf>
    <xf numFmtId="178" fontId="10" fillId="0" borderId="11" xfId="21" applyNumberFormat="1" applyFont="1" applyBorder="1" applyAlignment="1">
      <alignment horizontal="right" vertical="top" wrapText="1"/>
    </xf>
    <xf numFmtId="41" fontId="16" fillId="0" borderId="11" xfId="0" applyNumberFormat="1" applyFont="1" applyBorder="1" applyAlignment="1">
      <alignment horizontal="right" vertical="top" wrapText="1"/>
    </xf>
    <xf numFmtId="41" fontId="10" fillId="0" borderId="21" xfId="0" applyNumberFormat="1" applyFont="1" applyBorder="1" applyAlignment="1">
      <alignment horizontal="right" vertical="top" wrapText="1"/>
    </xf>
    <xf numFmtId="178" fontId="10" fillId="0" borderId="13" xfId="21" applyNumberFormat="1" applyFont="1" applyBorder="1" applyAlignment="1">
      <alignment horizontal="right" vertical="top" wrapText="1"/>
    </xf>
    <xf numFmtId="179" fontId="16" fillId="0" borderId="17" xfId="0" applyNumberFormat="1" applyFont="1" applyFill="1" applyBorder="1" applyAlignment="1">
      <alignment horizontal="right" vertical="top" wrapText="1"/>
    </xf>
    <xf numFmtId="3" fontId="16" fillId="0" borderId="11" xfId="0" applyNumberFormat="1" applyFont="1" applyFill="1" applyBorder="1" applyAlignment="1">
      <alignment vertical="top"/>
    </xf>
    <xf numFmtId="3" fontId="16" fillId="0" borderId="11" xfId="0" applyNumberFormat="1" applyFont="1" applyFill="1" applyBorder="1" applyAlignment="1">
      <alignment horizontal="right" vertical="top" wrapText="1"/>
    </xf>
    <xf numFmtId="0" fontId="10" fillId="0" borderId="0" xfId="0" applyFont="1" applyFill="1" applyBorder="1" applyAlignment="1">
      <alignment horizontal="center" vertical="top"/>
    </xf>
    <xf numFmtId="0" fontId="10" fillId="0" borderId="0" xfId="0" applyFont="1" applyFill="1" applyAlignment="1">
      <alignment horizontal="center" vertical="top"/>
    </xf>
    <xf numFmtId="179" fontId="10" fillId="0" borderId="17" xfId="0" applyNumberFormat="1" applyFont="1" applyFill="1" applyBorder="1" applyAlignment="1">
      <alignment horizontal="right" vertical="top" wrapText="1"/>
    </xf>
    <xf numFmtId="3" fontId="10" fillId="0" borderId="11" xfId="0" applyNumberFormat="1" applyFont="1" applyFill="1" applyBorder="1" applyAlignment="1">
      <alignment horizontal="right" vertical="top" wrapText="1"/>
    </xf>
    <xf numFmtId="41" fontId="10" fillId="0" borderId="18" xfId="0" applyNumberFormat="1" applyFont="1" applyFill="1" applyBorder="1" applyAlignment="1">
      <alignment horizontal="right" vertical="top" wrapText="1"/>
    </xf>
    <xf numFmtId="41" fontId="10" fillId="0" borderId="17" xfId="0" applyNumberFormat="1" applyFont="1" applyFill="1" applyBorder="1" applyAlignment="1">
      <alignment horizontal="right" vertical="top" wrapText="1"/>
    </xf>
    <xf numFmtId="0" fontId="10" fillId="0" borderId="17" xfId="0" applyFont="1" applyFill="1" applyBorder="1" applyAlignment="1">
      <alignment horizontal="justify" vertical="top" wrapText="1"/>
    </xf>
    <xf numFmtId="41" fontId="10" fillId="0" borderId="21" xfId="0" applyNumberFormat="1" applyFont="1" applyFill="1" applyBorder="1" applyAlignment="1">
      <alignment horizontal="right" vertical="top" wrapText="1"/>
    </xf>
    <xf numFmtId="41" fontId="10" fillId="0" borderId="12" xfId="0" applyNumberFormat="1" applyFont="1" applyFill="1" applyBorder="1" applyAlignment="1">
      <alignment horizontal="right" vertical="top" wrapText="1"/>
    </xf>
    <xf numFmtId="0" fontId="10" fillId="0" borderId="32" xfId="0" applyFont="1" applyBorder="1" applyAlignment="1">
      <alignment horizontal="left" vertical="top" wrapText="1"/>
    </xf>
    <xf numFmtId="0" fontId="10" fillId="0" borderId="23" xfId="0" applyFont="1" applyBorder="1" applyAlignment="1">
      <alignment horizontal="left" vertical="top" wrapText="1"/>
    </xf>
    <xf numFmtId="41" fontId="36" fillId="0" borderId="18" xfId="0" applyNumberFormat="1" applyFont="1" applyFill="1" applyBorder="1" applyAlignment="1">
      <alignment horizontal="right" vertical="top" wrapText="1"/>
    </xf>
    <xf numFmtId="0" fontId="36" fillId="0" borderId="0" xfId="0" applyFont="1" applyFill="1" applyAlignment="1">
      <alignment vertical="top"/>
    </xf>
    <xf numFmtId="41" fontId="24" fillId="0" borderId="18" xfId="0" applyNumberFormat="1" applyFont="1" applyFill="1" applyBorder="1" applyAlignment="1">
      <alignment horizontal="right" vertical="top" wrapText="1"/>
    </xf>
    <xf numFmtId="0" fontId="24" fillId="0" borderId="0" xfId="0" applyFont="1" applyFill="1" applyAlignment="1">
      <alignment vertical="top"/>
    </xf>
    <xf numFmtId="0" fontId="10" fillId="0" borderId="21" xfId="0" applyFont="1" applyFill="1" applyBorder="1" applyAlignment="1">
      <alignment horizontal="justify" vertical="top" wrapText="1"/>
    </xf>
    <xf numFmtId="3" fontId="16" fillId="0" borderId="18" xfId="0" applyNumberFormat="1" applyFont="1" applyBorder="1" applyAlignment="1">
      <alignment vertical="top" wrapText="1"/>
    </xf>
    <xf numFmtId="3" fontId="16" fillId="0" borderId="18" xfId="0" applyNumberFormat="1" applyFont="1" applyBorder="1" applyAlignment="1">
      <alignment horizontal="right" vertical="top" wrapText="1"/>
    </xf>
    <xf numFmtId="0" fontId="19" fillId="0" borderId="0" xfId="0" applyFont="1" applyFill="1" applyAlignment="1">
      <alignment vertical="center"/>
    </xf>
    <xf numFmtId="10" fontId="10" fillId="0" borderId="18" xfId="0" applyNumberFormat="1" applyFont="1" applyFill="1" applyBorder="1" applyAlignment="1">
      <alignment horizontal="right" vertical="top" wrapText="1"/>
    </xf>
    <xf numFmtId="41" fontId="10" fillId="0" borderId="11" xfId="0" applyNumberFormat="1" applyFont="1" applyFill="1" applyBorder="1" applyAlignment="1">
      <alignment horizontal="right" vertical="top" wrapText="1"/>
    </xf>
    <xf numFmtId="179" fontId="16" fillId="0" borderId="27" xfId="0" applyNumberFormat="1" applyFont="1" applyBorder="1" applyAlignment="1">
      <alignment vertical="top"/>
    </xf>
    <xf numFmtId="179" fontId="10" fillId="0" borderId="27" xfId="0" applyNumberFormat="1" applyFont="1" applyBorder="1" applyAlignment="1">
      <alignment vertical="top"/>
    </xf>
    <xf numFmtId="179" fontId="10" fillId="0" borderId="18" xfId="0" applyNumberFormat="1" applyFont="1" applyBorder="1" applyAlignment="1">
      <alignment horizontal="right" vertical="top"/>
    </xf>
    <xf numFmtId="179" fontId="16" fillId="0" borderId="18" xfId="20" applyNumberFormat="1" applyFont="1" applyFill="1" applyBorder="1" applyAlignment="1">
      <alignment vertical="top"/>
    </xf>
    <xf numFmtId="179" fontId="10" fillId="0" borderId="18" xfId="20" applyNumberFormat="1" applyFont="1" applyFill="1" applyBorder="1" applyAlignment="1">
      <alignment vertical="top"/>
    </xf>
    <xf numFmtId="179" fontId="10" fillId="0" borderId="12" xfId="20" applyNumberFormat="1" applyFont="1" applyFill="1" applyBorder="1" applyAlignment="1">
      <alignment vertical="top"/>
    </xf>
    <xf numFmtId="179" fontId="10" fillId="0" borderId="18" xfId="20" applyNumberFormat="1" applyFont="1" applyBorder="1" applyAlignment="1">
      <alignment vertical="top"/>
    </xf>
    <xf numFmtId="179" fontId="16" fillId="0" borderId="18" xfId="20" applyNumberFormat="1" applyFont="1" applyBorder="1" applyAlignment="1">
      <alignment vertical="top"/>
    </xf>
    <xf numFmtId="179" fontId="16" fillId="0" borderId="12" xfId="20" applyNumberFormat="1" applyFont="1" applyFill="1" applyBorder="1" applyAlignment="1">
      <alignment vertical="top"/>
    </xf>
    <xf numFmtId="179" fontId="16" fillId="0" borderId="27" xfId="0" applyNumberFormat="1" applyFont="1" applyFill="1" applyBorder="1" applyAlignment="1">
      <alignment vertical="top"/>
    </xf>
    <xf numFmtId="179" fontId="16" fillId="0" borderId="12" xfId="20" applyNumberFormat="1" applyFont="1" applyBorder="1" applyAlignment="1">
      <alignment vertical="top"/>
    </xf>
    <xf numFmtId="0" fontId="10" fillId="0" borderId="0" xfId="20" applyFont="1" applyAlignment="1">
      <alignment vertical="top"/>
    </xf>
    <xf numFmtId="183" fontId="16" fillId="0" borderId="0" xfId="0" applyNumberFormat="1" applyFont="1" applyFill="1" applyAlignment="1">
      <alignment vertical="top"/>
    </xf>
    <xf numFmtId="183" fontId="10" fillId="0" borderId="0" xfId="0" applyNumberFormat="1" applyFont="1" applyFill="1" applyAlignment="1">
      <alignment vertical="top"/>
    </xf>
    <xf numFmtId="41" fontId="10" fillId="0" borderId="13" xfId="0" applyNumberFormat="1" applyFont="1" applyFill="1" applyBorder="1" applyAlignment="1">
      <alignment horizontal="right" vertical="top" wrapText="1"/>
    </xf>
    <xf numFmtId="0" fontId="16" fillId="0" borderId="11" xfId="0" applyFont="1" applyFill="1" applyBorder="1" applyAlignment="1">
      <alignment horizontal="left" vertical="top" wrapText="1"/>
    </xf>
    <xf numFmtId="0" fontId="16" fillId="0" borderId="10" xfId="0" applyFont="1" applyFill="1" applyBorder="1" applyAlignment="1">
      <alignment horizontal="left" vertical="top" wrapText="1"/>
    </xf>
    <xf numFmtId="0" fontId="17" fillId="0" borderId="16" xfId="0" applyFont="1" applyBorder="1" applyAlignment="1">
      <alignment horizontal="distributed" vertical="top"/>
    </xf>
    <xf numFmtId="0" fontId="10" fillId="0" borderId="13" xfId="0" applyFont="1" applyBorder="1" applyAlignment="1">
      <alignment horizontal="left" vertical="top" wrapText="1"/>
    </xf>
    <xf numFmtId="0" fontId="10" fillId="0" borderId="21" xfId="0" applyFont="1" applyBorder="1" applyAlignment="1">
      <alignment horizontal="left" vertical="top" wrapText="1"/>
    </xf>
    <xf numFmtId="10" fontId="16" fillId="0" borderId="18" xfId="0" applyNumberFormat="1" applyFont="1" applyFill="1" applyBorder="1" applyAlignment="1">
      <alignment horizontal="right" vertical="top" wrapText="1"/>
    </xf>
    <xf numFmtId="178" fontId="16" fillId="0" borderId="18" xfId="0" applyNumberFormat="1" applyFont="1" applyFill="1" applyBorder="1" applyAlignment="1">
      <alignment horizontal="right" vertical="top" wrapText="1"/>
    </xf>
    <xf numFmtId="177" fontId="16" fillId="0" borderId="18" xfId="0" applyNumberFormat="1" applyFont="1" applyFill="1" applyBorder="1" applyAlignment="1">
      <alignment horizontal="right" vertical="top"/>
    </xf>
    <xf numFmtId="10" fontId="16" fillId="0" borderId="18" xfId="0" applyNumberFormat="1" applyFont="1" applyFill="1" applyBorder="1" applyAlignment="1">
      <alignment horizontal="right" vertical="top"/>
    </xf>
    <xf numFmtId="179" fontId="16" fillId="0" borderId="11" xfId="0" applyNumberFormat="1" applyFont="1" applyBorder="1" applyAlignment="1">
      <alignment vertical="top"/>
    </xf>
    <xf numFmtId="179" fontId="10" fillId="0" borderId="12" xfId="0" applyNumberFormat="1" applyFont="1" applyBorder="1" applyAlignment="1">
      <alignment horizontal="right" vertical="top"/>
    </xf>
    <xf numFmtId="181" fontId="16" fillId="0" borderId="30" xfId="0" applyNumberFormat="1" applyFont="1" applyFill="1" applyBorder="1" applyAlignment="1">
      <alignment vertical="top"/>
    </xf>
    <xf numFmtId="0" fontId="16" fillId="0" borderId="30" xfId="0" applyFont="1" applyFill="1" applyBorder="1" applyAlignment="1">
      <alignment horizontal="justify" vertical="top"/>
    </xf>
    <xf numFmtId="0" fontId="16" fillId="0" borderId="30" xfId="0" applyFont="1" applyFill="1" applyBorder="1" applyAlignment="1">
      <alignment vertical="top"/>
    </xf>
    <xf numFmtId="0" fontId="10" fillId="0" borderId="0" xfId="0" applyFont="1" applyFill="1" applyBorder="1" applyAlignment="1">
      <alignment vertical="top"/>
    </xf>
    <xf numFmtId="0" fontId="16" fillId="0" borderId="0" xfId="0" applyFont="1" applyFill="1" applyAlignment="1">
      <alignment vertical="center"/>
    </xf>
    <xf numFmtId="0" fontId="16" fillId="0" borderId="0" xfId="20" applyFont="1" applyAlignment="1">
      <alignment vertical="top"/>
    </xf>
    <xf numFmtId="0" fontId="16" fillId="0" borderId="0" xfId="20" applyFont="1" applyBorder="1" applyAlignment="1">
      <alignment vertical="top"/>
    </xf>
    <xf numFmtId="0" fontId="10" fillId="0" borderId="0" xfId="20" applyFont="1" applyBorder="1" applyAlignment="1">
      <alignment vertical="top"/>
    </xf>
    <xf numFmtId="0" fontId="10" fillId="0" borderId="11" xfId="0" applyNumberFormat="1" applyFont="1" applyBorder="1" applyAlignment="1">
      <alignment horizontal="justify" vertical="top" wrapText="1"/>
    </xf>
    <xf numFmtId="0" fontId="16" fillId="0" borderId="11" xfId="0" applyNumberFormat="1" applyFont="1" applyBorder="1" applyAlignment="1">
      <alignment horizontal="justify" vertical="top" wrapText="1"/>
    </xf>
    <xf numFmtId="0" fontId="16" fillId="0" borderId="0" xfId="0" applyFont="1" applyAlignment="1">
      <alignment vertical="top"/>
    </xf>
    <xf numFmtId="182" fontId="16" fillId="0" borderId="0" xfId="0" applyNumberFormat="1" applyFont="1" applyFill="1" applyBorder="1" applyAlignment="1">
      <alignment vertical="top" wrapText="1"/>
    </xf>
    <xf numFmtId="49" fontId="21" fillId="0" borderId="36" xfId="0" applyNumberFormat="1" applyFont="1" applyBorder="1" applyAlignment="1">
      <alignment vertical="top" wrapText="1"/>
    </xf>
    <xf numFmtId="0" fontId="10" fillId="0" borderId="0" xfId="0" applyFont="1" applyBorder="1">
      <alignment vertical="center"/>
    </xf>
    <xf numFmtId="0" fontId="19" fillId="0" borderId="0" xfId="0" applyFont="1" applyBorder="1">
      <alignment vertical="center"/>
    </xf>
    <xf numFmtId="0" fontId="10" fillId="0" borderId="0" xfId="0" applyFont="1" applyBorder="1" applyAlignment="1">
      <alignment vertical="top"/>
    </xf>
    <xf numFmtId="0" fontId="17" fillId="0" borderId="0" xfId="0" applyFont="1" applyBorder="1" applyAlignment="1">
      <alignment horizontal="distributed" vertical="center" indent="2"/>
    </xf>
    <xf numFmtId="0" fontId="10" fillId="0" borderId="0" xfId="0" applyFont="1" applyBorder="1" applyAlignment="1">
      <alignment horizontal="center" vertical="top"/>
    </xf>
    <xf numFmtId="49" fontId="10" fillId="0" borderId="0" xfId="0" applyNumberFormat="1" applyFont="1" applyBorder="1" applyAlignment="1">
      <alignment horizontal="left" vertical="top"/>
    </xf>
    <xf numFmtId="0" fontId="10" fillId="0" borderId="0" xfId="0" applyFont="1" applyBorder="1" applyAlignment="1">
      <alignment horizontal="left" vertical="top" wrapText="1"/>
    </xf>
    <xf numFmtId="0" fontId="10" fillId="0" borderId="0" xfId="0" applyFont="1" applyBorder="1" applyAlignment="1">
      <alignment horizontal="left" vertical="top"/>
    </xf>
    <xf numFmtId="0" fontId="10" fillId="0" borderId="21" xfId="0" applyFont="1" applyFill="1" applyBorder="1" applyAlignment="1">
      <alignment vertical="center"/>
    </xf>
    <xf numFmtId="0" fontId="10" fillId="0" borderId="12" xfId="0" applyFont="1" applyFill="1" applyBorder="1" applyAlignment="1">
      <alignment vertical="center"/>
    </xf>
    <xf numFmtId="0" fontId="10" fillId="0" borderId="13" xfId="0" applyFont="1" applyFill="1" applyBorder="1" applyAlignment="1">
      <alignment vertical="center"/>
    </xf>
    <xf numFmtId="179" fontId="16" fillId="0" borderId="10" xfId="0" applyNumberFormat="1" applyFont="1" applyFill="1" applyBorder="1" applyAlignment="1">
      <alignment vertical="top"/>
    </xf>
    <xf numFmtId="0" fontId="15" fillId="0" borderId="30" xfId="0" applyFont="1" applyFill="1" applyBorder="1" applyAlignment="1">
      <alignment horizontal="left" vertical="top"/>
    </xf>
    <xf numFmtId="0" fontId="15" fillId="0" borderId="30" xfId="0" applyFont="1" applyFill="1" applyBorder="1" applyAlignment="1">
      <alignment horizontal="left" vertical="top" wrapText="1"/>
    </xf>
    <xf numFmtId="0" fontId="14" fillId="0" borderId="30" xfId="0" applyFont="1" applyFill="1" applyBorder="1" applyAlignment="1">
      <alignment horizontal="left" vertical="top" wrapText="1"/>
    </xf>
    <xf numFmtId="178" fontId="10" fillId="0" borderId="18" xfId="21" applyNumberFormat="1" applyFont="1" applyBorder="1" applyAlignment="1">
      <alignment horizontal="right" vertical="top" wrapText="1"/>
    </xf>
    <xf numFmtId="10" fontId="10" fillId="0" borderId="18" xfId="26" applyNumberFormat="1" applyFont="1" applyFill="1" applyBorder="1" applyAlignment="1">
      <alignment horizontal="right" vertical="top" wrapText="1"/>
    </xf>
    <xf numFmtId="0" fontId="33" fillId="0" borderId="27" xfId="0" applyFont="1" applyFill="1" applyBorder="1" applyAlignment="1">
      <alignment horizontal="justify" vertical="top" wrapText="1"/>
    </xf>
    <xf numFmtId="0" fontId="35" fillId="0" borderId="27" xfId="0" applyFont="1" applyFill="1" applyBorder="1" applyAlignment="1">
      <alignment horizontal="justify" vertical="top" wrapText="1"/>
    </xf>
    <xf numFmtId="0" fontId="35" fillId="0" borderId="27" xfId="0" applyFont="1" applyFill="1" applyBorder="1" applyAlignment="1">
      <alignment vertical="top" wrapText="1"/>
    </xf>
    <xf numFmtId="0" fontId="35" fillId="0" borderId="27" xfId="0" applyFont="1" applyFill="1" applyBorder="1" applyAlignment="1">
      <alignment horizontal="left" vertical="top" wrapText="1"/>
    </xf>
    <xf numFmtId="0" fontId="34" fillId="0" borderId="0" xfId="0" applyFont="1" applyFill="1">
      <alignment vertical="center"/>
    </xf>
    <xf numFmtId="43" fontId="10" fillId="0" borderId="0" xfId="0" applyNumberFormat="1" applyFont="1" applyFill="1">
      <alignment vertical="center"/>
    </xf>
    <xf numFmtId="0" fontId="35" fillId="0" borderId="32" xfId="0" applyFont="1" applyFill="1" applyBorder="1" applyAlignment="1">
      <alignment horizontal="justify" vertical="top" wrapText="1"/>
    </xf>
    <xf numFmtId="0" fontId="33" fillId="0" borderId="32" xfId="0" applyFont="1" applyFill="1" applyBorder="1" applyAlignment="1">
      <alignment horizontal="justify" vertical="top" wrapText="1"/>
    </xf>
    <xf numFmtId="0" fontId="10" fillId="0" borderId="15" xfId="20" applyFont="1" applyFill="1" applyBorder="1" applyAlignment="1">
      <alignment vertical="top"/>
    </xf>
    <xf numFmtId="0" fontId="10" fillId="0" borderId="25" xfId="20" applyFont="1" applyFill="1" applyBorder="1" applyAlignment="1">
      <alignment vertical="top"/>
    </xf>
    <xf numFmtId="0" fontId="16" fillId="0" borderId="18" xfId="20" applyFont="1" applyFill="1" applyBorder="1" applyAlignment="1">
      <alignment vertical="top"/>
    </xf>
    <xf numFmtId="0" fontId="16" fillId="0" borderId="27" xfId="20" applyFont="1" applyFill="1" applyBorder="1" applyAlignment="1">
      <alignment vertical="top"/>
    </xf>
    <xf numFmtId="0" fontId="16" fillId="0" borderId="0" xfId="20" applyFont="1" applyFill="1" applyAlignment="1">
      <alignment vertical="top"/>
    </xf>
    <xf numFmtId="0" fontId="10" fillId="0" borderId="36" xfId="0" applyFont="1" applyFill="1" applyBorder="1" applyAlignment="1">
      <alignment vertical="top"/>
    </xf>
    <xf numFmtId="0" fontId="10" fillId="0" borderId="0" xfId="20" applyFont="1" applyFill="1" applyAlignment="1">
      <alignment vertical="top"/>
    </xf>
    <xf numFmtId="182" fontId="16" fillId="0" borderId="12" xfId="0" applyNumberFormat="1" applyFont="1" applyFill="1" applyBorder="1" applyAlignment="1">
      <alignment vertical="top" wrapText="1"/>
    </xf>
    <xf numFmtId="180" fontId="22" fillId="0" borderId="28" xfId="0" applyNumberFormat="1" applyFont="1" applyFill="1" applyBorder="1" applyAlignment="1">
      <alignment horizontal="center" vertical="center" wrapText="1"/>
    </xf>
    <xf numFmtId="176" fontId="22" fillId="0" borderId="28" xfId="0" applyNumberFormat="1" applyFont="1" applyFill="1" applyBorder="1" applyAlignment="1">
      <alignment horizontal="center" vertical="center" wrapText="1"/>
    </xf>
    <xf numFmtId="0" fontId="22" fillId="0" borderId="44" xfId="0" applyFont="1" applyFill="1" applyBorder="1" applyAlignment="1">
      <alignment horizontal="center" vertical="center" wrapText="1"/>
    </xf>
    <xf numFmtId="176" fontId="22" fillId="0" borderId="15" xfId="0" applyNumberFormat="1" applyFont="1" applyFill="1" applyBorder="1" applyAlignment="1">
      <alignment horizontal="center" vertical="center" wrapText="1"/>
    </xf>
    <xf numFmtId="176" fontId="10" fillId="0" borderId="0" xfId="0" applyNumberFormat="1" applyFont="1" applyFill="1">
      <alignment vertical="center"/>
    </xf>
    <xf numFmtId="0" fontId="57" fillId="0" borderId="28" xfId="0" applyFont="1" applyFill="1" applyBorder="1" applyAlignment="1">
      <alignment horizontal="justify" vertical="top" wrapText="1"/>
    </xf>
    <xf numFmtId="180" fontId="29" fillId="0" borderId="28" xfId="0" applyNumberFormat="1" applyFont="1" applyFill="1" applyBorder="1">
      <alignment vertical="center"/>
    </xf>
    <xf numFmtId="184" fontId="29" fillId="0" borderId="28" xfId="0" applyNumberFormat="1" applyFont="1" applyFill="1" applyBorder="1">
      <alignment vertical="center"/>
    </xf>
    <xf numFmtId="176" fontId="29" fillId="0" borderId="28" xfId="0" applyNumberFormat="1" applyFont="1" applyFill="1" applyBorder="1">
      <alignment vertical="center"/>
    </xf>
    <xf numFmtId="178" fontId="29" fillId="0" borderId="28" xfId="0" applyNumberFormat="1" applyFont="1" applyFill="1" applyBorder="1">
      <alignment vertical="center"/>
    </xf>
    <xf numFmtId="43" fontId="29" fillId="0" borderId="28" xfId="0" applyNumberFormat="1" applyFont="1" applyFill="1" applyBorder="1">
      <alignment vertical="center"/>
    </xf>
    <xf numFmtId="0" fontId="57" fillId="0" borderId="28" xfId="0" applyFont="1" applyFill="1" applyBorder="1">
      <alignment vertical="center"/>
    </xf>
    <xf numFmtId="0" fontId="14" fillId="0" borderId="31" xfId="0" applyFont="1" applyFill="1" applyBorder="1" applyAlignment="1">
      <alignment horizontal="left" vertical="top" wrapText="1"/>
    </xf>
    <xf numFmtId="185" fontId="29" fillId="0" borderId="28" xfId="0" applyNumberFormat="1" applyFont="1" applyFill="1" applyBorder="1">
      <alignment vertical="center"/>
    </xf>
    <xf numFmtId="3" fontId="10" fillId="0" borderId="12" xfId="0" applyNumberFormat="1" applyFont="1" applyFill="1" applyBorder="1" applyAlignment="1">
      <alignment vertical="top"/>
    </xf>
    <xf numFmtId="0" fontId="10" fillId="0" borderId="0" xfId="0" applyFont="1" applyFill="1" applyBorder="1" applyAlignment="1">
      <alignment horizontal="center" vertical="top" wrapText="1"/>
    </xf>
    <xf numFmtId="0" fontId="10" fillId="0" borderId="0" xfId="0" applyFont="1" applyFill="1" applyBorder="1" applyAlignment="1">
      <alignment horizontal="justify" vertical="top" wrapText="1"/>
    </xf>
    <xf numFmtId="3" fontId="10" fillId="0" borderId="0" xfId="0" applyNumberFormat="1" applyFont="1" applyFill="1" applyBorder="1" applyAlignment="1">
      <alignment vertical="top"/>
    </xf>
    <xf numFmtId="49" fontId="10" fillId="0" borderId="22" xfId="0" applyNumberFormat="1" applyFont="1" applyBorder="1" applyAlignment="1">
      <alignment horizontal="left" vertical="top"/>
    </xf>
    <xf numFmtId="178" fontId="58" fillId="0" borderId="17" xfId="0" applyNumberFormat="1" applyFont="1" applyFill="1" applyBorder="1" applyAlignment="1">
      <alignment horizontal="right" vertical="top" wrapText="1"/>
    </xf>
    <xf numFmtId="43" fontId="58" fillId="0" borderId="30" xfId="0" applyNumberFormat="1" applyFont="1" applyFill="1" applyBorder="1" applyAlignment="1">
      <alignment horizontal="right" vertical="top" wrapText="1"/>
    </xf>
    <xf numFmtId="178" fontId="29" fillId="0" borderId="17" xfId="0" applyNumberFormat="1" applyFont="1" applyFill="1" applyBorder="1" applyAlignment="1">
      <alignment horizontal="right" vertical="top" wrapText="1"/>
    </xf>
    <xf numFmtId="43" fontId="29" fillId="0" borderId="30" xfId="0" applyNumberFormat="1" applyFont="1" applyFill="1" applyBorder="1" applyAlignment="1">
      <alignment horizontal="right" vertical="top" wrapText="1"/>
    </xf>
    <xf numFmtId="178" fontId="29" fillId="0" borderId="21" xfId="0" applyNumberFormat="1" applyFont="1" applyFill="1" applyBorder="1" applyAlignment="1">
      <alignment horizontal="right" vertical="top" wrapText="1"/>
    </xf>
    <xf numFmtId="43" fontId="29" fillId="0" borderId="31" xfId="0" applyNumberFormat="1" applyFont="1" applyFill="1" applyBorder="1" applyAlignment="1">
      <alignment horizontal="right" vertical="top" wrapText="1"/>
    </xf>
    <xf numFmtId="43" fontId="58" fillId="0" borderId="31" xfId="0" applyNumberFormat="1" applyFont="1" applyFill="1" applyBorder="1" applyAlignment="1">
      <alignment horizontal="right" vertical="top" wrapText="1"/>
    </xf>
    <xf numFmtId="179" fontId="58" fillId="0" borderId="17" xfId="0" applyNumberFormat="1" applyFont="1" applyFill="1" applyBorder="1" applyAlignment="1">
      <alignment horizontal="right" vertical="top" wrapText="1"/>
    </xf>
    <xf numFmtId="181" fontId="58" fillId="0" borderId="30" xfId="0" applyNumberFormat="1" applyFont="1" applyFill="1" applyBorder="1" applyAlignment="1">
      <alignment horizontal="right" vertical="top" wrapText="1"/>
    </xf>
    <xf numFmtId="178" fontId="58" fillId="0" borderId="17" xfId="21" applyNumberFormat="1" applyFont="1" applyFill="1" applyBorder="1" applyAlignment="1">
      <alignment horizontal="right" vertical="top" wrapText="1"/>
    </xf>
    <xf numFmtId="178" fontId="58" fillId="0" borderId="21" xfId="21" applyNumberFormat="1" applyFont="1" applyFill="1" applyBorder="1" applyAlignment="1">
      <alignment horizontal="right" vertical="top" wrapText="1"/>
    </xf>
    <xf numFmtId="178" fontId="58" fillId="0" borderId="18" xfId="0" applyNumberFormat="1" applyFont="1" applyFill="1" applyBorder="1" applyAlignment="1">
      <alignment horizontal="right" vertical="top" wrapText="1"/>
    </xf>
    <xf numFmtId="43" fontId="58" fillId="0" borderId="0" xfId="0" applyNumberFormat="1" applyFont="1" applyFill="1" applyBorder="1" applyAlignment="1">
      <alignment horizontal="right" vertical="top" wrapText="1"/>
    </xf>
    <xf numFmtId="43" fontId="58" fillId="0" borderId="11" xfId="0" applyNumberFormat="1" applyFont="1" applyFill="1" applyBorder="1" applyAlignment="1">
      <alignment horizontal="right" vertical="top" wrapText="1"/>
    </xf>
    <xf numFmtId="178" fontId="29" fillId="0" borderId="18" xfId="0" applyNumberFormat="1" applyFont="1" applyFill="1" applyBorder="1" applyAlignment="1">
      <alignment horizontal="right" vertical="top" wrapText="1"/>
    </xf>
    <xf numFmtId="43" fontId="29" fillId="0" borderId="0" xfId="0" applyNumberFormat="1" applyFont="1" applyFill="1" applyBorder="1" applyAlignment="1">
      <alignment horizontal="right" vertical="top" wrapText="1"/>
    </xf>
    <xf numFmtId="43" fontId="29" fillId="0" borderId="11" xfId="0" applyNumberFormat="1" applyFont="1" applyFill="1" applyBorder="1" applyAlignment="1">
      <alignment horizontal="right" vertical="top" wrapText="1"/>
    </xf>
    <xf numFmtId="179" fontId="29" fillId="0" borderId="18" xfId="0" applyNumberFormat="1" applyFont="1" applyFill="1" applyBorder="1" applyAlignment="1">
      <alignment horizontal="right" vertical="top" wrapText="1"/>
    </xf>
    <xf numFmtId="181" fontId="29" fillId="0" borderId="11" xfId="0" applyNumberFormat="1" applyFont="1" applyFill="1" applyBorder="1" applyAlignment="1">
      <alignment horizontal="right" vertical="top" wrapText="1"/>
    </xf>
    <xf numFmtId="178" fontId="29" fillId="0" borderId="12" xfId="0" applyNumberFormat="1" applyFont="1" applyFill="1" applyBorder="1" applyAlignment="1">
      <alignment horizontal="right" vertical="top" wrapText="1"/>
    </xf>
    <xf numFmtId="43" fontId="29" fillId="0" borderId="36" xfId="0" applyNumberFormat="1" applyFont="1" applyFill="1" applyBorder="1" applyAlignment="1">
      <alignment horizontal="right" vertical="top" wrapText="1"/>
    </xf>
    <xf numFmtId="179" fontId="58" fillId="0" borderId="18" xfId="0" applyNumberFormat="1" applyFont="1" applyFill="1" applyBorder="1" applyAlignment="1">
      <alignment horizontal="right" vertical="top" wrapText="1"/>
    </xf>
    <xf numFmtId="181" fontId="58" fillId="0" borderId="11" xfId="0" applyNumberFormat="1" applyFont="1" applyFill="1" applyBorder="1" applyAlignment="1">
      <alignment horizontal="right" vertical="top" wrapText="1"/>
    </xf>
    <xf numFmtId="178" fontId="58" fillId="0" borderId="12" xfId="0" applyNumberFormat="1" applyFont="1" applyFill="1" applyBorder="1" applyAlignment="1">
      <alignment horizontal="right" vertical="top" wrapText="1"/>
    </xf>
    <xf numFmtId="43" fontId="58" fillId="0" borderId="36" xfId="0" applyNumberFormat="1" applyFont="1" applyFill="1" applyBorder="1" applyAlignment="1">
      <alignment horizontal="right" vertical="top" wrapText="1"/>
    </xf>
    <xf numFmtId="178" fontId="58" fillId="0" borderId="18" xfId="21" applyNumberFormat="1" applyFont="1" applyFill="1" applyBorder="1" applyAlignment="1">
      <alignment horizontal="right" vertical="top" wrapText="1"/>
    </xf>
    <xf numFmtId="178" fontId="58" fillId="0" borderId="12" xfId="21" applyNumberFormat="1" applyFont="1" applyFill="1" applyBorder="1" applyAlignment="1">
      <alignment horizontal="right" vertical="top" wrapText="1"/>
    </xf>
    <xf numFmtId="0" fontId="10" fillId="0" borderId="13" xfId="0" applyNumberFormat="1" applyFont="1" applyBorder="1" applyAlignment="1">
      <alignment horizontal="justify" vertical="top" wrapText="1"/>
    </xf>
    <xf numFmtId="10" fontId="10" fillId="0" borderId="12" xfId="0" applyNumberFormat="1" applyFont="1" applyFill="1" applyBorder="1" applyAlignment="1">
      <alignment horizontal="right" vertical="top" wrapText="1"/>
    </xf>
    <xf numFmtId="41" fontId="24" fillId="0" borderId="18" xfId="21" applyNumberFormat="1" applyFont="1" applyFill="1" applyBorder="1" applyAlignment="1">
      <alignment horizontal="right" vertical="top" wrapText="1"/>
    </xf>
    <xf numFmtId="178" fontId="10" fillId="0" borderId="12" xfId="21" applyNumberFormat="1" applyFont="1" applyBorder="1" applyAlignment="1">
      <alignment horizontal="right" vertical="top" wrapText="1"/>
    </xf>
    <xf numFmtId="41" fontId="36" fillId="0" borderId="27" xfId="0" applyNumberFormat="1" applyFont="1" applyFill="1" applyBorder="1" applyAlignment="1">
      <alignment horizontal="right" vertical="top" wrapText="1"/>
    </xf>
    <xf numFmtId="41" fontId="24" fillId="0" borderId="27" xfId="0" applyNumberFormat="1" applyFont="1" applyFill="1" applyBorder="1" applyAlignment="1">
      <alignment horizontal="right" vertical="top" wrapText="1"/>
    </xf>
    <xf numFmtId="179" fontId="29" fillId="0" borderId="12" xfId="0" applyNumberFormat="1" applyFont="1" applyFill="1" applyBorder="1" applyAlignment="1">
      <alignment horizontal="right" vertical="top" wrapText="1"/>
    </xf>
    <xf numFmtId="181" fontId="29" fillId="0" borderId="13" xfId="0" applyNumberFormat="1" applyFont="1" applyFill="1" applyBorder="1" applyAlignment="1">
      <alignment horizontal="right" vertical="top" wrapText="1"/>
    </xf>
    <xf numFmtId="178" fontId="10" fillId="0" borderId="17" xfId="21" applyNumberFormat="1" applyFont="1" applyBorder="1" applyAlignment="1">
      <alignment horizontal="right" vertical="top" wrapText="1"/>
    </xf>
    <xf numFmtId="0" fontId="10" fillId="0" borderId="0" xfId="0" applyFont="1" applyFill="1" applyBorder="1" applyAlignment="1">
      <alignment horizontal="left" vertical="top" wrapText="1"/>
    </xf>
    <xf numFmtId="0" fontId="10" fillId="0" borderId="11" xfId="0" applyFont="1" applyFill="1" applyBorder="1" applyAlignment="1">
      <alignment horizontal="left" vertical="top" wrapText="1"/>
    </xf>
    <xf numFmtId="0" fontId="19" fillId="0" borderId="39" xfId="0" applyFont="1" applyFill="1" applyBorder="1" applyAlignment="1">
      <alignment horizontal="center" vertical="center"/>
    </xf>
    <xf numFmtId="0" fontId="19" fillId="0" borderId="40" xfId="0" applyFont="1" applyFill="1" applyBorder="1" applyAlignment="1">
      <alignment horizontal="center" vertical="center"/>
    </xf>
    <xf numFmtId="0" fontId="19" fillId="0" borderId="41" xfId="0" applyFont="1" applyFill="1" applyBorder="1" applyAlignment="1">
      <alignment horizontal="center" vertical="center"/>
    </xf>
    <xf numFmtId="0" fontId="19" fillId="0" borderId="0" xfId="0" applyFont="1" applyFill="1" applyBorder="1" applyAlignment="1">
      <alignment vertical="center"/>
    </xf>
    <xf numFmtId="0" fontId="19" fillId="0" borderId="0" xfId="0" applyFont="1" applyFill="1">
      <alignment vertical="center"/>
    </xf>
    <xf numFmtId="0" fontId="19" fillId="0" borderId="0" xfId="0" applyFont="1" applyFill="1" applyAlignment="1">
      <alignment vertical="top"/>
    </xf>
    <xf numFmtId="0" fontId="19" fillId="0" borderId="10" xfId="0" applyFont="1" applyFill="1" applyBorder="1" applyAlignment="1">
      <alignment horizontal="left" vertical="top"/>
    </xf>
    <xf numFmtId="0" fontId="19" fillId="0" borderId="0" xfId="0" applyFont="1" applyFill="1" applyAlignment="1">
      <alignment horizontal="left" vertical="top"/>
    </xf>
    <xf numFmtId="0" fontId="10" fillId="0" borderId="42" xfId="0" applyFont="1" applyFill="1" applyBorder="1">
      <alignment vertical="center"/>
    </xf>
    <xf numFmtId="0" fontId="10" fillId="0" borderId="36" xfId="0" applyFont="1" applyFill="1" applyBorder="1">
      <alignment vertical="center"/>
    </xf>
    <xf numFmtId="0" fontId="10" fillId="0" borderId="23" xfId="0" applyFont="1" applyFill="1" applyBorder="1">
      <alignment vertical="center"/>
    </xf>
    <xf numFmtId="41" fontId="36" fillId="0" borderId="0" xfId="0" applyNumberFormat="1" applyFont="1" applyFill="1" applyBorder="1" applyAlignment="1">
      <alignment horizontal="right" vertical="top" wrapText="1"/>
    </xf>
    <xf numFmtId="179" fontId="16" fillId="0" borderId="27" xfId="20" applyNumberFormat="1" applyFont="1" applyFill="1" applyBorder="1" applyAlignment="1">
      <alignment vertical="top"/>
    </xf>
    <xf numFmtId="43" fontId="29" fillId="0" borderId="18" xfId="0" applyNumberFormat="1" applyFont="1" applyFill="1" applyBorder="1" applyAlignment="1">
      <alignment horizontal="right" vertical="top" wrapText="1"/>
    </xf>
    <xf numFmtId="0" fontId="19" fillId="0" borderId="0" xfId="0" applyFont="1" applyFill="1" applyBorder="1" applyAlignment="1">
      <alignment vertical="top"/>
    </xf>
    <xf numFmtId="41" fontId="10" fillId="0" borderId="10" xfId="0" applyNumberFormat="1" applyFont="1" applyFill="1" applyBorder="1" applyAlignment="1">
      <alignment horizontal="right" vertical="top" wrapText="1"/>
    </xf>
    <xf numFmtId="41" fontId="16" fillId="0" borderId="10" xfId="0" applyNumberFormat="1" applyFont="1" applyFill="1" applyBorder="1" applyAlignment="1">
      <alignment horizontal="right" vertical="top" wrapText="1"/>
    </xf>
    <xf numFmtId="0" fontId="16" fillId="0" borderId="17" xfId="0" applyFont="1" applyFill="1" applyBorder="1" applyAlignment="1">
      <alignment horizontal="left" vertical="top" wrapText="1"/>
    </xf>
    <xf numFmtId="3" fontId="10" fillId="0" borderId="27" xfId="0" applyNumberFormat="1" applyFont="1" applyFill="1" applyBorder="1" applyAlignment="1">
      <alignment horizontal="right" vertical="top" wrapText="1"/>
    </xf>
    <xf numFmtId="3" fontId="10" fillId="0" borderId="0" xfId="0" applyNumberFormat="1" applyFont="1" applyFill="1" applyBorder="1" applyAlignment="1">
      <alignment horizontal="right" vertical="top" wrapText="1"/>
    </xf>
    <xf numFmtId="3" fontId="16" fillId="0" borderId="27" xfId="0" applyNumberFormat="1" applyFont="1" applyFill="1" applyBorder="1" applyAlignment="1">
      <alignment horizontal="right" vertical="top" wrapText="1"/>
    </xf>
    <xf numFmtId="3" fontId="16" fillId="0" borderId="0" xfId="0" applyNumberFormat="1" applyFont="1" applyFill="1" applyBorder="1" applyAlignment="1">
      <alignment horizontal="right" vertical="top" wrapText="1"/>
    </xf>
    <xf numFmtId="0" fontId="10" fillId="0" borderId="22" xfId="0" applyFont="1" applyFill="1" applyBorder="1" applyAlignment="1">
      <alignment horizontal="justify" vertical="top" wrapText="1"/>
    </xf>
    <xf numFmtId="41" fontId="16" fillId="0" borderId="27" xfId="0" applyNumberFormat="1" applyFont="1" applyFill="1" applyBorder="1" applyAlignment="1">
      <alignment horizontal="right" vertical="top" wrapText="1"/>
    </xf>
    <xf numFmtId="41" fontId="16" fillId="0" borderId="0" xfId="0" applyNumberFormat="1" applyFont="1" applyFill="1" applyBorder="1" applyAlignment="1">
      <alignment horizontal="right" vertical="top" wrapText="1"/>
    </xf>
    <xf numFmtId="41" fontId="10" fillId="0" borderId="27" xfId="0" applyNumberFormat="1" applyFont="1" applyFill="1" applyBorder="1" applyAlignment="1">
      <alignment horizontal="right" vertical="top" wrapText="1"/>
    </xf>
    <xf numFmtId="41" fontId="10" fillId="0" borderId="0" xfId="0" applyNumberFormat="1" applyFont="1" applyFill="1" applyBorder="1" applyAlignment="1">
      <alignment horizontal="right" vertical="top" wrapText="1"/>
    </xf>
    <xf numFmtId="0" fontId="24" fillId="0" borderId="22" xfId="0" applyFont="1" applyFill="1" applyBorder="1" applyAlignment="1">
      <alignment horizontal="center" vertical="top" wrapText="1"/>
    </xf>
    <xf numFmtId="179" fontId="16" fillId="0" borderId="27" xfId="0" applyNumberFormat="1" applyFont="1" applyFill="1" applyBorder="1" applyAlignment="1">
      <alignment horizontal="right" vertical="top" wrapText="1"/>
    </xf>
    <xf numFmtId="179" fontId="16" fillId="0" borderId="0" xfId="0" applyNumberFormat="1" applyFont="1" applyFill="1" applyBorder="1" applyAlignment="1">
      <alignment horizontal="right" vertical="top" wrapText="1"/>
    </xf>
    <xf numFmtId="0" fontId="24" fillId="0" borderId="22" xfId="0" applyFont="1" applyFill="1" applyBorder="1" applyAlignment="1">
      <alignment horizontal="justify" vertical="top" wrapText="1"/>
    </xf>
    <xf numFmtId="0" fontId="16" fillId="0" borderId="21" xfId="0" applyFont="1" applyFill="1" applyBorder="1" applyAlignment="1">
      <alignment horizontal="left" vertical="top" wrapText="1"/>
    </xf>
    <xf numFmtId="179" fontId="16" fillId="0" borderId="32" xfId="0" applyNumberFormat="1" applyFont="1" applyFill="1" applyBorder="1" applyAlignment="1">
      <alignment horizontal="right" vertical="top" wrapText="1"/>
    </xf>
    <xf numFmtId="179" fontId="16" fillId="0" borderId="36" xfId="0" applyNumberFormat="1" applyFont="1" applyFill="1" applyBorder="1" applyAlignment="1">
      <alignment horizontal="right" vertical="top" wrapText="1"/>
    </xf>
    <xf numFmtId="0" fontId="24" fillId="0" borderId="23" xfId="0" applyFont="1" applyFill="1" applyBorder="1" applyAlignment="1">
      <alignment horizontal="justify" vertical="top" wrapText="1"/>
    </xf>
    <xf numFmtId="43" fontId="29" fillId="0" borderId="12" xfId="0" applyNumberFormat="1" applyFont="1" applyFill="1" applyBorder="1" applyAlignment="1">
      <alignment horizontal="right" vertical="top" wrapText="1"/>
    </xf>
    <xf numFmtId="0" fontId="68" fillId="0" borderId="0" xfId="0" applyFont="1" applyFill="1" applyAlignment="1">
      <alignment vertical="top"/>
    </xf>
    <xf numFmtId="41" fontId="10" fillId="0" borderId="11" xfId="0" applyNumberFormat="1" applyFont="1" applyBorder="1" applyAlignment="1">
      <alignment vertical="top"/>
    </xf>
    <xf numFmtId="178" fontId="10" fillId="0" borderId="18" xfId="21" applyNumberFormat="1" applyFont="1" applyFill="1" applyBorder="1" applyAlignment="1">
      <alignment horizontal="right" vertical="top" wrapText="1"/>
    </xf>
    <xf numFmtId="178" fontId="10" fillId="0" borderId="11" xfId="21" applyNumberFormat="1" applyFont="1" applyFill="1" applyBorder="1" applyAlignment="1">
      <alignment horizontal="right" vertical="top" wrapText="1"/>
    </xf>
    <xf numFmtId="0" fontId="10" fillId="0" borderId="0" xfId="0" applyFont="1" applyFill="1" applyBorder="1" applyAlignment="1">
      <alignment horizontal="center" vertical="center"/>
    </xf>
    <xf numFmtId="0" fontId="10" fillId="0" borderId="15" xfId="0" applyFont="1" applyFill="1" applyBorder="1" applyAlignment="1">
      <alignment horizontal="distributed" vertical="center" wrapText="1" indent="1"/>
    </xf>
    <xf numFmtId="0" fontId="10" fillId="0" borderId="15" xfId="0" applyFont="1" applyFill="1" applyBorder="1" applyAlignment="1">
      <alignment horizontal="center" vertical="center" wrapText="1"/>
    </xf>
    <xf numFmtId="0" fontId="10" fillId="0" borderId="16" xfId="0" applyFont="1" applyFill="1" applyBorder="1" applyAlignment="1">
      <alignment horizontal="distributed" vertical="center" wrapText="1" indent="1"/>
    </xf>
    <xf numFmtId="0" fontId="17" fillId="0" borderId="45" xfId="0" applyFont="1" applyBorder="1" applyAlignment="1">
      <alignment horizontal="distributed" vertical="center" indent="2"/>
    </xf>
    <xf numFmtId="0" fontId="10" fillId="0" borderId="35" xfId="0" applyFont="1" applyBorder="1" applyAlignment="1">
      <alignment horizontal="distributed" vertical="center" wrapText="1" indent="1"/>
    </xf>
    <xf numFmtId="0" fontId="10" fillId="0" borderId="14" xfId="0" applyFont="1" applyBorder="1" applyAlignment="1">
      <alignment horizontal="distributed" vertical="center" wrapText="1" indent="1"/>
    </xf>
    <xf numFmtId="0" fontId="10" fillId="0" borderId="18" xfId="0" applyFont="1" applyBorder="1" applyAlignment="1">
      <alignment horizontal="left" vertical="top" wrapText="1"/>
    </xf>
    <xf numFmtId="0" fontId="21" fillId="24" borderId="11" xfId="0" applyFont="1" applyFill="1" applyBorder="1" applyAlignment="1">
      <alignment vertical="top" wrapText="1"/>
    </xf>
    <xf numFmtId="0" fontId="10" fillId="0" borderId="19" xfId="0" applyFont="1" applyBorder="1" applyAlignment="1">
      <alignment horizontal="center" vertical="center" wrapText="1"/>
    </xf>
    <xf numFmtId="0" fontId="10" fillId="0" borderId="24"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17" fillId="0" borderId="19" xfId="0" applyFont="1" applyBorder="1" applyAlignment="1">
      <alignment horizontal="distributed" vertical="center" indent="2"/>
    </xf>
    <xf numFmtId="0" fontId="17" fillId="0" borderId="20" xfId="0" applyFont="1" applyBorder="1" applyAlignment="1">
      <alignment horizontal="distributed" vertical="center" indent="2"/>
    </xf>
    <xf numFmtId="0" fontId="10" fillId="0" borderId="0" xfId="0" applyFont="1" applyBorder="1" applyAlignment="1">
      <alignment vertical="top" wrapText="1"/>
    </xf>
    <xf numFmtId="0" fontId="16" fillId="0" borderId="22" xfId="0" applyFont="1" applyFill="1" applyBorder="1" applyAlignment="1">
      <alignment horizontal="justify" vertical="top" wrapText="1"/>
    </xf>
    <xf numFmtId="0" fontId="10" fillId="0" borderId="19" xfId="0" applyFont="1" applyFill="1" applyBorder="1" applyAlignment="1">
      <alignment horizontal="center" vertical="center" wrapText="1"/>
    </xf>
    <xf numFmtId="0" fontId="10" fillId="0" borderId="24"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0" fillId="0" borderId="16" xfId="0" applyFont="1" applyFill="1" applyBorder="1" applyAlignment="1">
      <alignment horizontal="center" vertical="center" wrapText="1"/>
    </xf>
    <xf numFmtId="0" fontId="10" fillId="0" borderId="34" xfId="0" applyFont="1" applyBorder="1" applyAlignment="1">
      <alignment horizontal="distributed" vertical="center" wrapText="1" indent="1"/>
    </xf>
    <xf numFmtId="0" fontId="10" fillId="0" borderId="33" xfId="0" applyFont="1" applyBorder="1" applyAlignment="1">
      <alignment horizontal="distributed" vertical="distributed" wrapText="1" indent="1"/>
    </xf>
    <xf numFmtId="0" fontId="10" fillId="0" borderId="38" xfId="0" applyFont="1" applyBorder="1" applyAlignment="1">
      <alignment horizontal="distributed" vertical="center" wrapText="1" indent="1"/>
    </xf>
    <xf numFmtId="0" fontId="10" fillId="0" borderId="14" xfId="0" applyFont="1" applyBorder="1" applyAlignment="1">
      <alignment horizontal="distributed" vertical="distributed" wrapText="1" indent="1"/>
    </xf>
    <xf numFmtId="0" fontId="10" fillId="0" borderId="19" xfId="0" applyFont="1" applyFill="1" applyBorder="1" applyAlignment="1">
      <alignment horizontal="distributed" vertical="center" wrapText="1" indent="2"/>
    </xf>
    <xf numFmtId="0" fontId="10" fillId="0" borderId="24" xfId="0" applyFont="1" applyFill="1" applyBorder="1" applyAlignment="1">
      <alignment horizontal="distributed" vertical="center" wrapText="1"/>
    </xf>
    <xf numFmtId="0" fontId="10" fillId="0" borderId="20" xfId="0" applyFont="1" applyFill="1" applyBorder="1" applyAlignment="1">
      <alignment horizontal="distributed" vertical="center" wrapText="1" indent="2"/>
    </xf>
    <xf numFmtId="0" fontId="24" fillId="0" borderId="25" xfId="0" applyFont="1" applyFill="1" applyBorder="1" applyAlignment="1">
      <alignment horizontal="distributed" vertical="center" wrapText="1"/>
    </xf>
    <xf numFmtId="0" fontId="24" fillId="0" borderId="15" xfId="0" applyFont="1" applyFill="1" applyBorder="1" applyAlignment="1">
      <alignment horizontal="distributed" vertical="center" wrapText="1"/>
    </xf>
    <xf numFmtId="0" fontId="10" fillId="0" borderId="28" xfId="0" applyFont="1" applyBorder="1" applyAlignment="1">
      <alignment horizontal="distributed" vertical="center" wrapText="1"/>
    </xf>
    <xf numFmtId="0" fontId="10" fillId="0" borderId="28" xfId="0" applyFont="1" applyBorder="1" applyAlignment="1">
      <alignment horizontal="distributed" vertical="distributed" wrapText="1"/>
    </xf>
    <xf numFmtId="0" fontId="10" fillId="0" borderId="17" xfId="0" applyFont="1" applyBorder="1" applyAlignment="1">
      <alignment horizontal="left" vertical="top" wrapText="1" indent="1"/>
    </xf>
    <xf numFmtId="182" fontId="10" fillId="0" borderId="0" xfId="0" applyNumberFormat="1" applyFont="1" applyFill="1" applyBorder="1" applyAlignment="1">
      <alignment vertical="top" wrapText="1"/>
    </xf>
    <xf numFmtId="182" fontId="10" fillId="0" borderId="22" xfId="0" applyNumberFormat="1" applyFont="1" applyFill="1" applyBorder="1" applyAlignment="1">
      <alignment vertical="top" wrapText="1"/>
    </xf>
    <xf numFmtId="182" fontId="10" fillId="0" borderId="23" xfId="0" applyNumberFormat="1" applyFont="1" applyFill="1" applyBorder="1" applyAlignment="1">
      <alignment vertical="top" wrapText="1"/>
    </xf>
    <xf numFmtId="3" fontId="10" fillId="0" borderId="14" xfId="20" applyNumberFormat="1" applyFont="1" applyBorder="1" applyAlignment="1">
      <alignment vertical="top"/>
    </xf>
    <xf numFmtId="0" fontId="17" fillId="0" borderId="0" xfId="20" applyFont="1" applyAlignment="1">
      <alignment vertical="top"/>
    </xf>
    <xf numFmtId="0" fontId="37" fillId="0" borderId="0" xfId="20" applyFont="1" applyAlignment="1">
      <alignment horizontal="left" vertical="top" indent="1"/>
    </xf>
    <xf numFmtId="0" fontId="69" fillId="0" borderId="24" xfId="20" applyFont="1" applyFill="1" applyBorder="1" applyAlignment="1">
      <alignment horizontal="distributed" vertical="center" wrapText="1"/>
    </xf>
    <xf numFmtId="0" fontId="10" fillId="0" borderId="43" xfId="20" applyFont="1" applyFill="1" applyBorder="1" applyAlignment="1">
      <alignment horizontal="center" vertical="center" wrapText="1"/>
    </xf>
    <xf numFmtId="0" fontId="10" fillId="0" borderId="43" xfId="20" applyFont="1" applyFill="1" applyBorder="1" applyAlignment="1">
      <alignment horizontal="distributed" vertical="center"/>
    </xf>
    <xf numFmtId="0" fontId="17" fillId="0" borderId="0" xfId="20" applyFont="1" applyFill="1" applyAlignment="1">
      <alignment vertical="center"/>
    </xf>
    <xf numFmtId="0" fontId="17" fillId="0" borderId="0" xfId="20" applyFont="1" applyFill="1" applyAlignment="1">
      <alignment vertical="top"/>
    </xf>
    <xf numFmtId="0" fontId="37" fillId="0" borderId="0" xfId="20" applyFont="1" applyFill="1" applyAlignment="1">
      <alignment vertical="top"/>
    </xf>
    <xf numFmtId="0" fontId="10" fillId="0" borderId="19" xfId="20" applyFont="1" applyBorder="1" applyAlignment="1">
      <alignment horizontal="distributed" vertical="center" indent="2"/>
    </xf>
    <xf numFmtId="0" fontId="69" fillId="0" borderId="24" xfId="20" applyFont="1" applyBorder="1" applyAlignment="1">
      <alignment horizontal="distributed" vertical="center" wrapText="1"/>
    </xf>
    <xf numFmtId="0" fontId="10" fillId="0" borderId="43" xfId="20" applyFont="1" applyBorder="1" applyAlignment="1">
      <alignment horizontal="center" vertical="center" wrapText="1"/>
    </xf>
    <xf numFmtId="0" fontId="10" fillId="0" borderId="43" xfId="20" applyFont="1" applyBorder="1" applyAlignment="1">
      <alignment horizontal="distributed" vertical="center"/>
    </xf>
    <xf numFmtId="0" fontId="10" fillId="0" borderId="20" xfId="20" applyFont="1" applyBorder="1" applyAlignment="1">
      <alignment horizontal="distributed" vertical="center" indent="1"/>
    </xf>
    <xf numFmtId="0" fontId="17" fillId="0" borderId="0" xfId="20" applyFont="1" applyAlignment="1">
      <alignment vertical="center"/>
    </xf>
    <xf numFmtId="0" fontId="10" fillId="0" borderId="28" xfId="0" applyFont="1" applyBorder="1" applyAlignment="1">
      <alignment horizontal="distributed" vertical="center" wrapText="1" indent="1"/>
    </xf>
    <xf numFmtId="0" fontId="14" fillId="0" borderId="14" xfId="0" applyFont="1" applyFill="1" applyBorder="1" applyAlignment="1">
      <alignment horizontal="center" vertical="center"/>
    </xf>
    <xf numFmtId="0" fontId="15" fillId="0" borderId="18" xfId="0" applyFont="1" applyFill="1" applyBorder="1" applyAlignment="1">
      <alignment horizontal="center" vertical="top" wrapText="1"/>
    </xf>
    <xf numFmtId="0" fontId="14" fillId="0" borderId="17" xfId="0" applyFont="1" applyFill="1" applyBorder="1" applyAlignment="1">
      <alignment horizontal="left" vertical="top"/>
    </xf>
    <xf numFmtId="0" fontId="14" fillId="0" borderId="18" xfId="0" applyFont="1" applyFill="1" applyBorder="1" applyAlignment="1">
      <alignment horizontal="center" vertical="top" wrapText="1"/>
    </xf>
    <xf numFmtId="0" fontId="14" fillId="0" borderId="21" xfId="0" applyFont="1" applyFill="1" applyBorder="1" applyAlignment="1">
      <alignment horizontal="left" vertical="top"/>
    </xf>
    <xf numFmtId="0" fontId="14" fillId="0" borderId="12" xfId="0" applyFont="1" applyFill="1" applyBorder="1" applyAlignment="1">
      <alignment horizontal="center" vertical="top" wrapText="1"/>
    </xf>
    <xf numFmtId="0" fontId="15" fillId="0" borderId="17" xfId="0" applyFont="1" applyFill="1" applyBorder="1" applyAlignment="1">
      <alignment vertical="top" wrapText="1"/>
    </xf>
    <xf numFmtId="0" fontId="15" fillId="0" borderId="17" xfId="0" applyFont="1" applyFill="1" applyBorder="1" applyAlignment="1">
      <alignment horizontal="justify" vertical="top"/>
    </xf>
    <xf numFmtId="0" fontId="15" fillId="0" borderId="17" xfId="0" applyFont="1" applyFill="1" applyBorder="1" applyAlignment="1">
      <alignment horizontal="justify" vertical="top" wrapText="1"/>
    </xf>
    <xf numFmtId="0" fontId="14" fillId="0" borderId="17" xfId="0" applyFont="1" applyFill="1" applyBorder="1" applyAlignment="1">
      <alignment horizontal="justify" vertical="top" wrapText="1"/>
    </xf>
    <xf numFmtId="0" fontId="14" fillId="0" borderId="17" xfId="0" applyFont="1" applyFill="1" applyBorder="1" applyAlignment="1">
      <alignment vertical="top" wrapText="1"/>
    </xf>
    <xf numFmtId="0" fontId="14" fillId="0" borderId="21" xfId="0" applyFont="1" applyFill="1" applyBorder="1" applyAlignment="1">
      <alignment horizontal="justify" vertical="top" wrapText="1"/>
    </xf>
    <xf numFmtId="0" fontId="14" fillId="0" borderId="21" xfId="0" applyFont="1" applyFill="1" applyBorder="1" applyAlignment="1">
      <alignment vertical="top" wrapText="1"/>
    </xf>
    <xf numFmtId="0" fontId="14" fillId="0" borderId="24" xfId="0" applyFont="1" applyBorder="1" applyAlignment="1">
      <alignment horizontal="center" vertical="center" wrapText="1"/>
    </xf>
    <xf numFmtId="0" fontId="14" fillId="0" borderId="15" xfId="0" applyFont="1" applyBorder="1" applyAlignment="1">
      <alignment horizontal="center" vertical="center" wrapText="1"/>
    </xf>
    <xf numFmtId="0" fontId="15" fillId="0" borderId="30" xfId="0" applyFont="1" applyBorder="1" applyAlignment="1">
      <alignment vertical="top" wrapText="1"/>
    </xf>
    <xf numFmtId="0" fontId="15" fillId="0" borderId="30" xfId="0" applyFont="1" applyBorder="1" applyAlignment="1">
      <alignment horizontal="left" vertical="top" wrapText="1"/>
    </xf>
    <xf numFmtId="0" fontId="14" fillId="0" borderId="30" xfId="0" applyFont="1" applyBorder="1" applyAlignment="1">
      <alignment horizontal="left" vertical="top" wrapText="1"/>
    </xf>
    <xf numFmtId="0" fontId="14" fillId="0" borderId="31" xfId="0" applyFont="1" applyBorder="1" applyAlignment="1">
      <alignment horizontal="left" vertical="top" wrapText="1"/>
    </xf>
    <xf numFmtId="0" fontId="14" fillId="0" borderId="12" xfId="0" applyFont="1" applyFill="1" applyBorder="1" applyAlignment="1">
      <alignment horizontal="left" vertical="top" wrapText="1"/>
    </xf>
    <xf numFmtId="0" fontId="18" fillId="0" borderId="17" xfId="0" applyFont="1" applyBorder="1" applyAlignment="1">
      <alignment horizontal="distributed" vertical="center" indent="2"/>
    </xf>
    <xf numFmtId="0" fontId="14" fillId="0" borderId="21" xfId="0" applyFont="1" applyBorder="1" applyAlignment="1">
      <alignment vertical="top"/>
    </xf>
    <xf numFmtId="0" fontId="15" fillId="0" borderId="17" xfId="0" applyFont="1" applyBorder="1" applyAlignment="1">
      <alignment vertical="top"/>
    </xf>
    <xf numFmtId="0" fontId="15" fillId="0" borderId="17" xfId="0" applyFont="1" applyBorder="1" applyAlignment="1">
      <alignment horizontal="justify" vertical="top" wrapText="1"/>
    </xf>
    <xf numFmtId="0" fontId="14" fillId="0" borderId="17" xfId="0" applyFont="1" applyBorder="1" applyAlignment="1">
      <alignment vertical="top" wrapText="1"/>
    </xf>
    <xf numFmtId="0" fontId="14" fillId="0" borderId="0" xfId="0" applyFont="1" applyFill="1" applyAlignment="1">
      <alignment vertical="center"/>
    </xf>
    <xf numFmtId="0" fontId="10" fillId="0" borderId="36" xfId="0" applyFont="1" applyBorder="1" applyAlignment="1">
      <alignment vertical="top" wrapText="1"/>
    </xf>
    <xf numFmtId="0" fontId="10" fillId="0" borderId="23" xfId="0" applyFont="1" applyBorder="1" applyAlignment="1">
      <alignment vertical="top" wrapText="1"/>
    </xf>
    <xf numFmtId="0" fontId="15" fillId="0" borderId="21" xfId="0" applyFont="1" applyFill="1" applyBorder="1" applyAlignment="1">
      <alignment horizontal="justify" vertical="top"/>
    </xf>
    <xf numFmtId="0" fontId="14" fillId="0" borderId="17" xfId="0" applyFont="1" applyFill="1" applyBorder="1" applyAlignment="1">
      <alignment horizontal="justify" vertical="top"/>
    </xf>
    <xf numFmtId="0" fontId="14" fillId="0" borderId="17" xfId="20" applyFont="1" applyBorder="1" applyAlignment="1">
      <alignment vertical="top" wrapText="1"/>
    </xf>
    <xf numFmtId="0" fontId="15" fillId="0" borderId="21" xfId="0" applyFont="1" applyFill="1" applyBorder="1" applyAlignment="1">
      <alignment horizontal="left" vertical="top" wrapText="1"/>
    </xf>
    <xf numFmtId="0" fontId="15" fillId="0" borderId="21" xfId="0" applyFont="1" applyFill="1" applyBorder="1" applyAlignment="1">
      <alignment horizontal="left" vertical="top"/>
    </xf>
    <xf numFmtId="0" fontId="14" fillId="0" borderId="21" xfId="20" applyFont="1" applyBorder="1" applyAlignment="1">
      <alignment vertical="top" wrapText="1"/>
    </xf>
    <xf numFmtId="0" fontId="18" fillId="0" borderId="14" xfId="0" applyFont="1" applyBorder="1" applyAlignment="1">
      <alignment horizontal="distributed" vertical="top"/>
    </xf>
    <xf numFmtId="0" fontId="14" fillId="0" borderId="17" xfId="0" applyFont="1" applyBorder="1" applyAlignment="1">
      <alignment horizontal="left" vertical="top" wrapText="1"/>
    </xf>
    <xf numFmtId="0" fontId="14" fillId="0" borderId="21" xfId="0" applyFont="1" applyBorder="1" applyAlignment="1">
      <alignment horizontal="left" vertical="top" wrapText="1"/>
    </xf>
    <xf numFmtId="0" fontId="15" fillId="0" borderId="17" xfId="0" applyFont="1" applyBorder="1" applyAlignment="1">
      <alignment horizontal="left" vertical="top" wrapText="1"/>
    </xf>
    <xf numFmtId="0" fontId="14" fillId="0" borderId="21" xfId="0" applyFont="1" applyFill="1" applyBorder="1" applyAlignment="1">
      <alignment horizontal="left" vertical="top" wrapText="1"/>
    </xf>
    <xf numFmtId="0" fontId="31" fillId="0" borderId="17" xfId="0" applyFont="1" applyFill="1" applyBorder="1" applyAlignment="1">
      <alignment vertical="top"/>
    </xf>
    <xf numFmtId="0" fontId="14" fillId="0" borderId="17" xfId="0" applyFont="1" applyBorder="1" applyAlignment="1">
      <alignment horizontal="left" vertical="top"/>
    </xf>
    <xf numFmtId="0" fontId="71" fillId="0" borderId="0" xfId="111" applyFont="1"/>
    <xf numFmtId="0" fontId="12" fillId="0" borderId="0" xfId="111" applyFont="1"/>
    <xf numFmtId="0" fontId="17" fillId="0" borderId="0" xfId="111" applyFont="1" applyAlignment="1">
      <alignment vertical="top"/>
    </xf>
    <xf numFmtId="0" fontId="37" fillId="0" borderId="0" xfId="111" applyFont="1"/>
    <xf numFmtId="0" fontId="10" fillId="0" borderId="0" xfId="111" applyFont="1" applyAlignment="1">
      <alignment horizontal="right"/>
    </xf>
    <xf numFmtId="0" fontId="15" fillId="0" borderId="28" xfId="111" applyFont="1" applyBorder="1" applyAlignment="1">
      <alignment horizontal="center" vertical="center" wrapText="1"/>
    </xf>
    <xf numFmtId="0" fontId="16" fillId="0" borderId="28" xfId="111" applyFont="1" applyBorder="1" applyAlignment="1">
      <alignment horizontal="center" vertical="center" wrapText="1"/>
    </xf>
    <xf numFmtId="0" fontId="15" fillId="0" borderId="15" xfId="111" applyFont="1" applyBorder="1" applyAlignment="1">
      <alignment horizontal="justify" vertical="center" wrapText="1"/>
    </xf>
    <xf numFmtId="182" fontId="16" fillId="0" borderId="15" xfId="111" applyNumberFormat="1" applyFont="1" applyBorder="1" applyAlignment="1">
      <alignment vertical="center" wrapText="1"/>
    </xf>
    <xf numFmtId="0" fontId="15" fillId="0" borderId="15" xfId="111" applyFont="1" applyBorder="1" applyAlignment="1">
      <alignment vertical="center" wrapText="1"/>
    </xf>
    <xf numFmtId="3" fontId="16" fillId="0" borderId="15" xfId="111" applyNumberFormat="1" applyFont="1" applyBorder="1" applyAlignment="1">
      <alignment vertical="center" wrapText="1"/>
    </xf>
    <xf numFmtId="0" fontId="14" fillId="0" borderId="18" xfId="111" applyFont="1" applyBorder="1" applyAlignment="1">
      <alignment horizontal="justify" vertical="center" wrapText="1"/>
    </xf>
    <xf numFmtId="182" fontId="10" fillId="0" borderId="18" xfId="111" applyNumberFormat="1" applyFont="1" applyBorder="1" applyAlignment="1">
      <alignment vertical="center" wrapText="1"/>
    </xf>
    <xf numFmtId="0" fontId="14" fillId="0" borderId="18" xfId="111" applyFont="1" applyBorder="1" applyAlignment="1">
      <alignment vertical="center" wrapText="1"/>
    </xf>
    <xf numFmtId="3" fontId="10" fillId="0" borderId="18" xfId="111" applyNumberFormat="1" applyFont="1" applyBorder="1" applyAlignment="1">
      <alignment vertical="center" wrapText="1"/>
    </xf>
    <xf numFmtId="0" fontId="15" fillId="0" borderId="18" xfId="111" applyFont="1" applyBorder="1" applyAlignment="1">
      <alignment horizontal="justify" vertical="center" wrapText="1"/>
    </xf>
    <xf numFmtId="182" fontId="16" fillId="0" borderId="18" xfId="111" applyNumberFormat="1" applyFont="1" applyBorder="1" applyAlignment="1">
      <alignment vertical="center" wrapText="1"/>
    </xf>
    <xf numFmtId="0" fontId="15" fillId="0" borderId="18" xfId="111" applyFont="1" applyBorder="1" applyAlignment="1">
      <alignment vertical="center" wrapText="1"/>
    </xf>
    <xf numFmtId="3" fontId="16" fillId="0" borderId="18" xfId="111" applyNumberFormat="1" applyFont="1" applyBorder="1" applyAlignment="1">
      <alignment vertical="center" wrapText="1"/>
    </xf>
    <xf numFmtId="0" fontId="14" fillId="0" borderId="46" xfId="111" applyFont="1" applyBorder="1" applyAlignment="1">
      <alignment horizontal="justify" vertical="center" wrapText="1"/>
    </xf>
    <xf numFmtId="182" fontId="10" fillId="0" borderId="46" xfId="111" applyNumberFormat="1" applyFont="1" applyBorder="1" applyAlignment="1">
      <alignment vertical="center" wrapText="1"/>
    </xf>
    <xf numFmtId="0" fontId="15" fillId="0" borderId="46" xfId="111" applyFont="1" applyBorder="1" applyAlignment="1">
      <alignment vertical="center" wrapText="1"/>
    </xf>
    <xf numFmtId="0" fontId="10" fillId="0" borderId="46" xfId="111" applyFont="1" applyBorder="1" applyAlignment="1">
      <alignment horizontal="right" vertical="center" wrapText="1"/>
    </xf>
    <xf numFmtId="0" fontId="15" fillId="0" borderId="28" xfId="111" applyFont="1" applyBorder="1" applyAlignment="1">
      <alignment horizontal="left" vertical="center" wrapText="1"/>
    </xf>
    <xf numFmtId="182" fontId="16" fillId="0" borderId="28" xfId="111" applyNumberFormat="1" applyFont="1" applyBorder="1" applyAlignment="1">
      <alignment vertical="center" wrapText="1"/>
    </xf>
    <xf numFmtId="3" fontId="16" fillId="0" borderId="28" xfId="111" applyNumberFormat="1" applyFont="1" applyBorder="1" applyAlignment="1">
      <alignment vertical="center" wrapText="1"/>
    </xf>
    <xf numFmtId="182" fontId="37" fillId="0" borderId="0" xfId="111" applyNumberFormat="1" applyFont="1"/>
    <xf numFmtId="187" fontId="37" fillId="0" borderId="0" xfId="111" applyNumberFormat="1" applyFont="1"/>
    <xf numFmtId="176" fontId="37" fillId="0" borderId="0" xfId="111" applyNumberFormat="1" applyFont="1"/>
    <xf numFmtId="0" fontId="14" fillId="0" borderId="0" xfId="111" applyFont="1" applyAlignment="1">
      <alignment horizontal="right"/>
    </xf>
    <xf numFmtId="0" fontId="10" fillId="0" borderId="57" xfId="111" applyFont="1" applyBorder="1" applyAlignment="1">
      <alignment horizontal="left" vertical="center" wrapText="1"/>
    </xf>
    <xf numFmtId="0" fontId="37" fillId="0" borderId="0" xfId="111" applyFont="1" applyAlignment="1">
      <alignment vertical="center"/>
    </xf>
    <xf numFmtId="0" fontId="15" fillId="0" borderId="15" xfId="111" applyFont="1" applyBorder="1" applyAlignment="1">
      <alignment vertical="center"/>
    </xf>
    <xf numFmtId="3" fontId="16" fillId="0" borderId="15" xfId="111" applyNumberFormat="1" applyFont="1" applyBorder="1" applyAlignment="1">
      <alignment horizontal="right" vertical="center" wrapText="1"/>
    </xf>
    <xf numFmtId="0" fontId="71" fillId="0" borderId="0" xfId="111" applyFont="1" applyAlignment="1">
      <alignment vertical="center"/>
    </xf>
    <xf numFmtId="0" fontId="14" fillId="0" borderId="18" xfId="111" applyFont="1" applyBorder="1" applyAlignment="1">
      <alignment horizontal="left" vertical="center"/>
    </xf>
    <xf numFmtId="3" fontId="10" fillId="0" borderId="18" xfId="111" applyNumberFormat="1" applyFont="1" applyBorder="1" applyAlignment="1">
      <alignment horizontal="right" vertical="center"/>
    </xf>
    <xf numFmtId="0" fontId="37" fillId="0" borderId="0" xfId="111" applyFont="1" applyBorder="1" applyAlignment="1">
      <alignment vertical="center"/>
    </xf>
    <xf numFmtId="0" fontId="15" fillId="0" borderId="46" xfId="111" applyFont="1" applyBorder="1" applyAlignment="1">
      <alignment vertical="center"/>
    </xf>
    <xf numFmtId="3" fontId="16" fillId="0" borderId="46" xfId="111" applyNumberFormat="1" applyFont="1" applyBorder="1" applyAlignment="1">
      <alignment horizontal="right" vertical="center" wrapText="1"/>
    </xf>
    <xf numFmtId="0" fontId="71" fillId="0" borderId="0" xfId="111" applyFont="1" applyBorder="1" applyAlignment="1">
      <alignment vertical="center"/>
    </xf>
    <xf numFmtId="0" fontId="15" fillId="0" borderId="18" xfId="111" applyFont="1" applyBorder="1" applyAlignment="1">
      <alignment vertical="center"/>
    </xf>
    <xf numFmtId="3" fontId="16" fillId="0" borderId="18" xfId="111" applyNumberFormat="1" applyFont="1" applyBorder="1" applyAlignment="1">
      <alignment horizontal="right" vertical="center" wrapText="1"/>
    </xf>
    <xf numFmtId="0" fontId="15" fillId="0" borderId="28" xfId="111" applyFont="1" applyBorder="1" applyAlignment="1">
      <alignment vertical="center"/>
    </xf>
    <xf numFmtId="41" fontId="16" fillId="0" borderId="28" xfId="111" applyNumberFormat="1" applyFont="1" applyBorder="1" applyAlignment="1">
      <alignment horizontal="right" vertical="center" wrapText="1"/>
    </xf>
    <xf numFmtId="0" fontId="10" fillId="0" borderId="58" xfId="111" applyFont="1" applyBorder="1" applyAlignment="1">
      <alignment horizontal="left" vertical="center" wrapText="1"/>
    </xf>
    <xf numFmtId="0" fontId="10" fillId="0" borderId="34" xfId="111" applyFont="1" applyBorder="1" applyAlignment="1">
      <alignment horizontal="center" vertical="center"/>
    </xf>
    <xf numFmtId="0" fontId="16" fillId="0" borderId="14" xfId="111" applyFont="1" applyBorder="1" applyAlignment="1">
      <alignment vertical="center"/>
    </xf>
    <xf numFmtId="0" fontId="58" fillId="0" borderId="15" xfId="111" applyFont="1" applyBorder="1" applyAlignment="1">
      <alignment horizontal="right" vertical="center"/>
    </xf>
    <xf numFmtId="0" fontId="10" fillId="0" borderId="17" xfId="111" applyFont="1" applyBorder="1" applyAlignment="1">
      <alignment horizontal="left" vertical="center"/>
    </xf>
    <xf numFmtId="3" fontId="29" fillId="0" borderId="18" xfId="111" applyNumberFormat="1" applyFont="1" applyBorder="1" applyAlignment="1">
      <alignment horizontal="right" vertical="center"/>
    </xf>
    <xf numFmtId="0" fontId="16" fillId="0" borderId="49" xfId="111" applyFont="1" applyBorder="1" applyAlignment="1">
      <alignment vertical="center"/>
    </xf>
    <xf numFmtId="3" fontId="58" fillId="0" borderId="46" xfId="111" applyNumberFormat="1" applyFont="1" applyBorder="1" applyAlignment="1">
      <alignment horizontal="right" vertical="center" wrapText="1"/>
    </xf>
    <xf numFmtId="0" fontId="16" fillId="0" borderId="17" xfId="111" applyFont="1" applyBorder="1" applyAlignment="1">
      <alignment vertical="center"/>
    </xf>
    <xf numFmtId="0" fontId="58" fillId="0" borderId="18" xfId="111" applyFont="1" applyBorder="1" applyAlignment="1">
      <alignment horizontal="right" vertical="center"/>
    </xf>
    <xf numFmtId="0" fontId="16" fillId="0" borderId="59" xfId="111" applyFont="1" applyBorder="1" applyAlignment="1">
      <alignment vertical="center"/>
    </xf>
    <xf numFmtId="41" fontId="58" fillId="0" borderId="60" xfId="111" applyNumberFormat="1" applyFont="1" applyBorder="1" applyAlignment="1">
      <alignment horizontal="right" vertical="center"/>
    </xf>
    <xf numFmtId="41" fontId="58" fillId="0" borderId="61" xfId="111" applyNumberFormat="1" applyFont="1" applyBorder="1" applyAlignment="1">
      <alignment horizontal="right" vertical="center"/>
    </xf>
    <xf numFmtId="41" fontId="58" fillId="0" borderId="62" xfId="111" applyNumberFormat="1" applyFont="1" applyBorder="1" applyAlignment="1">
      <alignment horizontal="right" vertical="center"/>
    </xf>
    <xf numFmtId="0" fontId="24" fillId="0" borderId="35" xfId="0" applyFont="1" applyFill="1" applyBorder="1" applyAlignment="1">
      <alignment horizontal="center" vertical="center" wrapText="1"/>
    </xf>
    <xf numFmtId="180" fontId="24" fillId="0" borderId="28" xfId="0" applyNumberFormat="1" applyFont="1" applyFill="1" applyBorder="1" applyAlignment="1">
      <alignment horizontal="center" vertical="center" wrapText="1"/>
    </xf>
    <xf numFmtId="176" fontId="24" fillId="0" borderId="28" xfId="0" applyNumberFormat="1" applyFont="1" applyFill="1" applyBorder="1" applyAlignment="1">
      <alignment horizontal="center" vertical="center" wrapText="1"/>
    </xf>
    <xf numFmtId="0" fontId="24" fillId="0" borderId="44" xfId="0" applyFont="1" applyFill="1" applyBorder="1" applyAlignment="1">
      <alignment horizontal="center" vertical="center" wrapText="1"/>
    </xf>
    <xf numFmtId="0" fontId="24" fillId="0" borderId="14" xfId="0" applyFont="1" applyFill="1" applyBorder="1" applyAlignment="1">
      <alignment horizontal="center" vertical="center" wrapText="1"/>
    </xf>
    <xf numFmtId="180" fontId="24" fillId="0" borderId="15" xfId="0" applyNumberFormat="1" applyFont="1" applyFill="1" applyBorder="1" applyAlignment="1">
      <alignment horizontal="center" vertical="center" wrapText="1"/>
    </xf>
    <xf numFmtId="176" fontId="24" fillId="0" borderId="15" xfId="0" applyNumberFormat="1" applyFont="1" applyFill="1" applyBorder="1" applyAlignment="1">
      <alignment horizontal="center" vertical="center" wrapText="1"/>
    </xf>
    <xf numFmtId="0" fontId="24" fillId="0" borderId="16" xfId="0" applyFont="1" applyFill="1" applyBorder="1" applyAlignment="1">
      <alignment horizontal="center" vertical="center" wrapText="1"/>
    </xf>
    <xf numFmtId="181" fontId="58" fillId="0" borderId="18" xfId="0" applyNumberFormat="1" applyFont="1" applyFill="1" applyBorder="1" applyAlignment="1">
      <alignment horizontal="right" vertical="top" wrapText="1"/>
    </xf>
    <xf numFmtId="0" fontId="74" fillId="0" borderId="18" xfId="0" applyFont="1" applyFill="1" applyBorder="1" applyAlignment="1">
      <alignment horizontal="justify" vertical="top" wrapText="1"/>
    </xf>
    <xf numFmtId="180" fontId="58" fillId="0" borderId="18" xfId="0" applyNumberFormat="1" applyFont="1" applyFill="1" applyBorder="1" applyAlignment="1">
      <alignment horizontal="right" vertical="top" wrapText="1"/>
    </xf>
    <xf numFmtId="3" fontId="58" fillId="0" borderId="18" xfId="0" applyNumberFormat="1" applyFont="1" applyFill="1" applyBorder="1" applyAlignment="1">
      <alignment horizontal="right" vertical="top" wrapText="1"/>
    </xf>
    <xf numFmtId="188" fontId="16" fillId="0" borderId="0" xfId="0" applyNumberFormat="1" applyFont="1" applyFill="1" applyBorder="1" applyAlignment="1">
      <alignment vertical="top"/>
    </xf>
    <xf numFmtId="43" fontId="58" fillId="0" borderId="18" xfId="0" applyNumberFormat="1" applyFont="1" applyFill="1" applyBorder="1" applyAlignment="1">
      <alignment horizontal="right" vertical="top" wrapText="1"/>
    </xf>
    <xf numFmtId="179" fontId="29" fillId="0" borderId="17" xfId="0" applyNumberFormat="1" applyFont="1" applyFill="1" applyBorder="1" applyAlignment="1">
      <alignment horizontal="right" vertical="top" wrapText="1"/>
    </xf>
    <xf numFmtId="181" fontId="29" fillId="0" borderId="18" xfId="0" applyNumberFormat="1" applyFont="1" applyFill="1" applyBorder="1" applyAlignment="1">
      <alignment horizontal="right" vertical="top" wrapText="1"/>
    </xf>
    <xf numFmtId="0" fontId="57" fillId="0" borderId="18" xfId="0" applyFont="1" applyFill="1" applyBorder="1" applyAlignment="1">
      <alignment horizontal="justify" vertical="top" wrapText="1"/>
    </xf>
    <xf numFmtId="41" fontId="29" fillId="0" borderId="18" xfId="0" applyNumberFormat="1" applyFont="1" applyFill="1" applyBorder="1" applyAlignment="1">
      <alignment horizontal="right" vertical="top" wrapText="1"/>
    </xf>
    <xf numFmtId="41" fontId="29" fillId="0" borderId="11" xfId="0" applyNumberFormat="1" applyFont="1" applyFill="1" applyBorder="1" applyAlignment="1">
      <alignment horizontal="right" vertical="top" wrapText="1"/>
    </xf>
    <xf numFmtId="188" fontId="10" fillId="0" borderId="0" xfId="0" applyNumberFormat="1" applyFont="1" applyFill="1" applyBorder="1" applyAlignment="1">
      <alignment vertical="top"/>
    </xf>
    <xf numFmtId="180" fontId="29" fillId="0" borderId="18" xfId="0" applyNumberFormat="1" applyFont="1" applyFill="1" applyBorder="1" applyAlignment="1">
      <alignment horizontal="right" vertical="top" wrapText="1"/>
    </xf>
    <xf numFmtId="3" fontId="29" fillId="0" borderId="18" xfId="0" applyNumberFormat="1" applyFont="1" applyFill="1" applyBorder="1" applyAlignment="1">
      <alignment horizontal="right" vertical="top" wrapText="1"/>
    </xf>
    <xf numFmtId="41" fontId="58" fillId="0" borderId="18" xfId="0" applyNumberFormat="1" applyFont="1" applyFill="1" applyBorder="1" applyAlignment="1">
      <alignment horizontal="right" vertical="top" wrapText="1"/>
    </xf>
    <xf numFmtId="41" fontId="58" fillId="0" borderId="30" xfId="0" applyNumberFormat="1" applyFont="1" applyFill="1" applyBorder="1" applyAlignment="1">
      <alignment horizontal="right" vertical="top" wrapText="1"/>
    </xf>
    <xf numFmtId="41" fontId="58" fillId="0" borderId="22" xfId="0" applyNumberFormat="1" applyFont="1" applyFill="1" applyBorder="1" applyAlignment="1">
      <alignment horizontal="right" vertical="top" wrapText="1"/>
    </xf>
    <xf numFmtId="179" fontId="29" fillId="0" borderId="21" xfId="0" applyNumberFormat="1" applyFont="1" applyFill="1" applyBorder="1" applyAlignment="1">
      <alignment horizontal="right" vertical="top" wrapText="1"/>
    </xf>
    <xf numFmtId="181" fontId="29" fillId="0" borderId="12" xfId="0" applyNumberFormat="1" applyFont="1" applyFill="1" applyBorder="1" applyAlignment="1">
      <alignment horizontal="right" vertical="top" wrapText="1"/>
    </xf>
    <xf numFmtId="0" fontId="57" fillId="0" borderId="12" xfId="0" applyFont="1" applyFill="1" applyBorder="1" applyAlignment="1">
      <alignment horizontal="justify" vertical="top" wrapText="1"/>
    </xf>
    <xf numFmtId="180" fontId="29" fillId="0" borderId="12" xfId="0" applyNumberFormat="1" applyFont="1" applyFill="1" applyBorder="1" applyAlignment="1">
      <alignment horizontal="right" vertical="top" wrapText="1"/>
    </xf>
    <xf numFmtId="3" fontId="29" fillId="0" borderId="12" xfId="0" applyNumberFormat="1" applyFont="1" applyFill="1" applyBorder="1" applyAlignment="1">
      <alignment horizontal="right" vertical="top" wrapText="1"/>
    </xf>
    <xf numFmtId="41" fontId="58" fillId="0" borderId="17" xfId="0" applyNumberFormat="1" applyFont="1" applyFill="1" applyBorder="1" applyAlignment="1">
      <alignment horizontal="right" vertical="top" wrapText="1"/>
    </xf>
    <xf numFmtId="0" fontId="57" fillId="0" borderId="18" xfId="0" applyFont="1" applyFill="1" applyBorder="1" applyAlignment="1">
      <alignment vertical="top" wrapText="1"/>
    </xf>
    <xf numFmtId="41" fontId="29" fillId="0" borderId="17" xfId="0" applyNumberFormat="1" applyFont="1" applyFill="1" applyBorder="1" applyAlignment="1">
      <alignment horizontal="right" vertical="top" wrapText="1"/>
    </xf>
    <xf numFmtId="41" fontId="58" fillId="0" borderId="11" xfId="0" applyNumberFormat="1" applyFont="1" applyFill="1" applyBorder="1" applyAlignment="1">
      <alignment horizontal="right" vertical="top" wrapText="1"/>
    </xf>
    <xf numFmtId="0" fontId="57" fillId="0" borderId="18" xfId="0" applyFont="1" applyFill="1" applyBorder="1" applyAlignment="1">
      <alignment horizontal="left" vertical="top" wrapText="1"/>
    </xf>
    <xf numFmtId="41" fontId="29" fillId="0" borderId="18" xfId="21" applyNumberFormat="1" applyFont="1" applyFill="1" applyBorder="1" applyAlignment="1">
      <alignment horizontal="right" vertical="top" wrapText="1"/>
    </xf>
    <xf numFmtId="3" fontId="58" fillId="0" borderId="17" xfId="0" applyNumberFormat="1" applyFont="1" applyFill="1" applyBorder="1" applyAlignment="1">
      <alignment horizontal="right" vertical="top" wrapText="1"/>
    </xf>
    <xf numFmtId="179" fontId="29" fillId="0" borderId="18" xfId="21" applyNumberFormat="1" applyFont="1" applyFill="1" applyBorder="1" applyAlignment="1">
      <alignment horizontal="right" vertical="top" wrapText="1"/>
    </xf>
    <xf numFmtId="180" fontId="58" fillId="0" borderId="18" xfId="21" applyNumberFormat="1" applyFont="1" applyFill="1" applyBorder="1" applyAlignment="1">
      <alignment horizontal="right" vertical="top" wrapText="1"/>
    </xf>
    <xf numFmtId="41" fontId="58" fillId="0" borderId="17" xfId="21" applyNumberFormat="1" applyFont="1" applyFill="1" applyBorder="1" applyAlignment="1">
      <alignment horizontal="right" vertical="top" wrapText="1"/>
    </xf>
    <xf numFmtId="41" fontId="58" fillId="0" borderId="18" xfId="21" applyNumberFormat="1" applyFont="1" applyFill="1" applyBorder="1" applyAlignment="1">
      <alignment horizontal="right" vertical="top" wrapText="1"/>
    </xf>
    <xf numFmtId="181" fontId="58" fillId="0" borderId="12" xfId="0" applyNumberFormat="1" applyFont="1" applyFill="1" applyBorder="1" applyAlignment="1">
      <alignment horizontal="right" vertical="top" wrapText="1"/>
    </xf>
    <xf numFmtId="0" fontId="74" fillId="0" borderId="12" xfId="0" applyFont="1" applyFill="1" applyBorder="1" applyAlignment="1">
      <alignment horizontal="justify" vertical="top" wrapText="1"/>
    </xf>
    <xf numFmtId="180" fontId="58" fillId="0" borderId="12" xfId="21" applyNumberFormat="1" applyFont="1" applyFill="1" applyBorder="1" applyAlignment="1">
      <alignment horizontal="right" vertical="top" wrapText="1"/>
    </xf>
    <xf numFmtId="176" fontId="58" fillId="0" borderId="12" xfId="0" applyNumberFormat="1" applyFont="1" applyFill="1" applyBorder="1" applyAlignment="1">
      <alignment horizontal="right" vertical="top" wrapText="1"/>
    </xf>
    <xf numFmtId="181" fontId="58" fillId="0" borderId="13" xfId="0" applyNumberFormat="1" applyFont="1" applyFill="1" applyBorder="1" applyAlignment="1">
      <alignment horizontal="right" vertical="top" wrapText="1"/>
    </xf>
    <xf numFmtId="188" fontId="10" fillId="0" borderId="0" xfId="0" applyNumberFormat="1" applyFont="1" applyFill="1" applyAlignment="1">
      <alignment vertical="top"/>
    </xf>
    <xf numFmtId="0" fontId="75" fillId="0" borderId="0" xfId="0" applyFont="1" applyFill="1" applyAlignment="1">
      <alignment horizontal="justify" vertical="top"/>
    </xf>
    <xf numFmtId="0" fontId="75" fillId="0" borderId="0" xfId="0" applyFont="1" applyFill="1" applyAlignment="1">
      <alignment vertical="top"/>
    </xf>
    <xf numFmtId="0" fontId="76" fillId="0" borderId="0" xfId="0" applyFont="1" applyFill="1" applyAlignment="1">
      <alignment vertical="top"/>
    </xf>
    <xf numFmtId="180" fontId="75" fillId="0" borderId="0" xfId="0" applyNumberFormat="1" applyFont="1" applyFill="1" applyAlignment="1">
      <alignment vertical="top"/>
    </xf>
    <xf numFmtId="0" fontId="57" fillId="0" borderId="0" xfId="0" applyFont="1" applyFill="1" applyAlignment="1">
      <alignment vertical="top"/>
    </xf>
    <xf numFmtId="180" fontId="10" fillId="0" borderId="0" xfId="0" applyNumberFormat="1" applyFont="1" applyFill="1" applyAlignment="1">
      <alignment vertical="top"/>
    </xf>
    <xf numFmtId="0" fontId="14" fillId="0" borderId="0" xfId="0" applyFont="1" applyFill="1">
      <alignment vertical="center"/>
    </xf>
    <xf numFmtId="0" fontId="14" fillId="0" borderId="29" xfId="0" applyFont="1" applyFill="1" applyBorder="1" applyAlignment="1">
      <alignment horizontal="center" vertical="center"/>
    </xf>
    <xf numFmtId="189" fontId="16" fillId="0" borderId="0" xfId="0" applyNumberFormat="1" applyFont="1" applyFill="1" applyAlignment="1">
      <alignment vertical="top"/>
    </xf>
    <xf numFmtId="0" fontId="58" fillId="0" borderId="18" xfId="0" applyNumberFormat="1" applyFont="1" applyFill="1" applyBorder="1" applyAlignment="1">
      <alignment horizontal="right" vertical="top" wrapText="1"/>
    </xf>
    <xf numFmtId="189" fontId="10" fillId="0" borderId="0" xfId="0" applyNumberFormat="1" applyFont="1" applyFill="1" applyAlignment="1">
      <alignment vertical="top"/>
    </xf>
    <xf numFmtId="0" fontId="29" fillId="0" borderId="18" xfId="0" applyNumberFormat="1" applyFont="1" applyFill="1" applyBorder="1" applyAlignment="1">
      <alignment horizontal="right" vertical="top" wrapText="1"/>
    </xf>
    <xf numFmtId="176" fontId="58" fillId="0" borderId="18" xfId="0" applyNumberFormat="1" applyFont="1" applyFill="1" applyBorder="1" applyAlignment="1">
      <alignment horizontal="right" vertical="top" wrapText="1"/>
    </xf>
    <xf numFmtId="179" fontId="58" fillId="0" borderId="18" xfId="21" applyNumberFormat="1" applyFont="1" applyFill="1" applyBorder="1" applyAlignment="1">
      <alignment horizontal="right" vertical="top" wrapText="1"/>
    </xf>
    <xf numFmtId="179" fontId="58" fillId="0" borderId="27" xfId="21" applyNumberFormat="1" applyFont="1" applyFill="1" applyBorder="1" applyAlignment="1">
      <alignment horizontal="right" vertical="top" wrapText="1"/>
    </xf>
    <xf numFmtId="181" fontId="58" fillId="0" borderId="11" xfId="21" applyNumberFormat="1" applyFont="1" applyFill="1" applyBorder="1" applyAlignment="1">
      <alignment horizontal="right" vertical="top" wrapText="1"/>
    </xf>
    <xf numFmtId="179" fontId="29" fillId="0" borderId="27" xfId="0" applyNumberFormat="1" applyFont="1" applyFill="1" applyBorder="1" applyAlignment="1">
      <alignment horizontal="right" vertical="top" wrapText="1"/>
    </xf>
    <xf numFmtId="41" fontId="29" fillId="0" borderId="12" xfId="0" applyNumberFormat="1" applyFont="1" applyFill="1" applyBorder="1" applyAlignment="1">
      <alignment horizontal="right" vertical="top" wrapText="1"/>
    </xf>
    <xf numFmtId="0" fontId="75" fillId="0" borderId="0" xfId="0" applyFont="1" applyFill="1" applyAlignment="1">
      <alignment horizontal="justify" vertical="center"/>
    </xf>
    <xf numFmtId="0" fontId="75" fillId="0" borderId="0" xfId="0" applyFont="1" applyFill="1">
      <alignment vertical="center"/>
    </xf>
    <xf numFmtId="0" fontId="76" fillId="0" borderId="0" xfId="0" applyFont="1" applyFill="1">
      <alignment vertical="center"/>
    </xf>
    <xf numFmtId="176" fontId="75" fillId="0" borderId="0" xfId="0" applyNumberFormat="1" applyFont="1" applyFill="1">
      <alignment vertical="center"/>
    </xf>
    <xf numFmtId="0" fontId="57" fillId="0" borderId="0" xfId="0" applyFont="1" applyFill="1">
      <alignment vertical="center"/>
    </xf>
    <xf numFmtId="188" fontId="16" fillId="0" borderId="0" xfId="0" applyNumberFormat="1" applyFont="1" applyFill="1" applyAlignment="1">
      <alignment vertical="top"/>
    </xf>
    <xf numFmtId="179" fontId="77" fillId="0" borderId="18" xfId="0" applyNumberFormat="1" applyFont="1" applyFill="1" applyBorder="1" applyAlignment="1">
      <alignment horizontal="right" vertical="top" wrapText="1"/>
    </xf>
    <xf numFmtId="0" fontId="29" fillId="0" borderId="12" xfId="0" applyFont="1" applyFill="1" applyBorder="1" applyAlignment="1">
      <alignment horizontal="right" vertical="top" wrapText="1"/>
    </xf>
    <xf numFmtId="0" fontId="10" fillId="0" borderId="0" xfId="0" applyFont="1" applyFill="1" applyBorder="1">
      <alignment vertical="center"/>
    </xf>
    <xf numFmtId="180" fontId="75" fillId="0" borderId="0" xfId="0" applyNumberFormat="1" applyFont="1" applyFill="1">
      <alignment vertical="center"/>
    </xf>
    <xf numFmtId="185" fontId="29" fillId="0" borderId="18" xfId="0" applyNumberFormat="1" applyFont="1" applyFill="1" applyBorder="1" applyAlignment="1">
      <alignment horizontal="right" vertical="top" wrapText="1"/>
    </xf>
    <xf numFmtId="41" fontId="29" fillId="0" borderId="21" xfId="0" applyNumberFormat="1" applyFont="1" applyFill="1" applyBorder="1" applyAlignment="1">
      <alignment horizontal="right" vertical="top" wrapText="1"/>
    </xf>
    <xf numFmtId="0" fontId="10" fillId="0" borderId="0" xfId="0" applyFont="1" applyAlignment="1">
      <alignment vertical="center"/>
    </xf>
    <xf numFmtId="41" fontId="16" fillId="0" borderId="10" xfId="0" applyNumberFormat="1" applyFont="1" applyBorder="1" applyAlignment="1">
      <alignment horizontal="right" vertical="top" wrapText="1"/>
    </xf>
    <xf numFmtId="0" fontId="15" fillId="0" borderId="18" xfId="0" applyFont="1" applyBorder="1" applyAlignment="1">
      <alignment vertical="top" wrapText="1"/>
    </xf>
    <xf numFmtId="178" fontId="16" fillId="0" borderId="18" xfId="21" applyNumberFormat="1" applyFont="1" applyBorder="1" applyAlignment="1">
      <alignment horizontal="right" vertical="top" wrapText="1"/>
    </xf>
    <xf numFmtId="0" fontId="10" fillId="0" borderId="10" xfId="0" applyFont="1" applyBorder="1">
      <alignment vertical="center"/>
    </xf>
    <xf numFmtId="0" fontId="10" fillId="0" borderId="22" xfId="0" applyFont="1" applyBorder="1">
      <alignment vertical="center"/>
    </xf>
    <xf numFmtId="0" fontId="10" fillId="0" borderId="42" xfId="0" applyFont="1" applyBorder="1">
      <alignment vertical="center"/>
    </xf>
    <xf numFmtId="0" fontId="10" fillId="0" borderId="23" xfId="0" applyFont="1" applyBorder="1">
      <alignment vertical="center"/>
    </xf>
    <xf numFmtId="0" fontId="10" fillId="0" borderId="12" xfId="0" applyFont="1" applyBorder="1">
      <alignment vertical="center"/>
    </xf>
    <xf numFmtId="0" fontId="22" fillId="0" borderId="25" xfId="0" applyFont="1" applyFill="1" applyBorder="1" applyAlignment="1">
      <alignment horizontal="distributed" vertical="center" wrapText="1"/>
    </xf>
    <xf numFmtId="41" fontId="24" fillId="0" borderId="18" xfId="0" applyNumberFormat="1" applyFont="1" applyFill="1" applyBorder="1" applyAlignment="1">
      <alignment vertical="top" wrapText="1"/>
    </xf>
    <xf numFmtId="0" fontId="22" fillId="0" borderId="18" xfId="0" applyFont="1" applyFill="1" applyBorder="1" applyAlignment="1">
      <alignment horizontal="left" vertical="top" wrapText="1"/>
    </xf>
    <xf numFmtId="0" fontId="22" fillId="0" borderId="15" xfId="0" applyFont="1" applyFill="1" applyBorder="1" applyAlignment="1">
      <alignment horizontal="distributed" vertical="center" wrapText="1"/>
    </xf>
    <xf numFmtId="179" fontId="10" fillId="0" borderId="0" xfId="0" applyNumberFormat="1" applyFont="1" applyFill="1" applyAlignment="1">
      <alignment vertical="center"/>
    </xf>
    <xf numFmtId="41" fontId="10" fillId="0" borderId="0" xfId="0" applyNumberFormat="1" applyFont="1" applyFill="1" applyBorder="1" applyAlignment="1">
      <alignment vertical="top" wrapText="1"/>
    </xf>
    <xf numFmtId="3" fontId="36" fillId="0" borderId="18" xfId="0" applyNumberFormat="1" applyFont="1" applyFill="1" applyBorder="1" applyAlignment="1">
      <alignment horizontal="right" vertical="top" wrapText="1"/>
    </xf>
    <xf numFmtId="3" fontId="24" fillId="0" borderId="18" xfId="0" applyNumberFormat="1" applyFont="1" applyFill="1" applyBorder="1" applyAlignment="1">
      <alignment horizontal="right" vertical="top" wrapText="1"/>
    </xf>
    <xf numFmtId="41" fontId="24" fillId="0" borderId="30" xfId="0" applyNumberFormat="1" applyFont="1" applyFill="1" applyBorder="1" applyAlignment="1">
      <alignment horizontal="right" vertical="top" wrapText="1"/>
    </xf>
    <xf numFmtId="41" fontId="10" fillId="0" borderId="10" xfId="0" applyNumberFormat="1" applyFont="1" applyBorder="1" applyAlignment="1">
      <alignment horizontal="right" vertical="top" wrapText="1"/>
    </xf>
    <xf numFmtId="0" fontId="24" fillId="0" borderId="16" xfId="0" applyFont="1" applyFill="1" applyBorder="1" applyAlignment="1">
      <alignment horizontal="distributed" vertical="center" wrapText="1"/>
    </xf>
    <xf numFmtId="0" fontId="10" fillId="0" borderId="14" xfId="0" applyFont="1" applyFill="1" applyBorder="1" applyAlignment="1">
      <alignment horizontal="distributed" vertical="center" wrapText="1" indent="1"/>
    </xf>
    <xf numFmtId="3" fontId="36" fillId="0" borderId="17" xfId="0" applyNumberFormat="1" applyFont="1" applyFill="1" applyBorder="1" applyAlignment="1">
      <alignment horizontal="right" vertical="top" wrapText="1"/>
    </xf>
    <xf numFmtId="41" fontId="36" fillId="0" borderId="11" xfId="0" applyNumberFormat="1" applyFont="1" applyFill="1" applyBorder="1" applyAlignment="1">
      <alignment horizontal="right" vertical="top" wrapText="1"/>
    </xf>
    <xf numFmtId="3" fontId="24" fillId="0" borderId="17" xfId="0" applyNumberFormat="1" applyFont="1" applyFill="1" applyBorder="1" applyAlignment="1">
      <alignment horizontal="right" vertical="top" wrapText="1"/>
    </xf>
    <xf numFmtId="41" fontId="24" fillId="0" borderId="11" xfId="0" applyNumberFormat="1" applyFont="1" applyFill="1" applyBorder="1" applyAlignment="1">
      <alignment horizontal="right" vertical="top" wrapText="1"/>
    </xf>
    <xf numFmtId="41" fontId="24" fillId="0" borderId="17" xfId="0" applyNumberFormat="1" applyFont="1" applyFill="1" applyBorder="1" applyAlignment="1">
      <alignment horizontal="right" vertical="top" wrapText="1"/>
    </xf>
    <xf numFmtId="41" fontId="36" fillId="0" borderId="17" xfId="0" applyNumberFormat="1" applyFont="1" applyFill="1" applyBorder="1" applyAlignment="1">
      <alignment horizontal="right" vertical="top" wrapText="1"/>
    </xf>
    <xf numFmtId="41" fontId="24" fillId="0" borderId="11" xfId="21" applyNumberFormat="1" applyFont="1" applyFill="1" applyBorder="1" applyAlignment="1">
      <alignment horizontal="right" vertical="top" wrapText="1"/>
    </xf>
    <xf numFmtId="41" fontId="36" fillId="0" borderId="12" xfId="0" applyNumberFormat="1" applyFont="1" applyFill="1" applyBorder="1" applyAlignment="1">
      <alignment horizontal="right" vertical="top" wrapText="1"/>
    </xf>
    <xf numFmtId="0" fontId="22" fillId="0" borderId="17" xfId="0" applyFont="1" applyFill="1" applyBorder="1" applyAlignment="1">
      <alignment horizontal="left" vertical="top" wrapText="1"/>
    </xf>
    <xf numFmtId="41" fontId="10" fillId="0" borderId="0" xfId="0" applyNumberFormat="1" applyFont="1" applyAlignment="1">
      <alignment vertical="top"/>
    </xf>
    <xf numFmtId="178" fontId="10" fillId="0" borderId="0" xfId="0" applyNumberFormat="1" applyFont="1" applyAlignment="1">
      <alignment vertical="top"/>
    </xf>
    <xf numFmtId="3" fontId="10" fillId="0" borderId="0" xfId="0" applyNumberFormat="1" applyFont="1" applyFill="1" applyAlignment="1">
      <alignment vertical="top"/>
    </xf>
    <xf numFmtId="0" fontId="10" fillId="0" borderId="11" xfId="0" applyFont="1" applyFill="1" applyBorder="1" applyAlignment="1">
      <alignment vertical="top"/>
    </xf>
    <xf numFmtId="41" fontId="10" fillId="0" borderId="0" xfId="0" applyNumberFormat="1" applyFont="1" applyFill="1" applyAlignment="1">
      <alignment vertical="top"/>
    </xf>
    <xf numFmtId="179" fontId="10" fillId="0" borderId="0" xfId="0" applyNumberFormat="1" applyFont="1" applyFill="1" applyAlignment="1">
      <alignment vertical="top"/>
    </xf>
    <xf numFmtId="41" fontId="16" fillId="0" borderId="11" xfId="0" applyNumberFormat="1" applyFont="1" applyFill="1" applyBorder="1" applyAlignment="1">
      <alignment horizontal="right" vertical="top" wrapText="1"/>
    </xf>
    <xf numFmtId="0" fontId="25" fillId="0" borderId="18" xfId="0" applyFont="1" applyFill="1" applyBorder="1" applyAlignment="1">
      <alignment horizontal="left" vertical="top" wrapText="1"/>
    </xf>
    <xf numFmtId="0" fontId="25" fillId="0" borderId="17" xfId="0" applyFont="1" applyFill="1" applyBorder="1" applyAlignment="1">
      <alignment horizontal="left" vertical="top" wrapText="1"/>
    </xf>
    <xf numFmtId="0" fontId="16" fillId="0" borderId="17" xfId="20" applyFont="1" applyBorder="1" applyAlignment="1">
      <alignment horizontal="left" vertical="top" wrapText="1"/>
    </xf>
    <xf numFmtId="178" fontId="16" fillId="0" borderId="0" xfId="0" applyNumberFormat="1" applyFont="1" applyFill="1" applyBorder="1" applyAlignment="1">
      <alignment horizontal="right" vertical="top" wrapText="1"/>
    </xf>
    <xf numFmtId="3" fontId="10" fillId="0" borderId="36" xfId="0" applyNumberFormat="1" applyFont="1" applyFill="1" applyBorder="1" applyAlignment="1">
      <alignment horizontal="right" vertical="top" wrapText="1"/>
    </xf>
    <xf numFmtId="0" fontId="14" fillId="0" borderId="67" xfId="0" applyFont="1" applyFill="1" applyBorder="1" applyAlignment="1">
      <alignment horizontal="center" vertical="center" wrapText="1"/>
    </xf>
    <xf numFmtId="0" fontId="14" fillId="0" borderId="66" xfId="0" applyFont="1" applyFill="1" applyBorder="1" applyAlignment="1">
      <alignment horizontal="center" vertical="center" wrapText="1"/>
    </xf>
    <xf numFmtId="179" fontId="16" fillId="0" borderId="10" xfId="0" applyNumberFormat="1" applyFont="1" applyFill="1" applyBorder="1" applyAlignment="1">
      <alignment horizontal="right" vertical="top" wrapText="1"/>
    </xf>
    <xf numFmtId="179" fontId="10" fillId="0" borderId="10" xfId="0" applyNumberFormat="1" applyFont="1" applyFill="1" applyBorder="1" applyAlignment="1">
      <alignment horizontal="right" vertical="top" wrapText="1"/>
    </xf>
    <xf numFmtId="0" fontId="10" fillId="0" borderId="10" xfId="0" applyFont="1" applyFill="1" applyBorder="1" applyAlignment="1">
      <alignment horizontal="justify" vertical="top" wrapText="1"/>
    </xf>
    <xf numFmtId="41" fontId="36" fillId="0" borderId="13" xfId="0" applyNumberFormat="1" applyFont="1" applyFill="1" applyBorder="1" applyAlignment="1">
      <alignment horizontal="right" vertical="top" wrapText="1"/>
    </xf>
    <xf numFmtId="43" fontId="58" fillId="0" borderId="13" xfId="0" applyNumberFormat="1" applyFont="1" applyFill="1" applyBorder="1" applyAlignment="1">
      <alignment horizontal="right" vertical="top" wrapText="1"/>
    </xf>
    <xf numFmtId="177" fontId="10" fillId="0" borderId="26" xfId="0" applyNumberFormat="1" applyFont="1" applyFill="1" applyBorder="1" applyAlignment="1">
      <alignment horizontal="center" vertical="center" wrapText="1"/>
    </xf>
    <xf numFmtId="179" fontId="16" fillId="0" borderId="22" xfId="0" applyNumberFormat="1" applyFont="1" applyFill="1" applyBorder="1" applyAlignment="1">
      <alignment vertical="top"/>
    </xf>
    <xf numFmtId="179" fontId="10" fillId="0" borderId="22" xfId="0" applyNumberFormat="1" applyFont="1" applyFill="1" applyBorder="1" applyAlignment="1">
      <alignment vertical="top"/>
    </xf>
    <xf numFmtId="41" fontId="10" fillId="0" borderId="22" xfId="0" applyNumberFormat="1" applyFont="1" applyFill="1" applyBorder="1" applyAlignment="1">
      <alignment vertical="top"/>
    </xf>
    <xf numFmtId="179" fontId="16" fillId="0" borderId="23" xfId="0" applyNumberFormat="1" applyFont="1" applyFill="1" applyBorder="1" applyAlignment="1">
      <alignment vertical="top"/>
    </xf>
    <xf numFmtId="41" fontId="10" fillId="0" borderId="42" xfId="0" applyNumberFormat="1" applyFont="1" applyFill="1" applyBorder="1" applyAlignment="1">
      <alignment horizontal="right" vertical="top" wrapText="1"/>
    </xf>
    <xf numFmtId="0" fontId="10" fillId="0" borderId="22" xfId="0" applyFont="1" applyFill="1" applyBorder="1" applyAlignment="1">
      <alignment horizontal="center" vertical="top" wrapText="1"/>
    </xf>
    <xf numFmtId="0" fontId="10" fillId="0" borderId="23" xfId="0" applyFont="1" applyFill="1" applyBorder="1" applyAlignment="1">
      <alignment horizontal="justify" vertical="top" wrapText="1"/>
    </xf>
    <xf numFmtId="0" fontId="10" fillId="0" borderId="18" xfId="0" applyFont="1" applyFill="1" applyBorder="1" applyAlignment="1">
      <alignment horizontal="center" vertical="center" wrapText="1"/>
    </xf>
    <xf numFmtId="0" fontId="10" fillId="0" borderId="17" xfId="0" applyFont="1" applyFill="1" applyBorder="1" applyAlignment="1">
      <alignment horizontal="center" vertical="center"/>
    </xf>
    <xf numFmtId="0" fontId="10" fillId="0" borderId="30" xfId="0" applyFont="1" applyFill="1" applyBorder="1" applyAlignment="1">
      <alignment horizontal="center" vertical="center"/>
    </xf>
    <xf numFmtId="177" fontId="10" fillId="0" borderId="18" xfId="0" applyNumberFormat="1" applyFont="1" applyFill="1" applyBorder="1" applyAlignment="1">
      <alignment horizontal="center" vertical="center" wrapText="1"/>
    </xf>
    <xf numFmtId="177" fontId="10" fillId="0" borderId="11" xfId="0" applyNumberFormat="1" applyFont="1" applyFill="1" applyBorder="1" applyAlignment="1">
      <alignment horizontal="center" vertical="center" wrapText="1"/>
    </xf>
    <xf numFmtId="0" fontId="10" fillId="0" borderId="17" xfId="0" applyFont="1" applyFill="1" applyBorder="1" applyAlignment="1">
      <alignment horizontal="distributed" vertical="center" wrapText="1" indent="2"/>
    </xf>
    <xf numFmtId="0" fontId="10" fillId="0" borderId="15" xfId="0" applyFont="1" applyFill="1" applyBorder="1" applyAlignment="1">
      <alignment horizontal="distributed" vertical="center" wrapText="1" indent="1"/>
    </xf>
    <xf numFmtId="0" fontId="10" fillId="0" borderId="22" xfId="0" applyFont="1" applyBorder="1" applyAlignment="1">
      <alignment horizontal="left" vertical="top" wrapText="1"/>
    </xf>
    <xf numFmtId="0" fontId="10" fillId="0" borderId="27" xfId="0" applyFont="1" applyBorder="1" applyAlignment="1">
      <alignment horizontal="left" vertical="top" wrapText="1"/>
    </xf>
    <xf numFmtId="0" fontId="15" fillId="0" borderId="10" xfId="0" applyFont="1" applyFill="1" applyBorder="1" applyAlignment="1">
      <alignment horizontal="left" vertical="top" wrapText="1"/>
    </xf>
    <xf numFmtId="0" fontId="14" fillId="0" borderId="18" xfId="0" applyFont="1" applyBorder="1">
      <alignment vertical="center"/>
    </xf>
    <xf numFmtId="0" fontId="14" fillId="0" borderId="12" xfId="0" applyFont="1" applyBorder="1">
      <alignment vertical="center"/>
    </xf>
    <xf numFmtId="0" fontId="14" fillId="0" borderId="17" xfId="0" applyFont="1" applyBorder="1" applyAlignment="1">
      <alignment horizontal="justify" vertical="top" wrapText="1"/>
    </xf>
    <xf numFmtId="0" fontId="15" fillId="0" borderId="18" xfId="0" applyFont="1" applyFill="1" applyBorder="1" applyAlignment="1">
      <alignment horizontal="distributed" vertical="top" indent="6"/>
    </xf>
    <xf numFmtId="179" fontId="16" fillId="0" borderId="0" xfId="0" applyNumberFormat="1" applyFont="1" applyFill="1" applyBorder="1" applyAlignment="1">
      <alignment vertical="top"/>
    </xf>
    <xf numFmtId="0" fontId="25" fillId="0" borderId="21" xfId="0" applyFont="1" applyFill="1" applyBorder="1" applyAlignment="1">
      <alignment horizontal="center" vertical="top" wrapText="1"/>
    </xf>
    <xf numFmtId="0" fontId="17" fillId="0" borderId="0" xfId="20" applyFont="1" applyBorder="1" applyAlignment="1">
      <alignment vertical="top"/>
    </xf>
    <xf numFmtId="179" fontId="10" fillId="0" borderId="22" xfId="20" applyNumberFormat="1" applyFont="1" applyBorder="1" applyAlignment="1">
      <alignment vertical="top"/>
    </xf>
    <xf numFmtId="0" fontId="10" fillId="0" borderId="22" xfId="20" applyNumberFormat="1" applyFont="1" applyBorder="1" applyAlignment="1">
      <alignment horizontal="justify" vertical="top" wrapText="1"/>
    </xf>
    <xf numFmtId="0" fontId="10" fillId="0" borderId="23" xfId="20" applyNumberFormat="1" applyFont="1" applyBorder="1" applyAlignment="1">
      <alignment vertical="top" wrapText="1"/>
    </xf>
    <xf numFmtId="0" fontId="10" fillId="0" borderId="22" xfId="20" applyFont="1" applyBorder="1" applyAlignment="1">
      <alignment vertical="top" wrapText="1"/>
    </xf>
    <xf numFmtId="0" fontId="10" fillId="0" borderId="22" xfId="20" applyNumberFormat="1" applyFont="1" applyFill="1" applyBorder="1" applyAlignment="1">
      <alignment horizontal="justify" vertical="top" wrapText="1"/>
    </xf>
    <xf numFmtId="0" fontId="10" fillId="0" borderId="22" xfId="20" applyNumberFormat="1" applyFont="1" applyBorder="1" applyAlignment="1">
      <alignment vertical="top" wrapText="1"/>
    </xf>
    <xf numFmtId="0" fontId="10" fillId="0" borderId="22" xfId="20" applyNumberFormat="1" applyFont="1" applyBorder="1" applyAlignment="1">
      <alignment horizontal="left" vertical="top" wrapText="1"/>
    </xf>
    <xf numFmtId="0" fontId="24" fillId="0" borderId="18" xfId="20" applyFont="1" applyBorder="1" applyAlignment="1">
      <alignment vertical="top"/>
    </xf>
    <xf numFmtId="3" fontId="14" fillId="0" borderId="17" xfId="20" applyNumberFormat="1" applyFont="1" applyBorder="1" applyAlignment="1">
      <alignment vertical="top"/>
    </xf>
    <xf numFmtId="179" fontId="24" fillId="0" borderId="22" xfId="20" applyNumberFormat="1" applyFont="1" applyBorder="1" applyAlignment="1">
      <alignment vertical="top"/>
    </xf>
    <xf numFmtId="0" fontId="29" fillId="0" borderId="28" xfId="0" applyFont="1" applyFill="1" applyBorder="1" applyAlignment="1">
      <alignment horizontal="center" vertical="center" wrapText="1"/>
    </xf>
    <xf numFmtId="0" fontId="29" fillId="0" borderId="15" xfId="0" applyFont="1" applyFill="1" applyBorder="1" applyAlignment="1">
      <alignment horizontal="center" vertical="center" wrapText="1"/>
    </xf>
    <xf numFmtId="0" fontId="29" fillId="0" borderId="0" xfId="0" applyFont="1" applyFill="1" applyAlignment="1">
      <alignment vertical="top"/>
    </xf>
    <xf numFmtId="176" fontId="29" fillId="0" borderId="28" xfId="0" applyNumberFormat="1" applyFont="1" applyFill="1" applyBorder="1" applyAlignment="1">
      <alignment horizontal="center" vertical="center" wrapText="1"/>
    </xf>
    <xf numFmtId="176" fontId="29" fillId="0" borderId="15" xfId="0" applyNumberFormat="1" applyFont="1" applyFill="1" applyBorder="1" applyAlignment="1">
      <alignment horizontal="center" vertical="center" wrapText="1"/>
    </xf>
    <xf numFmtId="176" fontId="29" fillId="0" borderId="0" xfId="0" applyNumberFormat="1" applyFont="1" applyFill="1" applyAlignment="1">
      <alignment vertical="top"/>
    </xf>
    <xf numFmtId="176" fontId="29" fillId="0" borderId="0" xfId="0" applyNumberFormat="1" applyFont="1" applyFill="1">
      <alignment vertical="center"/>
    </xf>
    <xf numFmtId="0" fontId="29" fillId="0" borderId="44" xfId="0" applyFont="1" applyFill="1" applyBorder="1" applyAlignment="1">
      <alignment horizontal="center" vertical="center" wrapText="1"/>
    </xf>
    <xf numFmtId="0" fontId="29" fillId="0" borderId="16" xfId="0" applyFont="1" applyFill="1" applyBorder="1" applyAlignment="1">
      <alignment horizontal="center" vertical="center" wrapText="1"/>
    </xf>
    <xf numFmtId="0" fontId="58" fillId="0" borderId="26" xfId="111" applyFont="1" applyBorder="1" applyAlignment="1">
      <alignment horizontal="right" vertical="center"/>
    </xf>
    <xf numFmtId="3" fontId="29" fillId="0" borderId="22" xfId="111" applyNumberFormat="1" applyFont="1" applyBorder="1" applyAlignment="1">
      <alignment horizontal="right" vertical="center"/>
    </xf>
    <xf numFmtId="3" fontId="58" fillId="0" borderId="53" xfId="111" applyNumberFormat="1" applyFont="1" applyBorder="1" applyAlignment="1">
      <alignment horizontal="right" vertical="center" wrapText="1"/>
    </xf>
    <xf numFmtId="0" fontId="58" fillId="0" borderId="22" xfId="111" applyFont="1" applyBorder="1" applyAlignment="1">
      <alignment horizontal="right" vertical="center"/>
    </xf>
    <xf numFmtId="0" fontId="10" fillId="0" borderId="15" xfId="0" applyFont="1" applyFill="1" applyBorder="1" applyAlignment="1">
      <alignment horizontal="distributed" vertical="center" wrapText="1" indent="1"/>
    </xf>
    <xf numFmtId="0" fontId="10" fillId="0" borderId="15" xfId="0" applyFont="1" applyFill="1" applyBorder="1" applyAlignment="1">
      <alignment horizontal="center" vertical="center" wrapText="1"/>
    </xf>
    <xf numFmtId="0" fontId="10" fillId="0" borderId="11" xfId="0" applyFont="1" applyFill="1" applyBorder="1" applyAlignment="1">
      <alignment horizontal="left" vertical="top" wrapText="1"/>
    </xf>
    <xf numFmtId="0" fontId="10" fillId="0" borderId="13" xfId="0" applyFont="1" applyFill="1" applyBorder="1" applyAlignment="1">
      <alignment horizontal="left" vertical="top" wrapText="1"/>
    </xf>
    <xf numFmtId="0" fontId="14" fillId="0" borderId="15" xfId="0" applyFont="1" applyFill="1" applyBorder="1" applyAlignment="1">
      <alignment horizontal="center" vertical="center" wrapText="1"/>
    </xf>
    <xf numFmtId="177" fontId="10" fillId="0" borderId="15" xfId="0" applyNumberFormat="1" applyFont="1" applyFill="1" applyBorder="1" applyAlignment="1">
      <alignment horizontal="center" vertical="center" wrapText="1"/>
    </xf>
    <xf numFmtId="0" fontId="10" fillId="0" borderId="22" xfId="0" applyFont="1" applyFill="1" applyBorder="1" applyAlignment="1">
      <alignment vertical="top" wrapText="1"/>
    </xf>
    <xf numFmtId="0" fontId="16" fillId="0" borderId="17" xfId="0" applyFont="1" applyFill="1" applyBorder="1" applyAlignment="1">
      <alignment horizontal="justify" vertical="top" wrapText="1"/>
    </xf>
    <xf numFmtId="0" fontId="19" fillId="25" borderId="0" xfId="0" applyFont="1" applyFill="1" applyAlignment="1">
      <alignment vertical="top"/>
    </xf>
    <xf numFmtId="0" fontId="41" fillId="0" borderId="0" xfId="22" applyFill="1" applyAlignment="1">
      <alignment vertical="top"/>
    </xf>
    <xf numFmtId="183" fontId="41" fillId="0" borderId="0" xfId="22" applyNumberFormat="1" applyFill="1" applyAlignment="1">
      <alignment vertical="top"/>
    </xf>
    <xf numFmtId="0" fontId="10" fillId="0" borderId="0" xfId="0" applyFont="1" applyFill="1" applyAlignment="1">
      <alignment vertical="top"/>
    </xf>
    <xf numFmtId="179" fontId="10" fillId="0" borderId="0" xfId="0" applyNumberFormat="1" applyFont="1" applyFill="1" applyBorder="1" applyAlignment="1">
      <alignment vertical="top"/>
    </xf>
    <xf numFmtId="0" fontId="74" fillId="0" borderId="27" xfId="0" applyFont="1" applyFill="1" applyBorder="1" applyAlignment="1">
      <alignment horizontal="justify" vertical="top" wrapText="1"/>
    </xf>
    <xf numFmtId="41" fontId="16" fillId="0" borderId="0" xfId="0" applyNumberFormat="1" applyFont="1" applyFill="1" applyAlignment="1">
      <alignment vertical="top"/>
    </xf>
    <xf numFmtId="0" fontId="10" fillId="0" borderId="22" xfId="0" applyFont="1" applyBorder="1" applyAlignment="1">
      <alignment horizontal="left" vertical="top" wrapText="1"/>
    </xf>
    <xf numFmtId="0" fontId="10" fillId="0" borderId="11" xfId="0" applyFont="1" applyFill="1" applyBorder="1" applyAlignment="1">
      <alignment horizontal="left" vertical="top" wrapText="1"/>
    </xf>
    <xf numFmtId="0" fontId="10" fillId="0" borderId="27" xfId="0" applyFont="1" applyBorder="1" applyAlignment="1">
      <alignment horizontal="left" vertical="top" wrapText="1"/>
    </xf>
    <xf numFmtId="0" fontId="10" fillId="0" borderId="19" xfId="20" applyFont="1" applyFill="1" applyBorder="1" applyAlignment="1">
      <alignment horizontal="distributed" vertical="center" indent="2"/>
    </xf>
    <xf numFmtId="3" fontId="10" fillId="0" borderId="14" xfId="20" applyNumberFormat="1" applyFont="1" applyFill="1" applyBorder="1" applyAlignment="1">
      <alignment vertical="top"/>
    </xf>
    <xf numFmtId="0" fontId="16" fillId="0" borderId="17" xfId="20" applyFont="1" applyFill="1" applyBorder="1" applyAlignment="1">
      <alignment vertical="top" wrapText="1"/>
    </xf>
    <xf numFmtId="0" fontId="16" fillId="0" borderId="17" xfId="0" applyFont="1" applyFill="1" applyBorder="1" applyAlignment="1">
      <alignment vertical="top" wrapText="1"/>
    </xf>
    <xf numFmtId="0" fontId="10" fillId="0" borderId="17" xfId="0" applyFont="1" applyFill="1" applyBorder="1" applyAlignment="1">
      <alignment vertical="top" wrapText="1"/>
    </xf>
    <xf numFmtId="0" fontId="84" fillId="0" borderId="17" xfId="0" applyFont="1" applyFill="1" applyBorder="1" applyAlignment="1">
      <alignment horizontal="left" vertical="top" wrapText="1"/>
    </xf>
    <xf numFmtId="0" fontId="69" fillId="0" borderId="17" xfId="0" applyFont="1" applyFill="1" applyBorder="1" applyAlignment="1">
      <alignment horizontal="left" vertical="top" wrapText="1"/>
    </xf>
    <xf numFmtId="0" fontId="69" fillId="0" borderId="17" xfId="0" applyNumberFormat="1" applyFont="1" applyFill="1" applyBorder="1" applyAlignment="1">
      <alignment vertical="top" wrapText="1"/>
    </xf>
    <xf numFmtId="178" fontId="29" fillId="0" borderId="18" xfId="21" applyNumberFormat="1" applyFont="1" applyFill="1" applyBorder="1" applyAlignment="1">
      <alignment horizontal="right" vertical="top" wrapText="1"/>
    </xf>
    <xf numFmtId="0" fontId="10" fillId="0" borderId="0" xfId="0" applyFont="1" applyFill="1" applyAlignment="1">
      <alignment vertical="top"/>
    </xf>
    <xf numFmtId="0" fontId="10" fillId="0" borderId="22" xfId="0" applyFont="1" applyFill="1" applyBorder="1" applyAlignment="1">
      <alignment vertical="center"/>
    </xf>
    <xf numFmtId="0" fontId="10" fillId="0" borderId="23" xfId="0" applyFont="1" applyFill="1" applyBorder="1" applyAlignment="1">
      <alignment vertical="center"/>
    </xf>
    <xf numFmtId="179" fontId="16" fillId="0" borderId="0" xfId="0" applyNumberFormat="1" applyFont="1" applyFill="1" applyAlignment="1">
      <alignment vertical="top"/>
    </xf>
    <xf numFmtId="0" fontId="85" fillId="0" borderId="0" xfId="111" applyFont="1"/>
    <xf numFmtId="43" fontId="37" fillId="0" borderId="0" xfId="111" applyNumberFormat="1" applyFont="1"/>
    <xf numFmtId="0" fontId="10" fillId="0" borderId="0" xfId="0" applyFont="1" applyAlignment="1">
      <alignment vertical="top"/>
    </xf>
    <xf numFmtId="176" fontId="37" fillId="25" borderId="0" xfId="111" applyNumberFormat="1" applyFont="1" applyFill="1"/>
    <xf numFmtId="0" fontId="85" fillId="25" borderId="0" xfId="111" applyFont="1" applyFill="1" applyAlignment="1">
      <alignment vertical="center"/>
    </xf>
    <xf numFmtId="0" fontId="14" fillId="0" borderId="11" xfId="0" applyFont="1" applyFill="1" applyBorder="1" applyAlignment="1">
      <alignment horizontal="left" vertical="top" wrapText="1"/>
    </xf>
    <xf numFmtId="0" fontId="72" fillId="0" borderId="0" xfId="111" applyFont="1" applyAlignment="1">
      <alignment vertical="center"/>
    </xf>
    <xf numFmtId="0" fontId="10" fillId="0" borderId="0" xfId="0" applyFont="1" applyAlignment="1">
      <alignment vertical="top"/>
    </xf>
    <xf numFmtId="0" fontId="10" fillId="0" borderId="0" xfId="112" applyFont="1" applyAlignment="1">
      <alignment vertical="top"/>
    </xf>
    <xf numFmtId="0" fontId="14" fillId="0" borderId="33" xfId="112" applyFont="1" applyBorder="1" applyAlignment="1">
      <alignment horizontal="distributed" vertical="center" wrapText="1"/>
    </xf>
    <xf numFmtId="0" fontId="14" fillId="0" borderId="34" xfId="112" applyFont="1" applyBorder="1" applyAlignment="1">
      <alignment horizontal="distributed" vertical="center" wrapText="1"/>
    </xf>
    <xf numFmtId="0" fontId="10" fillId="0" borderId="0" xfId="112" applyFont="1" applyAlignment="1">
      <alignment vertical="center"/>
    </xf>
    <xf numFmtId="0" fontId="86" fillId="0" borderId="0" xfId="112" applyFont="1" applyAlignment="1">
      <alignment vertical="top"/>
    </xf>
    <xf numFmtId="0" fontId="87" fillId="0" borderId="0" xfId="112" applyFont="1" applyAlignment="1">
      <alignment vertical="top"/>
    </xf>
    <xf numFmtId="0" fontId="16" fillId="0" borderId="0" xfId="112" applyFont="1" applyAlignment="1">
      <alignment vertical="top"/>
    </xf>
    <xf numFmtId="0" fontId="14" fillId="0" borderId="17" xfId="112" applyFont="1" applyBorder="1" applyAlignment="1">
      <alignment vertical="top"/>
    </xf>
    <xf numFmtId="3" fontId="89" fillId="0" borderId="18" xfId="113" applyNumberFormat="1" applyFont="1" applyBorder="1" applyAlignment="1">
      <alignment vertical="top"/>
    </xf>
    <xf numFmtId="179" fontId="10" fillId="0" borderId="18" xfId="112" applyNumberFormat="1" applyFont="1" applyBorder="1" applyAlignment="1">
      <alignment vertical="top"/>
    </xf>
    <xf numFmtId="3" fontId="88" fillId="0" borderId="18" xfId="113" applyNumberFormat="1" applyFont="1" applyBorder="1" applyAlignment="1">
      <alignment vertical="top"/>
    </xf>
    <xf numFmtId="179" fontId="10" fillId="0" borderId="27" xfId="112" applyNumberFormat="1" applyFont="1" applyBorder="1" applyAlignment="1">
      <alignment vertical="top"/>
    </xf>
    <xf numFmtId="179" fontId="16" fillId="0" borderId="18" xfId="112" applyNumberFormat="1" applyFont="1" applyBorder="1" applyAlignment="1">
      <alignment vertical="top"/>
    </xf>
    <xf numFmtId="179" fontId="16" fillId="0" borderId="12" xfId="112" applyNumberFormat="1" applyFont="1" applyBorder="1" applyAlignment="1">
      <alignment vertical="top"/>
    </xf>
    <xf numFmtId="0" fontId="37" fillId="0" borderId="0" xfId="112" applyFont="1" applyAlignment="1">
      <alignment vertical="top"/>
    </xf>
    <xf numFmtId="0" fontId="14" fillId="0" borderId="24" xfId="112" applyFont="1" applyBorder="1" applyAlignment="1">
      <alignment horizontal="distributed" vertical="center" wrapText="1"/>
    </xf>
    <xf numFmtId="179" fontId="10" fillId="0" borderId="15" xfId="112" applyNumberFormat="1" applyFont="1" applyFill="1" applyBorder="1" applyAlignment="1">
      <alignment horizontal="center" vertical="center"/>
    </xf>
    <xf numFmtId="179" fontId="10" fillId="0" borderId="15" xfId="112" applyNumberFormat="1" applyFont="1" applyFill="1" applyBorder="1" applyAlignment="1">
      <alignment horizontal="right" vertical="center"/>
    </xf>
    <xf numFmtId="41" fontId="10" fillId="0" borderId="30" xfId="112" applyNumberFormat="1" applyFont="1" applyFill="1" applyBorder="1" applyAlignment="1">
      <alignment horizontal="right" vertical="center"/>
    </xf>
    <xf numFmtId="179" fontId="10" fillId="0" borderId="25" xfId="112" applyNumberFormat="1" applyFont="1" applyFill="1" applyBorder="1" applyAlignment="1">
      <alignment horizontal="right" vertical="center"/>
    </xf>
    <xf numFmtId="179" fontId="10" fillId="0" borderId="0" xfId="112" applyNumberFormat="1" applyFont="1" applyFill="1" applyBorder="1" applyAlignment="1">
      <alignment horizontal="center" vertical="center"/>
    </xf>
    <xf numFmtId="179" fontId="10" fillId="0" borderId="27" xfId="112" applyNumberFormat="1" applyFont="1" applyFill="1" applyBorder="1" applyAlignment="1">
      <alignment horizontal="right" vertical="center"/>
    </xf>
    <xf numFmtId="41" fontId="10" fillId="0" borderId="18" xfId="112" applyNumberFormat="1" applyFont="1" applyFill="1" applyBorder="1" applyAlignment="1">
      <alignment horizontal="right" vertical="center"/>
    </xf>
    <xf numFmtId="41" fontId="10" fillId="0" borderId="0" xfId="112" applyNumberFormat="1" applyFont="1" applyFill="1" applyBorder="1" applyAlignment="1">
      <alignment horizontal="right" vertical="center"/>
    </xf>
    <xf numFmtId="179" fontId="10" fillId="0" borderId="18" xfId="112" applyNumberFormat="1" applyFont="1" applyFill="1" applyBorder="1" applyAlignment="1">
      <alignment horizontal="right" vertical="center"/>
    </xf>
    <xf numFmtId="0" fontId="14" fillId="0" borderId="21" xfId="112" applyFont="1" applyBorder="1" applyAlignment="1">
      <alignment horizontal="center" vertical="top"/>
    </xf>
    <xf numFmtId="179" fontId="10" fillId="0" borderId="12" xfId="112" applyNumberFormat="1" applyFont="1" applyBorder="1" applyAlignment="1">
      <alignment vertical="top"/>
    </xf>
    <xf numFmtId="179" fontId="10" fillId="0" borderId="18" xfId="112" applyNumberFormat="1" applyFont="1" applyFill="1" applyBorder="1" applyAlignment="1">
      <alignment horizontal="center" vertical="center"/>
    </xf>
    <xf numFmtId="0" fontId="10" fillId="0" borderId="11" xfId="0" applyFont="1" applyFill="1" applyBorder="1" applyAlignment="1">
      <alignment horizontal="left" vertical="top" wrapText="1"/>
    </xf>
    <xf numFmtId="179" fontId="10" fillId="0" borderId="32" xfId="112" applyNumberFormat="1" applyFont="1" applyBorder="1" applyAlignment="1">
      <alignment vertical="top"/>
    </xf>
    <xf numFmtId="179" fontId="10" fillId="0" borderId="22" xfId="112" applyNumberFormat="1" applyFont="1" applyBorder="1" applyAlignment="1">
      <alignment vertical="top"/>
    </xf>
    <xf numFmtId="179" fontId="16" fillId="0" borderId="23" xfId="112" applyNumberFormat="1" applyFont="1" applyBorder="1" applyAlignment="1">
      <alignment vertical="top"/>
    </xf>
    <xf numFmtId="49" fontId="10" fillId="0" borderId="27" xfId="112" applyNumberFormat="1" applyFont="1" applyFill="1" applyBorder="1" applyAlignment="1">
      <alignment vertical="top" wrapText="1"/>
    </xf>
    <xf numFmtId="179" fontId="10" fillId="0" borderId="0" xfId="112" applyNumberFormat="1" applyFont="1" applyFill="1" applyBorder="1" applyAlignment="1">
      <alignment horizontal="right" vertical="center" wrapText="1"/>
    </xf>
    <xf numFmtId="179" fontId="10" fillId="0" borderId="30" xfId="112" applyNumberFormat="1" applyFont="1" applyFill="1" applyBorder="1" applyAlignment="1">
      <alignment horizontal="right" vertical="center"/>
    </xf>
    <xf numFmtId="3" fontId="89" fillId="0" borderId="18" xfId="113" applyNumberFormat="1" applyFont="1" applyFill="1" applyBorder="1" applyAlignment="1">
      <alignment horizontal="center" vertical="top"/>
    </xf>
    <xf numFmtId="41" fontId="10" fillId="0" borderId="30" xfId="112" applyNumberFormat="1" applyFont="1" applyFill="1" applyBorder="1" applyAlignment="1">
      <alignment horizontal="right" vertical="top"/>
    </xf>
    <xf numFmtId="179" fontId="10" fillId="0" borderId="18" xfId="112" applyNumberFormat="1" applyFont="1" applyFill="1" applyBorder="1" applyAlignment="1">
      <alignment horizontal="right" vertical="top"/>
    </xf>
    <xf numFmtId="0" fontId="85" fillId="25" borderId="0" xfId="111" applyFont="1" applyFill="1"/>
    <xf numFmtId="0" fontId="10" fillId="0" borderId="0" xfId="0" applyFont="1" applyFill="1" applyAlignment="1">
      <alignment vertical="top"/>
    </xf>
    <xf numFmtId="178" fontId="29" fillId="0" borderId="0" xfId="0" applyNumberFormat="1" applyFont="1" applyFill="1" applyBorder="1" applyAlignment="1">
      <alignment horizontal="right" vertical="top" wrapText="1"/>
    </xf>
    <xf numFmtId="43" fontId="58" fillId="0" borderId="12" xfId="0" applyNumberFormat="1" applyFont="1" applyFill="1" applyBorder="1" applyAlignment="1">
      <alignment horizontal="right" vertical="top" wrapText="1"/>
    </xf>
    <xf numFmtId="0" fontId="16" fillId="0" borderId="31" xfId="0" applyFont="1" applyFill="1" applyBorder="1" applyAlignment="1">
      <alignment horizontal="justify" vertical="top"/>
    </xf>
    <xf numFmtId="0" fontId="16" fillId="0" borderId="31" xfId="0" applyFont="1" applyFill="1" applyBorder="1" applyAlignment="1">
      <alignment vertical="top"/>
    </xf>
    <xf numFmtId="49" fontId="38" fillId="0" borderId="32" xfId="0" applyNumberFormat="1" applyFont="1" applyBorder="1" applyAlignment="1">
      <alignment vertical="top" wrapText="1"/>
    </xf>
    <xf numFmtId="0" fontId="10" fillId="0" borderId="0" xfId="0" applyFont="1" applyFill="1" applyAlignment="1">
      <alignment vertical="top"/>
    </xf>
    <xf numFmtId="0" fontId="87" fillId="0" borderId="0" xfId="0" applyFont="1" applyFill="1" applyAlignment="1">
      <alignment vertical="top"/>
    </xf>
    <xf numFmtId="10" fontId="16" fillId="0" borderId="0" xfId="0" applyNumberFormat="1" applyFont="1" applyFill="1" applyAlignment="1">
      <alignment vertical="top"/>
    </xf>
    <xf numFmtId="3" fontId="16" fillId="0" borderId="0" xfId="0" applyNumberFormat="1" applyFont="1" applyFill="1" applyAlignment="1">
      <alignment vertical="top"/>
    </xf>
    <xf numFmtId="0" fontId="10" fillId="0" borderId="0" xfId="0" applyFont="1" applyFill="1" applyAlignment="1">
      <alignment vertical="top"/>
    </xf>
    <xf numFmtId="0" fontId="10" fillId="0" borderId="0" xfId="0" applyFont="1" applyFill="1" applyAlignment="1">
      <alignment vertical="top"/>
    </xf>
    <xf numFmtId="0" fontId="14" fillId="0" borderId="11" xfId="0" applyFont="1" applyFill="1" applyBorder="1" applyAlignment="1">
      <alignment vertical="top" wrapText="1"/>
    </xf>
    <xf numFmtId="0" fontId="10" fillId="0" borderId="0" xfId="0" applyFont="1" applyFill="1" applyAlignment="1">
      <alignment vertical="top"/>
    </xf>
    <xf numFmtId="0" fontId="15" fillId="0" borderId="17" xfId="0" applyFont="1" applyBorder="1" applyAlignment="1">
      <alignment vertical="top" wrapText="1"/>
    </xf>
    <xf numFmtId="0" fontId="10" fillId="0" borderId="23" xfId="20" applyNumberFormat="1" applyFont="1" applyFill="1" applyBorder="1" applyAlignment="1">
      <alignment horizontal="left" vertical="top" wrapText="1"/>
    </xf>
    <xf numFmtId="0" fontId="10" fillId="0" borderId="22" xfId="20" applyNumberFormat="1" applyFont="1" applyFill="1" applyBorder="1" applyAlignment="1">
      <alignment horizontal="left" vertical="top" wrapText="1"/>
    </xf>
    <xf numFmtId="0" fontId="3" fillId="0" borderId="0" xfId="213">
      <alignment vertical="center"/>
    </xf>
    <xf numFmtId="200" fontId="16" fillId="0" borderId="18" xfId="213" applyNumberFormat="1" applyFont="1" applyFill="1" applyBorder="1" applyAlignment="1">
      <alignment horizontal="center" vertical="center" wrapText="1"/>
    </xf>
    <xf numFmtId="0" fontId="3" fillId="0" borderId="0" xfId="213" applyFill="1">
      <alignment vertical="center"/>
    </xf>
    <xf numFmtId="200" fontId="10" fillId="0" borderId="18" xfId="213" applyNumberFormat="1" applyFont="1" applyFill="1" applyBorder="1" applyAlignment="1">
      <alignment horizontal="center" vertical="center" wrapText="1"/>
    </xf>
    <xf numFmtId="200" fontId="16" fillId="0" borderId="12" xfId="213" applyNumberFormat="1" applyFont="1" applyFill="1" applyBorder="1" applyAlignment="1">
      <alignment horizontal="center" vertical="center" wrapText="1"/>
    </xf>
    <xf numFmtId="0" fontId="38" fillId="28" borderId="17" xfId="213" applyFont="1" applyFill="1" applyBorder="1" applyAlignment="1">
      <alignment horizontal="left" vertical="center"/>
    </xf>
    <xf numFmtId="43" fontId="16" fillId="28" borderId="21" xfId="213" applyNumberFormat="1" applyFont="1" applyFill="1" applyBorder="1" applyAlignment="1">
      <alignment horizontal="left" vertical="center"/>
    </xf>
    <xf numFmtId="41" fontId="21" fillId="28" borderId="30" xfId="214" applyNumberFormat="1" applyFont="1" applyFill="1" applyBorder="1" applyAlignment="1">
      <alignment vertical="center"/>
    </xf>
    <xf numFmtId="41" fontId="21" fillId="28" borderId="30" xfId="214" applyNumberFormat="1" applyFont="1" applyFill="1" applyBorder="1" applyAlignment="1">
      <alignment horizontal="right" vertical="center"/>
    </xf>
    <xf numFmtId="41" fontId="38" fillId="28" borderId="30" xfId="214" applyNumberFormat="1" applyFont="1" applyFill="1" applyBorder="1" applyAlignment="1">
      <alignment horizontal="right" vertical="center"/>
    </xf>
    <xf numFmtId="41" fontId="38" fillId="28" borderId="30" xfId="213" applyNumberFormat="1" applyFont="1" applyFill="1" applyBorder="1" applyAlignment="1">
      <alignment horizontal="right" vertical="center"/>
    </xf>
    <xf numFmtId="41" fontId="16" fillId="28" borderId="31" xfId="213" applyNumberFormat="1" applyFont="1" applyFill="1" applyBorder="1" applyAlignment="1">
      <alignment horizontal="right" vertical="center"/>
    </xf>
    <xf numFmtId="41" fontId="3" fillId="0" borderId="0" xfId="213" applyNumberFormat="1">
      <alignment vertical="center"/>
    </xf>
    <xf numFmtId="41" fontId="21" fillId="0" borderId="11" xfId="214" applyNumberFormat="1" applyFont="1" applyFill="1" applyBorder="1" applyAlignment="1">
      <alignment vertical="center"/>
    </xf>
    <xf numFmtId="41" fontId="38" fillId="0" borderId="11" xfId="214" applyNumberFormat="1" applyFont="1" applyFill="1" applyBorder="1" applyAlignment="1">
      <alignment vertical="center"/>
    </xf>
    <xf numFmtId="0" fontId="10" fillId="0" borderId="11" xfId="0" applyFont="1" applyFill="1" applyBorder="1" applyAlignment="1">
      <alignment horizontal="left" vertical="top" wrapText="1"/>
    </xf>
    <xf numFmtId="0" fontId="10" fillId="0" borderId="22" xfId="0" applyFont="1" applyFill="1" applyBorder="1" applyAlignment="1">
      <alignment vertical="top" wrapText="1"/>
    </xf>
    <xf numFmtId="0" fontId="37" fillId="25" borderId="0" xfId="111" applyFont="1" applyFill="1"/>
    <xf numFmtId="0" fontId="14" fillId="0" borderId="0" xfId="0" applyFont="1" applyFill="1" applyBorder="1" applyAlignment="1">
      <alignment horizontal="justify" vertical="top" wrapText="1"/>
    </xf>
    <xf numFmtId="41" fontId="58" fillId="0" borderId="12" xfId="21" applyNumberFormat="1" applyFont="1" applyFill="1" applyBorder="1" applyAlignment="1">
      <alignment horizontal="right" vertical="top" wrapText="1"/>
    </xf>
    <xf numFmtId="181" fontId="34" fillId="0" borderId="0" xfId="0" applyNumberFormat="1" applyFont="1" applyFill="1" applyBorder="1" applyAlignment="1">
      <alignment horizontal="right" vertical="top" wrapText="1"/>
    </xf>
    <xf numFmtId="181" fontId="78" fillId="0" borderId="0" xfId="0" applyNumberFormat="1" applyFont="1" applyFill="1" applyBorder="1" applyAlignment="1">
      <alignment horizontal="right" vertical="top" wrapText="1"/>
    </xf>
    <xf numFmtId="41" fontId="29" fillId="0" borderId="12" xfId="21" applyNumberFormat="1" applyFont="1" applyFill="1" applyBorder="1" applyAlignment="1">
      <alignment horizontal="right" vertical="top" wrapText="1"/>
    </xf>
    <xf numFmtId="41" fontId="29" fillId="0" borderId="13" xfId="21" applyNumberFormat="1" applyFont="1" applyFill="1" applyBorder="1" applyAlignment="1">
      <alignment horizontal="right" vertical="top" wrapText="1"/>
    </xf>
    <xf numFmtId="0" fontId="10" fillId="0" borderId="22" xfId="0" applyFont="1" applyBorder="1" applyAlignment="1">
      <alignment horizontal="left" vertical="top" wrapText="1"/>
    </xf>
    <xf numFmtId="0" fontId="10" fillId="0" borderId="22" xfId="0" applyFont="1" applyBorder="1" applyAlignment="1">
      <alignment vertical="top" wrapText="1"/>
    </xf>
    <xf numFmtId="0" fontId="10" fillId="0" borderId="22" xfId="0" applyFont="1" applyFill="1" applyBorder="1" applyAlignment="1">
      <alignment horizontal="left" vertical="top" wrapText="1"/>
    </xf>
    <xf numFmtId="0" fontId="10" fillId="0" borderId="0" xfId="0" applyFont="1" applyFill="1" applyBorder="1" applyAlignment="1">
      <alignment vertical="top" wrapText="1"/>
    </xf>
    <xf numFmtId="0" fontId="10" fillId="0" borderId="22" xfId="0" applyFont="1" applyFill="1" applyBorder="1" applyAlignment="1">
      <alignment vertical="top" wrapText="1"/>
    </xf>
    <xf numFmtId="0" fontId="10" fillId="0" borderId="0" xfId="0" applyFont="1" applyBorder="1" applyAlignment="1">
      <alignment horizontal="left" vertical="top" wrapText="1"/>
    </xf>
    <xf numFmtId="0" fontId="10" fillId="0" borderId="0" xfId="0" applyFont="1" applyFill="1" applyBorder="1" applyAlignment="1">
      <alignment horizontal="left" vertical="top" wrapText="1"/>
    </xf>
    <xf numFmtId="179" fontId="10" fillId="0" borderId="21" xfId="0" applyNumberFormat="1" applyFont="1" applyFill="1" applyBorder="1" applyAlignment="1">
      <alignment horizontal="right" vertical="top" wrapText="1"/>
    </xf>
    <xf numFmtId="41" fontId="16" fillId="0" borderId="12" xfId="0" applyNumberFormat="1" applyFont="1" applyFill="1" applyBorder="1" applyAlignment="1">
      <alignment horizontal="right" vertical="top" wrapText="1"/>
    </xf>
    <xf numFmtId="41" fontId="16" fillId="0" borderId="13" xfId="0" applyNumberFormat="1" applyFont="1" applyFill="1" applyBorder="1" applyAlignment="1">
      <alignment horizontal="right" vertical="top" wrapText="1"/>
    </xf>
    <xf numFmtId="0" fontId="20" fillId="0" borderId="17" xfId="213" applyFont="1" applyFill="1" applyBorder="1" applyAlignment="1">
      <alignment horizontal="left" vertical="center" wrapText="1"/>
    </xf>
    <xf numFmtId="0" fontId="20" fillId="0" borderId="14" xfId="213" applyFont="1" applyFill="1" applyBorder="1" applyAlignment="1">
      <alignment horizontal="left" vertical="center" wrapText="1"/>
    </xf>
    <xf numFmtId="0" fontId="20" fillId="28" borderId="17" xfId="213" applyFont="1" applyFill="1" applyBorder="1" applyAlignment="1">
      <alignment horizontal="left" vertical="center" wrapText="1"/>
    </xf>
    <xf numFmtId="43" fontId="14" fillId="28" borderId="17" xfId="213" applyNumberFormat="1" applyFont="1" applyFill="1" applyBorder="1" applyAlignment="1">
      <alignment vertical="center" wrapText="1"/>
    </xf>
    <xf numFmtId="0" fontId="57" fillId="0" borderId="65" xfId="213" applyFont="1" applyFill="1" applyBorder="1" applyAlignment="1">
      <alignment horizontal="distributed" vertical="center" wrapText="1"/>
    </xf>
    <xf numFmtId="0" fontId="57" fillId="0" borderId="46" xfId="213" applyFont="1" applyFill="1" applyBorder="1" applyAlignment="1">
      <alignment horizontal="distributed" vertical="center" wrapText="1"/>
    </xf>
    <xf numFmtId="49" fontId="57" fillId="0" borderId="65" xfId="213" applyNumberFormat="1" applyFont="1" applyFill="1" applyBorder="1" applyAlignment="1">
      <alignment horizontal="distributed" vertical="center" wrapText="1"/>
    </xf>
    <xf numFmtId="41" fontId="38" fillId="0" borderId="13" xfId="214" applyNumberFormat="1" applyFont="1" applyFill="1" applyBorder="1" applyAlignment="1">
      <alignment vertical="center"/>
    </xf>
    <xf numFmtId="3" fontId="14" fillId="0" borderId="14" xfId="112" applyNumberFormat="1" applyFont="1" applyFill="1" applyBorder="1" applyAlignment="1">
      <alignment vertical="center"/>
    </xf>
    <xf numFmtId="3" fontId="14" fillId="0" borderId="17" xfId="112" applyNumberFormat="1" applyFont="1" applyFill="1" applyBorder="1" applyAlignment="1">
      <alignment vertical="center" wrapText="1"/>
    </xf>
    <xf numFmtId="3" fontId="14" fillId="0" borderId="17" xfId="112" applyNumberFormat="1" applyFont="1" applyFill="1" applyBorder="1" applyAlignment="1">
      <alignment vertical="center"/>
    </xf>
    <xf numFmtId="3" fontId="14" fillId="0" borderId="17" xfId="112" applyNumberFormat="1" applyFont="1" applyFill="1" applyBorder="1" applyAlignment="1">
      <alignment vertical="top" wrapText="1"/>
    </xf>
    <xf numFmtId="182" fontId="68" fillId="0" borderId="0" xfId="0" applyNumberFormat="1" applyFont="1" applyFill="1" applyAlignment="1">
      <alignment vertical="top"/>
    </xf>
    <xf numFmtId="41" fontId="16" fillId="0" borderId="18" xfId="67" applyNumberFormat="1" applyFont="1" applyFill="1" applyBorder="1" applyAlignment="1">
      <alignment horizontal="right" vertical="center" wrapText="1"/>
    </xf>
    <xf numFmtId="43" fontId="14" fillId="28" borderId="17" xfId="213" applyNumberFormat="1" applyFont="1" applyFill="1" applyBorder="1" applyAlignment="1">
      <alignment horizontal="left" vertical="center" wrapText="1"/>
    </xf>
    <xf numFmtId="176" fontId="29" fillId="0" borderId="11" xfId="0" applyNumberFormat="1" applyFont="1" applyFill="1" applyBorder="1" applyAlignment="1">
      <alignment horizontal="right" vertical="top" wrapText="1"/>
    </xf>
    <xf numFmtId="0" fontId="10" fillId="0" borderId="22" xfId="20" applyNumberFormat="1" applyFont="1" applyBorder="1" applyAlignment="1">
      <alignment horizontal="justify" vertical="top" wrapText="1"/>
    </xf>
    <xf numFmtId="179" fontId="10" fillId="0" borderId="12" xfId="20" applyNumberFormat="1" applyFont="1" applyBorder="1" applyAlignment="1">
      <alignment vertical="top"/>
    </xf>
    <xf numFmtId="0" fontId="10" fillId="0" borderId="23" xfId="20" applyNumberFormat="1" applyFont="1" applyBorder="1" applyAlignment="1">
      <alignment horizontal="justify" vertical="top" wrapText="1"/>
    </xf>
    <xf numFmtId="176" fontId="29" fillId="0" borderId="18" xfId="0" applyNumberFormat="1" applyFont="1" applyFill="1" applyBorder="1" applyAlignment="1">
      <alignment horizontal="right" vertical="top" wrapText="1"/>
    </xf>
    <xf numFmtId="41" fontId="10" fillId="0" borderId="18" xfId="21" applyNumberFormat="1" applyFont="1" applyBorder="1" applyAlignment="1">
      <alignment horizontal="right" vertical="top" wrapText="1"/>
    </xf>
    <xf numFmtId="0" fontId="22" fillId="0" borderId="18" xfId="0" applyFont="1" applyFill="1" applyBorder="1" applyAlignment="1">
      <alignment horizontal="center" vertical="center" wrapText="1"/>
    </xf>
    <xf numFmtId="0" fontId="22" fillId="0" borderId="11" xfId="0" applyFont="1" applyFill="1" applyBorder="1" applyAlignment="1">
      <alignment horizontal="center" vertical="center" wrapText="1"/>
    </xf>
    <xf numFmtId="0" fontId="14" fillId="0" borderId="20" xfId="0" applyFont="1" applyFill="1" applyBorder="1" applyAlignment="1">
      <alignment horizontal="distributed" vertical="center" wrapText="1"/>
    </xf>
    <xf numFmtId="176" fontId="58" fillId="0" borderId="11" xfId="0" applyNumberFormat="1" applyFont="1" applyFill="1" applyBorder="1" applyAlignment="1">
      <alignment horizontal="right" vertical="top" wrapText="1"/>
    </xf>
    <xf numFmtId="0" fontId="10" fillId="0" borderId="0" xfId="0" applyFont="1" applyFill="1" applyAlignment="1">
      <alignment vertical="top"/>
    </xf>
    <xf numFmtId="3" fontId="10" fillId="0" borderId="0" xfId="0" applyNumberFormat="1" applyFont="1" applyFill="1" applyBorder="1" applyAlignment="1">
      <alignment vertical="top" wrapText="1"/>
    </xf>
    <xf numFmtId="0" fontId="10" fillId="0" borderId="27" xfId="0" applyFont="1" applyFill="1" applyBorder="1" applyAlignment="1">
      <alignment horizontal="left" vertical="top" wrapText="1"/>
    </xf>
    <xf numFmtId="0" fontId="10" fillId="0" borderId="22" xfId="0" applyFont="1" applyFill="1" applyBorder="1" applyAlignment="1">
      <alignment horizontal="left" vertical="top" wrapText="1"/>
    </xf>
    <xf numFmtId="0" fontId="10" fillId="0" borderId="22" xfId="0" applyFont="1" applyFill="1" applyBorder="1" applyAlignment="1">
      <alignment vertical="top" wrapText="1"/>
    </xf>
    <xf numFmtId="0" fontId="10" fillId="0" borderId="0" xfId="0" applyFont="1" applyFill="1" applyAlignment="1">
      <alignment vertical="top"/>
    </xf>
    <xf numFmtId="0" fontId="22" fillId="0" borderId="28" xfId="0" applyFont="1" applyFill="1" applyBorder="1" applyAlignment="1">
      <alignment horizontal="center" vertical="center" wrapText="1"/>
    </xf>
    <xf numFmtId="182" fontId="10" fillId="0" borderId="0" xfId="0" applyNumberFormat="1" applyFont="1" applyFill="1" applyAlignment="1">
      <alignment vertical="top"/>
    </xf>
    <xf numFmtId="0" fontId="14" fillId="0" borderId="17" xfId="0" applyFont="1" applyFill="1" applyBorder="1" applyAlignment="1">
      <alignment vertical="top" wrapText="1"/>
    </xf>
    <xf numFmtId="179" fontId="10" fillId="0" borderId="18" xfId="0" applyNumberFormat="1" applyFont="1" applyFill="1" applyBorder="1" applyAlignment="1">
      <alignment vertical="top"/>
    </xf>
    <xf numFmtId="179" fontId="10" fillId="0" borderId="12" xfId="0" applyNumberFormat="1" applyFont="1" applyFill="1" applyBorder="1" applyAlignment="1">
      <alignment vertical="top"/>
    </xf>
    <xf numFmtId="179" fontId="10" fillId="0" borderId="27" xfId="0" applyNumberFormat="1" applyFont="1" applyFill="1" applyBorder="1" applyAlignment="1">
      <alignment vertical="top"/>
    </xf>
    <xf numFmtId="179" fontId="10" fillId="0" borderId="32" xfId="0" applyNumberFormat="1" applyFont="1" applyFill="1" applyBorder="1" applyAlignment="1">
      <alignment vertical="top"/>
    </xf>
    <xf numFmtId="0" fontId="10" fillId="0" borderId="11" xfId="0" applyFont="1" applyFill="1" applyBorder="1" applyAlignment="1">
      <alignment horizontal="left" vertical="top" wrapText="1"/>
    </xf>
    <xf numFmtId="0" fontId="104" fillId="0" borderId="0" xfId="0" applyFont="1" applyAlignment="1">
      <alignment vertical="top" wrapText="1"/>
    </xf>
    <xf numFmtId="178" fontId="10" fillId="0" borderId="10" xfId="21" applyNumberFormat="1" applyFont="1" applyBorder="1" applyAlignment="1">
      <alignment horizontal="right" vertical="top" wrapText="1"/>
    </xf>
    <xf numFmtId="41" fontId="41" fillId="16" borderId="0" xfId="22" applyNumberFormat="1" applyAlignment="1">
      <alignment vertical="top"/>
    </xf>
    <xf numFmtId="0" fontId="10" fillId="0" borderId="0" xfId="0" applyFont="1" applyFill="1" applyAlignment="1">
      <alignment vertical="top"/>
    </xf>
    <xf numFmtId="2" fontId="10" fillId="0" borderId="0" xfId="0" applyNumberFormat="1" applyFont="1" applyFill="1" applyAlignment="1">
      <alignment vertical="top"/>
    </xf>
    <xf numFmtId="2" fontId="68" fillId="0" borderId="0" xfId="0" applyNumberFormat="1" applyFont="1" applyFill="1" applyAlignment="1">
      <alignment vertical="top"/>
    </xf>
    <xf numFmtId="0" fontId="10" fillId="0" borderId="0" xfId="0" applyFont="1" applyFill="1" applyAlignment="1">
      <alignment vertical="top"/>
    </xf>
    <xf numFmtId="0" fontId="10" fillId="0" borderId="0" xfId="0" applyFont="1" applyFill="1" applyAlignment="1">
      <alignment vertical="top"/>
    </xf>
    <xf numFmtId="179" fontId="10" fillId="0" borderId="30" xfId="0" applyNumberFormat="1" applyFont="1" applyBorder="1" applyAlignment="1">
      <alignment vertical="top"/>
    </xf>
    <xf numFmtId="41" fontId="10" fillId="0" borderId="18" xfId="0" applyNumberFormat="1" applyFont="1" applyBorder="1" applyAlignment="1">
      <alignment vertical="top"/>
    </xf>
    <xf numFmtId="0" fontId="14" fillId="0" borderId="11" xfId="0" applyFont="1" applyBorder="1" applyAlignment="1">
      <alignment horizontal="left" vertical="top" wrapText="1"/>
    </xf>
    <xf numFmtId="0" fontId="10" fillId="0" borderId="11" xfId="0" applyFont="1" applyFill="1" applyBorder="1" applyAlignment="1">
      <alignment horizontal="left" vertical="top" wrapText="1"/>
    </xf>
    <xf numFmtId="0" fontId="10" fillId="0" borderId="11" xfId="0" applyFont="1" applyFill="1" applyBorder="1" applyAlignment="1">
      <alignment vertical="top" wrapText="1"/>
    </xf>
    <xf numFmtId="3" fontId="10" fillId="0" borderId="13" xfId="0" applyNumberFormat="1" applyFont="1" applyFill="1" applyBorder="1" applyAlignment="1">
      <alignment horizontal="right" vertical="top" wrapText="1"/>
    </xf>
    <xf numFmtId="0" fontId="10" fillId="0" borderId="15" xfId="0" applyFont="1" applyFill="1" applyBorder="1" applyAlignment="1">
      <alignment horizontal="distributed" vertical="center" wrapText="1" indent="1"/>
    </xf>
    <xf numFmtId="0" fontId="10" fillId="0" borderId="15" xfId="0" applyFont="1" applyFill="1" applyBorder="1" applyAlignment="1">
      <alignment horizontal="center" vertical="center" wrapText="1"/>
    </xf>
    <xf numFmtId="0" fontId="10" fillId="0" borderId="0" xfId="0" applyFont="1" applyFill="1" applyBorder="1" applyAlignment="1">
      <alignment horizontal="left" vertical="center"/>
    </xf>
    <xf numFmtId="0" fontId="10" fillId="0" borderId="0" xfId="0" applyFont="1" applyFill="1" applyAlignment="1">
      <alignment vertical="top"/>
    </xf>
    <xf numFmtId="0" fontId="25" fillId="0" borderId="18" xfId="0" applyFont="1" applyFill="1" applyBorder="1" applyAlignment="1">
      <alignment horizontal="center" vertical="top" wrapText="1"/>
    </xf>
    <xf numFmtId="41" fontId="10" fillId="0" borderId="21" xfId="0" applyNumberFormat="1" applyFont="1" applyFill="1" applyBorder="1">
      <alignment vertical="center"/>
    </xf>
    <xf numFmtId="0" fontId="10" fillId="0" borderId="12" xfId="0" applyFont="1" applyFill="1" applyBorder="1">
      <alignment vertical="center"/>
    </xf>
    <xf numFmtId="0" fontId="10" fillId="0" borderId="13" xfId="0" applyFont="1" applyFill="1" applyBorder="1">
      <alignment vertical="center"/>
    </xf>
    <xf numFmtId="0" fontId="10" fillId="0" borderId="0" xfId="0" applyFont="1" applyFill="1" applyAlignment="1">
      <alignment vertical="top"/>
    </xf>
    <xf numFmtId="0" fontId="10" fillId="0" borderId="0" xfId="0" applyFont="1" applyFill="1" applyAlignment="1">
      <alignment vertical="top"/>
    </xf>
    <xf numFmtId="0" fontId="15" fillId="0" borderId="17" xfId="20" applyFont="1" applyBorder="1" applyAlignment="1">
      <alignment horizontal="left" vertical="top" wrapText="1" indent="1"/>
    </xf>
    <xf numFmtId="0" fontId="14" fillId="0" borderId="17" xfId="0" applyFont="1" applyBorder="1" applyAlignment="1">
      <alignment horizontal="left" vertical="top" wrapText="1" indent="3"/>
    </xf>
    <xf numFmtId="0" fontId="14" fillId="0" borderId="11" xfId="0" applyNumberFormat="1" applyFont="1" applyBorder="1" applyAlignment="1">
      <alignment horizontal="justify" vertical="top" wrapText="1"/>
    </xf>
    <xf numFmtId="179" fontId="10" fillId="0" borderId="0" xfId="20" applyNumberFormat="1" applyFont="1" applyAlignment="1">
      <alignment vertical="top"/>
    </xf>
    <xf numFmtId="0" fontId="26" fillId="0" borderId="0" xfId="20" applyFont="1" applyAlignment="1">
      <alignment vertical="top"/>
    </xf>
    <xf numFmtId="0" fontId="14" fillId="0" borderId="13" xfId="0" applyNumberFormat="1" applyFont="1" applyBorder="1" applyAlignment="1">
      <alignment horizontal="justify" vertical="top" wrapText="1"/>
    </xf>
    <xf numFmtId="0" fontId="14" fillId="0" borderId="17" xfId="0" applyFont="1" applyBorder="1" applyAlignment="1">
      <alignment horizontal="left" vertical="top" wrapText="1" indent="2"/>
    </xf>
    <xf numFmtId="179" fontId="10" fillId="0" borderId="27" xfId="0" applyNumberFormat="1" applyFont="1" applyBorder="1" applyAlignment="1">
      <alignment horizontal="right" vertical="top"/>
    </xf>
    <xf numFmtId="178" fontId="16" fillId="0" borderId="0" xfId="21" applyNumberFormat="1" applyFont="1" applyFill="1" applyAlignment="1">
      <alignment vertical="top"/>
    </xf>
    <xf numFmtId="49" fontId="21" fillId="0" borderId="0" xfId="0" applyNumberFormat="1" applyFont="1" applyBorder="1" applyAlignment="1">
      <alignment vertical="top" wrapText="1"/>
    </xf>
    <xf numFmtId="201" fontId="10" fillId="0" borderId="0" xfId="0" applyNumberFormat="1" applyFont="1" applyFill="1" applyAlignment="1">
      <alignment vertical="top"/>
    </xf>
    <xf numFmtId="182" fontId="14" fillId="0" borderId="0" xfId="0" applyNumberFormat="1" applyFont="1" applyFill="1" applyBorder="1" applyAlignment="1">
      <alignment vertical="top" wrapText="1"/>
    </xf>
    <xf numFmtId="182" fontId="14" fillId="0" borderId="22" xfId="0" applyNumberFormat="1" applyFont="1" applyFill="1" applyBorder="1" applyAlignment="1">
      <alignment vertical="top" wrapText="1"/>
    </xf>
    <xf numFmtId="0" fontId="86" fillId="0" borderId="0" xfId="0" applyFont="1" applyFill="1" applyAlignment="1">
      <alignment vertical="top" wrapText="1"/>
    </xf>
    <xf numFmtId="49" fontId="21" fillId="0" borderId="27" xfId="0" applyNumberFormat="1" applyFont="1" applyBorder="1" applyAlignment="1">
      <alignment wrapText="1"/>
    </xf>
    <xf numFmtId="0" fontId="86" fillId="0" borderId="0" xfId="0" applyFont="1" applyFill="1" applyAlignment="1">
      <alignment vertical="top"/>
    </xf>
    <xf numFmtId="181" fontId="10" fillId="0" borderId="31" xfId="0" applyNumberFormat="1" applyFont="1" applyFill="1" applyBorder="1" applyAlignment="1">
      <alignment vertical="top"/>
    </xf>
    <xf numFmtId="0" fontId="10" fillId="0" borderId="0" xfId="0" applyFont="1" applyFill="1" applyAlignment="1">
      <alignment vertical="top"/>
    </xf>
    <xf numFmtId="0" fontId="10" fillId="0" borderId="15" xfId="0" applyFont="1" applyFill="1" applyBorder="1" applyAlignment="1">
      <alignment horizontal="distributed" vertical="center" wrapText="1" indent="1"/>
    </xf>
    <xf numFmtId="0" fontId="10" fillId="0" borderId="0" xfId="0" applyFont="1" applyFill="1" applyAlignment="1">
      <alignment vertical="top"/>
    </xf>
    <xf numFmtId="0" fontId="10" fillId="0" borderId="15" xfId="0" applyFont="1" applyFill="1" applyBorder="1" applyAlignment="1">
      <alignment horizontal="center" vertical="center" wrapText="1"/>
    </xf>
    <xf numFmtId="0" fontId="14" fillId="0" borderId="24" xfId="0" applyFont="1" applyFill="1" applyBorder="1" applyAlignment="1">
      <alignment horizontal="center" vertical="center" wrapText="1"/>
    </xf>
    <xf numFmtId="0" fontId="14" fillId="0" borderId="15" xfId="0" applyFont="1" applyFill="1" applyBorder="1" applyAlignment="1">
      <alignment horizontal="center" vertical="center" wrapText="1"/>
    </xf>
    <xf numFmtId="0" fontId="10" fillId="0" borderId="0" xfId="0" applyFont="1" applyFill="1" applyAlignment="1">
      <alignment vertical="top"/>
    </xf>
    <xf numFmtId="0" fontId="10" fillId="0" borderId="0" xfId="0" applyFont="1" applyFill="1" applyAlignment="1">
      <alignment vertical="top"/>
    </xf>
    <xf numFmtId="0" fontId="10" fillId="0" borderId="0" xfId="0" applyFont="1" applyFill="1" applyAlignment="1">
      <alignment vertical="top"/>
    </xf>
    <xf numFmtId="0" fontId="15" fillId="0" borderId="17" xfId="20" applyFont="1" applyFill="1" applyBorder="1" applyAlignment="1">
      <alignment vertical="top" wrapText="1"/>
    </xf>
    <xf numFmtId="179" fontId="89" fillId="0" borderId="18" xfId="0" applyNumberFormat="1" applyFont="1" applyBorder="1" applyAlignment="1">
      <alignment horizontal="right" vertical="top"/>
    </xf>
    <xf numFmtId="0" fontId="106" fillId="0" borderId="17" xfId="0" applyFont="1" applyBorder="1" applyAlignment="1">
      <alignment horizontal="left" vertical="top" wrapText="1" indent="3"/>
    </xf>
    <xf numFmtId="0" fontId="10" fillId="0" borderId="0" xfId="0" applyFont="1" applyFill="1" applyAlignment="1">
      <alignment vertical="top"/>
    </xf>
    <xf numFmtId="0" fontId="9" fillId="0" borderId="0" xfId="0" applyFont="1" applyAlignment="1">
      <alignment vertical="center"/>
    </xf>
    <xf numFmtId="0" fontId="14" fillId="0" borderId="19" xfId="0" applyFont="1" applyFill="1" applyBorder="1" applyAlignment="1">
      <alignment horizontal="distributed" vertical="center"/>
    </xf>
    <xf numFmtId="0" fontId="14" fillId="0" borderId="24" xfId="0" applyFont="1" applyBorder="1" applyAlignment="1">
      <alignment horizontal="distributed" vertical="center" wrapText="1" indent="1"/>
    </xf>
    <xf numFmtId="41" fontId="88" fillId="0" borderId="17" xfId="0" applyNumberFormat="1" applyFont="1" applyFill="1" applyBorder="1" applyAlignment="1">
      <alignment horizontal="right" vertical="center" wrapText="1"/>
    </xf>
    <xf numFmtId="178" fontId="38" fillId="0" borderId="18" xfId="21" applyNumberFormat="1" applyFont="1" applyBorder="1" applyAlignment="1">
      <alignment horizontal="right" vertical="center" wrapText="1"/>
    </xf>
    <xf numFmtId="178" fontId="38" fillId="0" borderId="22" xfId="21" applyNumberFormat="1" applyFont="1" applyBorder="1" applyAlignment="1">
      <alignment horizontal="right" vertical="center" wrapText="1"/>
    </xf>
    <xf numFmtId="41" fontId="88" fillId="0" borderId="17" xfId="0" applyNumberFormat="1" applyFont="1" applyFill="1" applyBorder="1" applyAlignment="1">
      <alignment horizontal="right" vertical="top" wrapText="1"/>
    </xf>
    <xf numFmtId="178" fontId="38" fillId="0" borderId="18" xfId="21" applyNumberFormat="1" applyFont="1" applyBorder="1" applyAlignment="1">
      <alignment horizontal="right" vertical="top" wrapText="1"/>
    </xf>
    <xf numFmtId="41" fontId="89" fillId="0" borderId="17" xfId="0" applyNumberFormat="1" applyFont="1" applyFill="1" applyBorder="1" applyAlignment="1">
      <alignment horizontal="right" vertical="top" wrapText="1"/>
    </xf>
    <xf numFmtId="41" fontId="21" fillId="0" borderId="18" xfId="0" applyNumberFormat="1" applyFont="1" applyFill="1" applyBorder="1" applyAlignment="1">
      <alignment horizontal="right" vertical="top" wrapText="1"/>
    </xf>
    <xf numFmtId="0" fontId="86" fillId="0" borderId="0" xfId="0" applyFont="1" applyAlignment="1">
      <alignment vertical="center"/>
    </xf>
    <xf numFmtId="178" fontId="21" fillId="0" borderId="18" xfId="21" applyNumberFormat="1" applyFont="1" applyFill="1" applyBorder="1" applyAlignment="1">
      <alignment horizontal="right" vertical="top" wrapText="1"/>
    </xf>
    <xf numFmtId="41" fontId="89" fillId="0" borderId="17" xfId="0" applyNumberFormat="1" applyFont="1" applyBorder="1" applyAlignment="1">
      <alignment horizontal="right" vertical="top" wrapText="1"/>
    </xf>
    <xf numFmtId="41" fontId="88" fillId="0" borderId="17" xfId="0" applyNumberFormat="1" applyFont="1" applyBorder="1" applyAlignment="1">
      <alignment horizontal="right" vertical="top" wrapText="1"/>
    </xf>
    <xf numFmtId="178" fontId="38" fillId="0" borderId="22" xfId="21" applyNumberFormat="1" applyFont="1" applyBorder="1" applyAlignment="1">
      <alignment horizontal="right" vertical="top" wrapText="1"/>
    </xf>
    <xf numFmtId="178" fontId="21" fillId="0" borderId="18" xfId="21" applyNumberFormat="1" applyFont="1" applyBorder="1" applyAlignment="1">
      <alignment horizontal="right" vertical="top" wrapText="1"/>
    </xf>
    <xf numFmtId="41" fontId="89" fillId="0" borderId="17" xfId="0" applyNumberFormat="1" applyFont="1" applyBorder="1" applyAlignment="1">
      <alignment horizontal="right" vertical="center" wrapText="1"/>
    </xf>
    <xf numFmtId="178" fontId="21" fillId="0" borderId="18" xfId="21" applyNumberFormat="1" applyFont="1" applyBorder="1" applyAlignment="1">
      <alignment horizontal="right" vertical="center" wrapText="1"/>
    </xf>
    <xf numFmtId="41" fontId="88" fillId="0" borderId="17" xfId="0" applyNumberFormat="1" applyFont="1" applyBorder="1" applyAlignment="1">
      <alignment horizontal="right" vertical="center" wrapText="1"/>
    </xf>
    <xf numFmtId="0" fontId="10" fillId="0" borderId="18" xfId="0" applyFont="1" applyBorder="1" applyAlignment="1">
      <alignment vertical="center" wrapText="1"/>
    </xf>
    <xf numFmtId="178" fontId="38" fillId="0" borderId="21" xfId="21" applyNumberFormat="1" applyFont="1" applyBorder="1" applyAlignment="1">
      <alignment horizontal="right" vertical="center" wrapText="1"/>
    </xf>
    <xf numFmtId="178" fontId="38" fillId="0" borderId="12" xfId="21" applyNumberFormat="1" applyFont="1" applyBorder="1" applyAlignment="1">
      <alignment horizontal="right" vertical="center" wrapText="1"/>
    </xf>
    <xf numFmtId="0" fontId="16" fillId="0" borderId="23" xfId="0" applyFont="1" applyBorder="1" applyAlignment="1">
      <alignment vertical="center" wrapText="1"/>
    </xf>
    <xf numFmtId="0" fontId="10" fillId="0" borderId="0" xfId="0" applyFont="1" applyFill="1" applyAlignment="1">
      <alignment vertical="top"/>
    </xf>
    <xf numFmtId="0" fontId="10" fillId="0" borderId="11" xfId="0" applyFont="1" applyFill="1" applyBorder="1" applyAlignment="1">
      <alignment horizontal="left" vertical="top" wrapText="1"/>
    </xf>
    <xf numFmtId="0" fontId="10" fillId="0" borderId="11" xfId="0" applyFont="1" applyFill="1" applyBorder="1" applyAlignment="1">
      <alignment vertical="top" wrapText="1"/>
    </xf>
    <xf numFmtId="178" fontId="38" fillId="0" borderId="0" xfId="21" applyNumberFormat="1" applyFont="1" applyBorder="1" applyAlignment="1">
      <alignment horizontal="right" vertical="top" wrapText="1"/>
    </xf>
    <xf numFmtId="178" fontId="21" fillId="0" borderId="27" xfId="21" applyNumberFormat="1" applyFont="1" applyBorder="1" applyAlignment="1">
      <alignment horizontal="right" vertical="top" wrapText="1"/>
    </xf>
    <xf numFmtId="178" fontId="21" fillId="0" borderId="27" xfId="21" applyNumberFormat="1" applyFont="1" applyBorder="1" applyAlignment="1">
      <alignment horizontal="right" vertical="center" wrapText="1"/>
    </xf>
    <xf numFmtId="178" fontId="38" fillId="0" borderId="27" xfId="21" applyNumberFormat="1" applyFont="1" applyBorder="1" applyAlignment="1">
      <alignment horizontal="right" vertical="center" wrapText="1"/>
    </xf>
    <xf numFmtId="178" fontId="38" fillId="0" borderId="36" xfId="21" applyNumberFormat="1" applyFont="1" applyBorder="1" applyAlignment="1">
      <alignment horizontal="right" vertical="center" wrapText="1"/>
    </xf>
    <xf numFmtId="0" fontId="107" fillId="0" borderId="22" xfId="0" applyFont="1" applyFill="1" applyBorder="1" applyAlignment="1">
      <alignment horizontal="left" vertical="top" wrapText="1"/>
    </xf>
    <xf numFmtId="49" fontId="21" fillId="0" borderId="27" xfId="0" applyNumberFormat="1" applyFont="1" applyFill="1" applyBorder="1" applyAlignment="1">
      <alignment horizontal="right" vertical="top" wrapText="1"/>
    </xf>
    <xf numFmtId="0" fontId="14" fillId="0" borderId="22" xfId="0" applyFont="1" applyFill="1" applyBorder="1" applyAlignment="1">
      <alignment horizontal="left" vertical="top" wrapText="1"/>
    </xf>
    <xf numFmtId="179" fontId="24" fillId="0" borderId="26" xfId="20" applyNumberFormat="1" applyFont="1" applyFill="1" applyBorder="1" applyAlignment="1">
      <alignment vertical="top"/>
    </xf>
    <xf numFmtId="179" fontId="36" fillId="0" borderId="22" xfId="20" applyNumberFormat="1" applyFont="1" applyFill="1" applyBorder="1" applyAlignment="1">
      <alignment vertical="top"/>
    </xf>
    <xf numFmtId="0" fontId="24" fillId="0" borderId="22" xfId="0" applyNumberFormat="1" applyFont="1" applyFill="1" applyBorder="1" applyAlignment="1">
      <alignment horizontal="justify" vertical="top" wrapText="1"/>
    </xf>
    <xf numFmtId="0" fontId="24" fillId="0" borderId="23" xfId="0" applyNumberFormat="1" applyFont="1" applyFill="1" applyBorder="1" applyAlignment="1">
      <alignment horizontal="justify" vertical="top" wrapText="1"/>
    </xf>
    <xf numFmtId="0" fontId="105" fillId="0" borderId="22" xfId="0" applyNumberFormat="1" applyFont="1" applyFill="1" applyBorder="1" applyAlignment="1">
      <alignment horizontal="justify" vertical="top" wrapText="1"/>
    </xf>
    <xf numFmtId="0" fontId="24" fillId="0" borderId="22" xfId="0" applyNumberFormat="1" applyFont="1" applyFill="1" applyBorder="1" applyAlignment="1">
      <alignment vertical="center" wrapText="1"/>
    </xf>
    <xf numFmtId="0" fontId="10" fillId="0" borderId="0" xfId="0" applyFont="1" applyAlignment="1">
      <alignment vertical="center"/>
    </xf>
    <xf numFmtId="0" fontId="10" fillId="0" borderId="0" xfId="0" applyFont="1" applyBorder="1" applyAlignment="1">
      <alignment vertical="center" wrapText="1"/>
    </xf>
    <xf numFmtId="0" fontId="10" fillId="0" borderId="22" xfId="0" applyFont="1" applyBorder="1" applyAlignment="1">
      <alignment vertical="center" wrapText="1"/>
    </xf>
    <xf numFmtId="0" fontId="10" fillId="0" borderId="0" xfId="0" applyFont="1" applyBorder="1" applyAlignment="1">
      <alignment horizontal="center" vertical="center"/>
    </xf>
    <xf numFmtId="0" fontId="10" fillId="0" borderId="0" xfId="0" applyFont="1" applyFill="1" applyAlignment="1">
      <alignment vertical="top"/>
    </xf>
    <xf numFmtId="0" fontId="10" fillId="0" borderId="0" xfId="0" applyFont="1" applyAlignment="1">
      <alignment vertical="top"/>
    </xf>
    <xf numFmtId="0" fontId="14" fillId="0" borderId="43" xfId="0" applyFont="1" applyBorder="1" applyAlignment="1">
      <alignment horizontal="distributed" vertical="center" wrapText="1"/>
    </xf>
    <xf numFmtId="41" fontId="16" fillId="0" borderId="27" xfId="0" applyNumberFormat="1" applyFont="1" applyBorder="1" applyAlignment="1">
      <alignment horizontal="right" vertical="center" wrapText="1"/>
    </xf>
    <xf numFmtId="41" fontId="16" fillId="0" borderId="27" xfId="0" applyNumberFormat="1" applyFont="1" applyBorder="1" applyAlignment="1">
      <alignment horizontal="right" vertical="top" wrapText="1"/>
    </xf>
    <xf numFmtId="41" fontId="21" fillId="0" borderId="27" xfId="0" applyNumberFormat="1" applyFont="1" applyFill="1" applyBorder="1" applyAlignment="1">
      <alignment horizontal="right" vertical="top" wrapText="1"/>
    </xf>
    <xf numFmtId="178" fontId="21" fillId="0" borderId="27" xfId="21" applyNumberFormat="1" applyFont="1" applyFill="1" applyBorder="1" applyAlignment="1">
      <alignment horizontal="right" vertical="top" wrapText="1"/>
    </xf>
    <xf numFmtId="41" fontId="10" fillId="0" borderId="27" xfId="0" applyNumberFormat="1" applyFont="1" applyBorder="1" applyAlignment="1">
      <alignment horizontal="right" vertical="top" wrapText="1"/>
    </xf>
    <xf numFmtId="41" fontId="10" fillId="0" borderId="27" xfId="0" applyNumberFormat="1" applyFont="1" applyBorder="1" applyAlignment="1">
      <alignment horizontal="right" vertical="center" wrapText="1"/>
    </xf>
    <xf numFmtId="0" fontId="10" fillId="0" borderId="27" xfId="0" applyFont="1" applyBorder="1" applyAlignment="1">
      <alignment horizontal="justify" vertical="center" wrapText="1"/>
    </xf>
    <xf numFmtId="178" fontId="38" fillId="0" borderId="32" xfId="21" applyNumberFormat="1" applyFont="1" applyBorder="1" applyAlignment="1">
      <alignment horizontal="right" vertical="center" wrapText="1"/>
    </xf>
    <xf numFmtId="0" fontId="14" fillId="0" borderId="19" xfId="0" applyFont="1" applyBorder="1" applyAlignment="1">
      <alignment horizontal="distributed" vertical="center" wrapText="1" indent="1"/>
    </xf>
    <xf numFmtId="0" fontId="14" fillId="0" borderId="17" xfId="0" applyFont="1" applyFill="1" applyBorder="1" applyAlignment="1">
      <alignment vertical="top"/>
    </xf>
    <xf numFmtId="0" fontId="14" fillId="0" borderId="17" xfId="0" applyFont="1" applyBorder="1" applyAlignment="1">
      <alignment horizontal="left" vertical="center" wrapText="1"/>
    </xf>
    <xf numFmtId="0" fontId="15" fillId="0" borderId="17" xfId="0" applyFont="1" applyFill="1" applyBorder="1">
      <alignment vertical="center"/>
    </xf>
    <xf numFmtId="0" fontId="10" fillId="0" borderId="17" xfId="0" applyFont="1" applyBorder="1" applyAlignment="1">
      <alignment vertical="center" wrapText="1"/>
    </xf>
    <xf numFmtId="0" fontId="15" fillId="0" borderId="21" xfId="0" applyFont="1" applyBorder="1" applyAlignment="1">
      <alignment horizontal="center" vertical="center" wrapText="1"/>
    </xf>
    <xf numFmtId="0" fontId="14" fillId="0" borderId="63" xfId="0" applyFont="1" applyFill="1" applyBorder="1" applyAlignment="1">
      <alignment horizontal="distributed" vertical="center" wrapText="1"/>
    </xf>
    <xf numFmtId="0" fontId="14" fillId="0" borderId="30" xfId="0" applyFont="1" applyFill="1" applyBorder="1" applyAlignment="1">
      <alignment horizontal="distributed" vertical="center"/>
    </xf>
    <xf numFmtId="0" fontId="14" fillId="0" borderId="30" xfId="0" applyFont="1" applyFill="1" applyBorder="1" applyAlignment="1">
      <alignment horizontal="distributed" vertical="center" wrapText="1"/>
    </xf>
    <xf numFmtId="0" fontId="15" fillId="0" borderId="14" xfId="0" applyFont="1" applyFill="1" applyBorder="1" applyAlignment="1">
      <alignment horizontal="justify" vertical="center" wrapText="1"/>
    </xf>
    <xf numFmtId="41" fontId="16" fillId="0" borderId="29" xfId="0" applyNumberFormat="1" applyFont="1" applyFill="1" applyBorder="1" applyAlignment="1">
      <alignment horizontal="right" vertical="center" wrapText="1"/>
    </xf>
    <xf numFmtId="0" fontId="10" fillId="0" borderId="17" xfId="0" applyFont="1" applyFill="1" applyBorder="1" applyAlignment="1">
      <alignment horizontal="justify" vertical="center" wrapText="1"/>
    </xf>
    <xf numFmtId="179" fontId="10" fillId="0" borderId="30" xfId="0" applyNumberFormat="1" applyFont="1" applyFill="1" applyBorder="1" applyAlignment="1">
      <alignment horizontal="right" vertical="center" wrapText="1"/>
    </xf>
    <xf numFmtId="41" fontId="10" fillId="0" borderId="18" xfId="0" applyNumberFormat="1" applyFont="1" applyFill="1" applyBorder="1" applyAlignment="1">
      <alignment horizontal="right" vertical="center" wrapText="1"/>
    </xf>
    <xf numFmtId="3" fontId="10" fillId="0" borderId="18" xfId="0" applyNumberFormat="1" applyFont="1" applyFill="1" applyBorder="1" applyAlignment="1">
      <alignment horizontal="right" vertical="center" wrapText="1"/>
    </xf>
    <xf numFmtId="0" fontId="14" fillId="0" borderId="17" xfId="0" applyFont="1" applyFill="1" applyBorder="1" applyAlignment="1">
      <alignment horizontal="justify" vertical="center" wrapText="1"/>
    </xf>
    <xf numFmtId="41" fontId="10" fillId="0" borderId="30" xfId="0" applyNumberFormat="1" applyFont="1" applyFill="1" applyBorder="1" applyAlignment="1">
      <alignment horizontal="right" vertical="center" wrapText="1"/>
    </xf>
    <xf numFmtId="0" fontId="16" fillId="0" borderId="18" xfId="0" applyFont="1" applyFill="1" applyBorder="1" applyAlignment="1">
      <alignment horizontal="justify" vertical="center" wrapText="1"/>
    </xf>
    <xf numFmtId="3" fontId="16" fillId="0" borderId="18" xfId="0" applyNumberFormat="1" applyFont="1" applyFill="1" applyBorder="1" applyAlignment="1">
      <alignment horizontal="right" vertical="center" wrapText="1"/>
    </xf>
    <xf numFmtId="179" fontId="10" fillId="0" borderId="30" xfId="0" applyNumberFormat="1" applyFont="1" applyFill="1" applyBorder="1" applyAlignment="1">
      <alignment horizontal="right" vertical="top" wrapText="1"/>
    </xf>
    <xf numFmtId="0" fontId="10" fillId="0" borderId="30" xfId="0" applyFont="1" applyFill="1" applyBorder="1" applyAlignment="1">
      <alignment horizontal="justify" vertical="top" wrapText="1"/>
    </xf>
    <xf numFmtId="0" fontId="15" fillId="0" borderId="21" xfId="0" applyFont="1" applyFill="1" applyBorder="1" applyAlignment="1">
      <alignment horizontal="center" vertical="center" wrapText="1"/>
    </xf>
    <xf numFmtId="43" fontId="16" fillId="0" borderId="31" xfId="0" applyNumberFormat="1" applyFont="1" applyFill="1" applyBorder="1" applyAlignment="1">
      <alignment horizontal="right" vertical="center" wrapText="1"/>
    </xf>
    <xf numFmtId="0" fontId="10" fillId="0" borderId="13" xfId="0" applyFont="1" applyFill="1" applyBorder="1" applyAlignment="1">
      <alignment horizontal="justify" vertical="center" wrapText="1"/>
    </xf>
    <xf numFmtId="3" fontId="16" fillId="0" borderId="18" xfId="112" applyNumberFormat="1" applyFont="1" applyBorder="1" applyAlignment="1">
      <alignment vertical="top"/>
    </xf>
    <xf numFmtId="3" fontId="16" fillId="0" borderId="11" xfId="112" applyNumberFormat="1" applyFont="1" applyBorder="1" applyAlignment="1">
      <alignment vertical="top"/>
    </xf>
    <xf numFmtId="0" fontId="16" fillId="0" borderId="17" xfId="112" applyFont="1" applyBorder="1" applyAlignment="1">
      <alignment vertical="top"/>
    </xf>
    <xf numFmtId="0" fontId="10" fillId="0" borderId="17" xfId="112" applyFont="1" applyBorder="1" applyAlignment="1">
      <alignment vertical="top"/>
    </xf>
    <xf numFmtId="3" fontId="10" fillId="0" borderId="18" xfId="112" applyNumberFormat="1" applyFont="1" applyBorder="1" applyAlignment="1">
      <alignment vertical="top"/>
    </xf>
    <xf numFmtId="3" fontId="10" fillId="0" borderId="11" xfId="112" applyNumberFormat="1" applyFont="1" applyBorder="1" applyAlignment="1">
      <alignment vertical="top"/>
    </xf>
    <xf numFmtId="3" fontId="89" fillId="0" borderId="18" xfId="112" applyNumberFormat="1" applyFont="1" applyBorder="1" applyAlignment="1">
      <alignment vertical="top"/>
    </xf>
    <xf numFmtId="0" fontId="15" fillId="0" borderId="21" xfId="112" applyFont="1" applyBorder="1" applyAlignment="1">
      <alignment horizontal="center" vertical="center"/>
    </xf>
    <xf numFmtId="0" fontId="89" fillId="0" borderId="0" xfId="0" applyFont="1" applyFill="1" applyBorder="1">
      <alignment vertical="center"/>
    </xf>
    <xf numFmtId="0" fontId="89" fillId="0" borderId="0" xfId="0" applyFont="1" applyFill="1">
      <alignment vertical="center"/>
    </xf>
    <xf numFmtId="0" fontId="89" fillId="0" borderId="0" xfId="0" applyFont="1">
      <alignment vertical="center"/>
    </xf>
    <xf numFmtId="0" fontId="89" fillId="29" borderId="0" xfId="0" applyFont="1" applyFill="1">
      <alignment vertical="center"/>
    </xf>
    <xf numFmtId="0" fontId="89" fillId="0" borderId="0" xfId="0" applyFont="1" applyBorder="1">
      <alignment vertical="center"/>
    </xf>
    <xf numFmtId="41" fontId="16" fillId="0" borderId="16" xfId="0" applyNumberFormat="1" applyFont="1" applyFill="1" applyBorder="1" applyAlignment="1">
      <alignment horizontal="right" vertical="center" wrapText="1"/>
    </xf>
    <xf numFmtId="0" fontId="15" fillId="0" borderId="17" xfId="112" applyFont="1" applyBorder="1" applyAlignment="1">
      <alignment vertical="center"/>
    </xf>
    <xf numFmtId="41" fontId="16" fillId="0" borderId="12" xfId="112" applyNumberFormat="1" applyFont="1" applyBorder="1" applyAlignment="1">
      <alignment vertical="center"/>
    </xf>
    <xf numFmtId="41" fontId="16" fillId="0" borderId="13" xfId="112" applyNumberFormat="1" applyFont="1" applyBorder="1" applyAlignment="1">
      <alignment vertical="center"/>
    </xf>
    <xf numFmtId="0" fontId="14" fillId="0" borderId="18" xfId="0" applyFont="1" applyFill="1" applyBorder="1" applyAlignment="1">
      <alignment horizontal="left" vertical="top" wrapText="1"/>
    </xf>
    <xf numFmtId="0" fontId="15" fillId="0" borderId="18" xfId="0" applyFont="1" applyFill="1" applyBorder="1" applyAlignment="1">
      <alignment horizontal="left" vertical="top" wrapText="1"/>
    </xf>
    <xf numFmtId="0" fontId="113" fillId="0" borderId="18" xfId="0" applyFont="1" applyFill="1" applyBorder="1" applyAlignment="1">
      <alignment horizontal="left" vertical="top" wrapText="1"/>
    </xf>
    <xf numFmtId="41" fontId="16" fillId="0" borderId="17" xfId="0" applyNumberFormat="1" applyFont="1" applyFill="1" applyBorder="1" applyAlignment="1">
      <alignment horizontal="right" vertical="top" wrapText="1"/>
    </xf>
    <xf numFmtId="0" fontId="14" fillId="0" borderId="22" xfId="0" applyFont="1" applyFill="1" applyBorder="1" applyAlignment="1">
      <alignment horizontal="justify" vertical="top" wrapText="1"/>
    </xf>
    <xf numFmtId="0" fontId="10" fillId="0" borderId="11" xfId="22" applyFont="1" applyFill="1" applyBorder="1" applyAlignment="1">
      <alignment horizontal="justify" vertical="top" wrapText="1"/>
    </xf>
    <xf numFmtId="0" fontId="14" fillId="29" borderId="22" xfId="0" applyFont="1" applyFill="1" applyBorder="1" applyAlignment="1">
      <alignment horizontal="justify" vertical="top" wrapText="1"/>
    </xf>
    <xf numFmtId="0" fontId="14" fillId="0" borderId="22" xfId="0" applyFont="1" applyBorder="1" applyAlignment="1">
      <alignment horizontal="justify" vertical="top" wrapText="1"/>
    </xf>
    <xf numFmtId="0" fontId="10" fillId="0" borderId="0" xfId="0" applyFont="1" applyFill="1" applyAlignment="1">
      <alignment vertical="top"/>
    </xf>
    <xf numFmtId="0" fontId="10" fillId="0" borderId="0" xfId="0" applyFont="1" applyAlignment="1">
      <alignment vertical="top"/>
    </xf>
    <xf numFmtId="0" fontId="10" fillId="0" borderId="11" xfId="0" applyFont="1" applyFill="1" applyBorder="1" applyAlignment="1">
      <alignment horizontal="left" vertical="top" wrapText="1"/>
    </xf>
    <xf numFmtId="200" fontId="29" fillId="0" borderId="18" xfId="0" applyNumberFormat="1" applyFont="1" applyFill="1" applyBorder="1" applyAlignment="1">
      <alignment horizontal="right" vertical="top" wrapText="1"/>
    </xf>
    <xf numFmtId="2" fontId="37" fillId="25" borderId="0" xfId="111" applyNumberFormat="1" applyFont="1" applyFill="1"/>
    <xf numFmtId="3" fontId="16" fillId="0" borderId="46" xfId="111" applyNumberFormat="1" applyFont="1" applyBorder="1" applyAlignment="1">
      <alignment horizontal="right" vertical="center" wrapText="1"/>
    </xf>
    <xf numFmtId="3" fontId="16" fillId="0" borderId="18" xfId="111" applyNumberFormat="1" applyFont="1" applyBorder="1" applyAlignment="1">
      <alignment horizontal="right" vertical="center" wrapText="1"/>
    </xf>
    <xf numFmtId="3" fontId="10" fillId="0" borderId="18" xfId="111" applyNumberFormat="1" applyFont="1" applyBorder="1" applyAlignment="1">
      <alignment horizontal="right" vertical="center"/>
    </xf>
    <xf numFmtId="182" fontId="10" fillId="0" borderId="18" xfId="0" applyNumberFormat="1" applyFont="1" applyFill="1" applyBorder="1" applyAlignment="1">
      <alignment vertical="top" wrapText="1"/>
    </xf>
    <xf numFmtId="182" fontId="16" fillId="0" borderId="18" xfId="0" applyNumberFormat="1" applyFont="1" applyFill="1" applyBorder="1" applyAlignment="1">
      <alignment vertical="top" wrapText="1"/>
    </xf>
    <xf numFmtId="0" fontId="16" fillId="0" borderId="0" xfId="0" applyFont="1" applyFill="1" applyAlignment="1">
      <alignment vertical="top"/>
    </xf>
    <xf numFmtId="0" fontId="16" fillId="0" borderId="0" xfId="0" applyFont="1" applyFill="1" applyBorder="1" applyAlignment="1">
      <alignment horizontal="left" vertical="top" wrapText="1"/>
    </xf>
    <xf numFmtId="0" fontId="15" fillId="0" borderId="17" xfId="0" applyFont="1" applyFill="1" applyBorder="1" applyAlignment="1">
      <alignment horizontal="justify" vertical="top"/>
    </xf>
    <xf numFmtId="0" fontId="15" fillId="0" borderId="17" xfId="0" applyFont="1" applyFill="1" applyBorder="1" applyAlignment="1">
      <alignment horizontal="justify" vertical="top" wrapText="1"/>
    </xf>
    <xf numFmtId="0" fontId="14" fillId="0" borderId="17" xfId="0" applyFont="1" applyFill="1" applyBorder="1" applyAlignment="1">
      <alignment horizontal="justify" vertical="top" wrapText="1"/>
    </xf>
    <xf numFmtId="3" fontId="10" fillId="0" borderId="18" xfId="111" applyNumberFormat="1" applyFont="1" applyBorder="1" applyAlignment="1">
      <alignment horizontal="right" vertical="center"/>
    </xf>
    <xf numFmtId="0" fontId="10" fillId="0" borderId="22" xfId="0" applyFont="1" applyFill="1" applyBorder="1" applyAlignment="1">
      <alignment vertical="top" wrapText="1"/>
    </xf>
    <xf numFmtId="0" fontId="114" fillId="0" borderId="17" xfId="0" applyFont="1" applyFill="1" applyBorder="1" applyAlignment="1">
      <alignment horizontal="justify" vertical="top" wrapText="1"/>
    </xf>
    <xf numFmtId="0" fontId="15" fillId="0" borderId="21" xfId="0" applyFont="1" applyFill="1" applyBorder="1" applyAlignment="1">
      <alignment vertical="top" wrapText="1"/>
    </xf>
    <xf numFmtId="0" fontId="16" fillId="0" borderId="13" xfId="0" applyFont="1" applyFill="1" applyBorder="1" applyAlignment="1">
      <alignment vertical="top" wrapText="1"/>
    </xf>
    <xf numFmtId="178" fontId="19" fillId="0" borderId="0" xfId="21" applyNumberFormat="1" applyFont="1" applyBorder="1" applyAlignment="1">
      <alignment vertical="top"/>
    </xf>
    <xf numFmtId="0" fontId="24" fillId="0" borderId="28" xfId="0" applyFont="1" applyFill="1" applyBorder="1" applyAlignment="1">
      <alignment horizontal="center" vertical="center" wrapText="1"/>
    </xf>
    <xf numFmtId="0" fontId="10" fillId="0" borderId="0" xfId="0" applyFont="1" applyFill="1" applyAlignment="1">
      <alignment vertical="top"/>
    </xf>
    <xf numFmtId="3" fontId="10" fillId="0" borderId="0" xfId="0" applyNumberFormat="1" applyFont="1" applyFill="1" applyBorder="1" applyAlignment="1">
      <alignment vertical="top" wrapText="1"/>
    </xf>
    <xf numFmtId="0" fontId="10" fillId="0" borderId="17" xfId="0" applyFont="1" applyFill="1" applyBorder="1" applyAlignment="1">
      <alignment horizontal="distributed" vertical="center" wrapText="1" indent="2"/>
    </xf>
    <xf numFmtId="0" fontId="10" fillId="0" borderId="15" xfId="0" applyFont="1" applyFill="1" applyBorder="1" applyAlignment="1">
      <alignment horizontal="distributed" vertical="center" wrapText="1" indent="1"/>
    </xf>
    <xf numFmtId="0" fontId="10" fillId="0" borderId="27" xfId="0" applyFont="1" applyFill="1" applyBorder="1" applyAlignment="1">
      <alignment horizontal="left" vertical="top" wrapText="1"/>
    </xf>
    <xf numFmtId="0" fontId="10" fillId="0" borderId="15" xfId="0" applyFont="1" applyFill="1" applyBorder="1" applyAlignment="1">
      <alignment horizontal="center" vertical="center" wrapText="1"/>
    </xf>
    <xf numFmtId="177" fontId="10" fillId="0" borderId="15" xfId="0" applyNumberFormat="1" applyFont="1" applyFill="1" applyBorder="1" applyAlignment="1">
      <alignment horizontal="center" vertical="center" wrapText="1"/>
    </xf>
    <xf numFmtId="0" fontId="10" fillId="0" borderId="22" xfId="0" applyFont="1" applyFill="1" applyBorder="1" applyAlignment="1">
      <alignment horizontal="left" vertical="top" wrapText="1"/>
    </xf>
    <xf numFmtId="0" fontId="10" fillId="0" borderId="22" xfId="20" applyNumberFormat="1" applyFont="1" applyBorder="1" applyAlignment="1">
      <alignment horizontal="justify" vertical="top" wrapText="1"/>
    </xf>
    <xf numFmtId="0" fontId="10" fillId="0" borderId="22" xfId="0" applyFont="1" applyFill="1" applyBorder="1" applyAlignment="1">
      <alignment horizontal="left" vertical="top" wrapText="1"/>
    </xf>
    <xf numFmtId="0" fontId="14" fillId="0" borderId="22" xfId="0" applyFont="1" applyFill="1" applyBorder="1" applyAlignment="1">
      <alignment horizontal="justify" vertical="top" wrapText="1"/>
    </xf>
    <xf numFmtId="178" fontId="16" fillId="0" borderId="0" xfId="21" applyNumberFormat="1" applyFont="1" applyAlignment="1">
      <alignment vertical="top"/>
    </xf>
    <xf numFmtId="178" fontId="16" fillId="0" borderId="0" xfId="20" applyNumberFormat="1" applyFont="1" applyAlignment="1">
      <alignment vertical="top"/>
    </xf>
    <xf numFmtId="0" fontId="14" fillId="0" borderId="11" xfId="20" applyNumberFormat="1" applyFont="1" applyBorder="1" applyAlignment="1">
      <alignment vertical="top" wrapText="1"/>
    </xf>
    <xf numFmtId="0" fontId="10" fillId="0" borderId="11" xfId="20" applyNumberFormat="1" applyFont="1" applyBorder="1" applyAlignment="1">
      <alignment vertical="top" wrapText="1"/>
    </xf>
    <xf numFmtId="0" fontId="10" fillId="0" borderId="11" xfId="20" applyFont="1" applyBorder="1" applyAlignment="1">
      <alignment vertical="top" wrapText="1"/>
    </xf>
    <xf numFmtId="0" fontId="14" fillId="0" borderId="22" xfId="20" applyNumberFormat="1" applyFont="1" applyBorder="1" applyAlignment="1">
      <alignment horizontal="justify" vertical="top" wrapText="1"/>
    </xf>
    <xf numFmtId="0" fontId="14" fillId="0" borderId="22" xfId="20" applyNumberFormat="1" applyFont="1" applyBorder="1" applyAlignment="1">
      <alignment vertical="top" wrapText="1"/>
    </xf>
    <xf numFmtId="41" fontId="16" fillId="0" borderId="12" xfId="0" applyNumberFormat="1" applyFont="1" applyFill="1" applyBorder="1" applyAlignment="1">
      <alignment vertical="top"/>
    </xf>
    <xf numFmtId="41" fontId="16" fillId="0" borderId="21" xfId="0" applyNumberFormat="1" applyFont="1" applyFill="1" applyBorder="1" applyAlignment="1">
      <alignment vertical="top"/>
    </xf>
    <xf numFmtId="0" fontId="14" fillId="0" borderId="23" xfId="0" applyFont="1" applyFill="1" applyBorder="1" applyAlignment="1">
      <alignment horizontal="justify" vertical="top" wrapText="1"/>
    </xf>
    <xf numFmtId="49" fontId="10" fillId="0" borderId="27" xfId="0" applyNumberFormat="1" applyFont="1" applyFill="1" applyBorder="1" applyAlignment="1">
      <alignment horizontal="left" vertical="top" wrapText="1"/>
    </xf>
    <xf numFmtId="178" fontId="19" fillId="0" borderId="0" xfId="21" applyNumberFormat="1" applyFont="1" applyAlignment="1">
      <alignment vertical="top"/>
    </xf>
    <xf numFmtId="178" fontId="19" fillId="0" borderId="0" xfId="0" applyNumberFormat="1" applyFont="1" applyAlignment="1">
      <alignment vertical="top"/>
    </xf>
    <xf numFmtId="0" fontId="10" fillId="0" borderId="15" xfId="0" applyFont="1" applyFill="1" applyBorder="1" applyAlignment="1">
      <alignment horizontal="distributed" vertical="center" wrapText="1" indent="1"/>
    </xf>
    <xf numFmtId="0" fontId="10" fillId="0" borderId="0" xfId="0" applyFont="1" applyFill="1" applyAlignment="1">
      <alignment vertical="top"/>
    </xf>
    <xf numFmtId="0" fontId="10" fillId="0" borderId="15" xfId="0" applyFont="1" applyFill="1" applyBorder="1" applyAlignment="1">
      <alignment horizontal="center" vertical="center" wrapText="1"/>
    </xf>
    <xf numFmtId="177" fontId="10" fillId="0" borderId="15" xfId="0" applyNumberFormat="1" applyFont="1" applyFill="1" applyBorder="1" applyAlignment="1">
      <alignment horizontal="center" vertical="center" wrapText="1"/>
    </xf>
    <xf numFmtId="2" fontId="58" fillId="0" borderId="18" xfId="0" applyNumberFormat="1" applyFont="1" applyFill="1" applyBorder="1" applyAlignment="1">
      <alignment horizontal="right" vertical="top" wrapText="1"/>
    </xf>
    <xf numFmtId="2" fontId="29" fillId="0" borderId="18" xfId="0" applyNumberFormat="1" applyFont="1" applyFill="1" applyBorder="1" applyAlignment="1">
      <alignment horizontal="right" vertical="top" wrapText="1"/>
    </xf>
    <xf numFmtId="0" fontId="14" fillId="0" borderId="34" xfId="112" applyFont="1" applyBorder="1" applyAlignment="1">
      <alignment horizontal="distributed" vertical="center" wrapText="1"/>
    </xf>
    <xf numFmtId="0" fontId="14" fillId="0" borderId="19" xfId="112" applyFont="1" applyBorder="1" applyAlignment="1">
      <alignment horizontal="distributed" vertical="center" wrapText="1" indent="1"/>
    </xf>
    <xf numFmtId="0" fontId="14" fillId="0" borderId="38" xfId="112" applyFont="1" applyBorder="1" applyAlignment="1">
      <alignment horizontal="distributed" vertical="center" wrapText="1"/>
    </xf>
    <xf numFmtId="0" fontId="14" fillId="0" borderId="34" xfId="0" applyFont="1" applyFill="1" applyBorder="1" applyAlignment="1">
      <alignment horizontal="center" vertical="center" wrapText="1"/>
    </xf>
    <xf numFmtId="0" fontId="14" fillId="0" borderId="33" xfId="0" applyFont="1" applyFill="1" applyBorder="1" applyAlignment="1">
      <alignment horizontal="center" vertical="center" wrapText="1"/>
    </xf>
    <xf numFmtId="0" fontId="14" fillId="0" borderId="17" xfId="0" applyFont="1" applyFill="1" applyBorder="1" applyAlignment="1">
      <alignment horizontal="center" vertical="center" wrapText="1"/>
    </xf>
    <xf numFmtId="0" fontId="14" fillId="0" borderId="18" xfId="0" applyFont="1" applyFill="1" applyBorder="1" applyAlignment="1">
      <alignment horizontal="center" vertical="center" wrapText="1"/>
    </xf>
    <xf numFmtId="0" fontId="10" fillId="0" borderId="27" xfId="0" applyFont="1" applyFill="1" applyBorder="1" applyAlignment="1">
      <alignment vertical="top"/>
    </xf>
    <xf numFmtId="0" fontId="24" fillId="0" borderId="22" xfId="0" applyNumberFormat="1" applyFont="1" applyFill="1" applyBorder="1" applyAlignment="1">
      <alignment horizontal="justify" vertical="top" wrapText="1"/>
    </xf>
    <xf numFmtId="0" fontId="25" fillId="0" borderId="17" xfId="0" applyFont="1" applyFill="1" applyBorder="1" applyAlignment="1">
      <alignment horizontal="justify" vertical="top" wrapText="1"/>
    </xf>
    <xf numFmtId="0" fontId="10" fillId="0" borderId="22" xfId="0" applyNumberFormat="1" applyFont="1" applyFill="1" applyBorder="1" applyAlignment="1">
      <alignment horizontal="justify" vertical="top" wrapText="1"/>
    </xf>
    <xf numFmtId="49" fontId="20" fillId="0" borderId="27" xfId="0" applyNumberFormat="1" applyFont="1" applyBorder="1" applyAlignment="1">
      <alignment vertical="top" wrapText="1"/>
    </xf>
    <xf numFmtId="0" fontId="14" fillId="0" borderId="22" xfId="0" applyNumberFormat="1" applyFont="1" applyFill="1" applyBorder="1" applyAlignment="1">
      <alignment vertical="top" wrapText="1"/>
    </xf>
    <xf numFmtId="0" fontId="10" fillId="0" borderId="0" xfId="0" applyFont="1" applyFill="1" applyAlignment="1">
      <alignment horizontal="justify" vertical="top" wrapText="1"/>
    </xf>
    <xf numFmtId="49" fontId="20" fillId="0" borderId="22" xfId="0" applyNumberFormat="1" applyFont="1" applyFill="1" applyBorder="1" applyAlignment="1">
      <alignment vertical="top" wrapText="1"/>
    </xf>
    <xf numFmtId="0" fontId="14" fillId="0" borderId="22" xfId="0" applyFont="1" applyFill="1" applyBorder="1" applyAlignment="1">
      <alignment horizontal="justify" vertical="top" wrapText="1"/>
    </xf>
    <xf numFmtId="181" fontId="29" fillId="0" borderId="10" xfId="0" applyNumberFormat="1" applyFont="1" applyFill="1" applyBorder="1" applyAlignment="1">
      <alignment horizontal="right" vertical="top" wrapText="1"/>
    </xf>
    <xf numFmtId="189" fontId="10" fillId="0" borderId="0" xfId="0" applyNumberFormat="1" applyFont="1" applyFill="1" applyBorder="1" applyAlignment="1">
      <alignment vertical="top"/>
    </xf>
    <xf numFmtId="0" fontId="115" fillId="0" borderId="22" xfId="0" applyFont="1" applyFill="1" applyBorder="1" applyAlignment="1">
      <alignment vertical="top" wrapText="1"/>
    </xf>
    <xf numFmtId="0" fontId="10" fillId="0" borderId="0" xfId="0" applyFont="1" applyFill="1" applyAlignment="1">
      <alignment vertical="top"/>
    </xf>
    <xf numFmtId="0" fontId="10" fillId="0" borderId="22" xfId="0" applyFont="1" applyBorder="1" applyAlignment="1">
      <alignment vertical="top" wrapText="1"/>
    </xf>
    <xf numFmtId="0" fontId="10" fillId="0" borderId="11" xfId="0" applyFont="1" applyFill="1" applyBorder="1" applyAlignment="1">
      <alignment horizontal="left" vertical="top" wrapText="1"/>
    </xf>
    <xf numFmtId="0" fontId="10" fillId="0" borderId="0" xfId="0" applyFont="1" applyFill="1" applyBorder="1" applyAlignment="1">
      <alignment vertical="top" wrapText="1"/>
    </xf>
    <xf numFmtId="0" fontId="10" fillId="0" borderId="22" xfId="0" applyFont="1" applyFill="1" applyBorder="1" applyAlignment="1">
      <alignment vertical="top" wrapText="1"/>
    </xf>
    <xf numFmtId="0" fontId="14" fillId="0" borderId="22" xfId="0" applyFont="1" applyBorder="1" applyAlignment="1">
      <alignment horizontal="justify" vertical="top" wrapText="1"/>
    </xf>
    <xf numFmtId="0" fontId="10" fillId="0" borderId="23" xfId="0" applyFont="1" applyFill="1" applyBorder="1" applyAlignment="1">
      <alignment vertical="top" wrapText="1"/>
    </xf>
    <xf numFmtId="0" fontId="14" fillId="0" borderId="22" xfId="0" applyFont="1" applyFill="1" applyBorder="1" applyAlignment="1">
      <alignment horizontal="justify" vertical="top" wrapText="1"/>
    </xf>
    <xf numFmtId="0" fontId="10" fillId="0" borderId="22" xfId="20" applyNumberFormat="1" applyFont="1" applyBorder="1" applyAlignment="1">
      <alignment horizontal="justify" vertical="top" wrapText="1"/>
    </xf>
    <xf numFmtId="0" fontId="115" fillId="0" borderId="22" xfId="20" applyNumberFormat="1" applyFont="1" applyBorder="1" applyAlignment="1">
      <alignment horizontal="justify" vertical="top" wrapText="1"/>
    </xf>
    <xf numFmtId="0" fontId="10" fillId="0" borderId="22" xfId="20" applyNumberFormat="1" applyFont="1" applyFill="1" applyBorder="1" applyAlignment="1">
      <alignment horizontal="left" vertical="top" wrapText="1"/>
    </xf>
    <xf numFmtId="0" fontId="10" fillId="0" borderId="22" xfId="0" applyNumberFormat="1" applyFont="1" applyFill="1" applyBorder="1" applyAlignment="1">
      <alignment horizontal="justify" vertical="top" wrapText="1"/>
    </xf>
    <xf numFmtId="0" fontId="14" fillId="0" borderId="27" xfId="0" applyNumberFormat="1" applyFont="1" applyFill="1" applyBorder="1" applyAlignment="1">
      <alignment horizontal="justify" vertical="top" wrapText="1"/>
    </xf>
    <xf numFmtId="0" fontId="10" fillId="0" borderId="23" xfId="0" applyNumberFormat="1" applyFont="1" applyFill="1" applyBorder="1" applyAlignment="1">
      <alignment horizontal="justify" vertical="top" wrapText="1"/>
    </xf>
    <xf numFmtId="0" fontId="24" fillId="0" borderId="22" xfId="0" applyNumberFormat="1" applyFont="1" applyFill="1" applyBorder="1" applyAlignment="1">
      <alignment horizontal="justify" vertical="top" wrapText="1"/>
    </xf>
    <xf numFmtId="0" fontId="22" fillId="0" borderId="22" xfId="0" applyNumberFormat="1" applyFont="1" applyFill="1" applyBorder="1" applyAlignment="1">
      <alignment horizontal="justify" vertical="top" wrapText="1"/>
    </xf>
    <xf numFmtId="181" fontId="29" fillId="25" borderId="11" xfId="0" applyNumberFormat="1" applyFont="1" applyFill="1" applyBorder="1" applyAlignment="1">
      <alignment horizontal="right" vertical="top" wrapText="1"/>
    </xf>
    <xf numFmtId="0" fontId="15" fillId="0" borderId="12" xfId="0" applyFont="1" applyFill="1" applyBorder="1" applyAlignment="1">
      <alignment horizontal="center" vertical="top" wrapText="1"/>
    </xf>
    <xf numFmtId="178" fontId="16" fillId="0" borderId="36" xfId="0" applyNumberFormat="1" applyFont="1" applyFill="1" applyBorder="1" applyAlignment="1">
      <alignment horizontal="right" vertical="top" wrapText="1"/>
    </xf>
    <xf numFmtId="10" fontId="16" fillId="0" borderId="12" xfId="0" applyNumberFormat="1" applyFont="1" applyFill="1" applyBorder="1" applyAlignment="1">
      <alignment horizontal="right" vertical="top"/>
    </xf>
    <xf numFmtId="178" fontId="16" fillId="0" borderId="12" xfId="0" applyNumberFormat="1" applyFont="1" applyFill="1" applyBorder="1" applyAlignment="1">
      <alignment horizontal="right" vertical="top" wrapText="1"/>
    </xf>
    <xf numFmtId="0" fontId="115" fillId="0" borderId="11" xfId="0" applyFont="1" applyFill="1" applyBorder="1" applyAlignment="1">
      <alignment horizontal="justify" vertical="top" wrapText="1"/>
    </xf>
    <xf numFmtId="0" fontId="115" fillId="0" borderId="11" xfId="0" applyFont="1" applyFill="1" applyBorder="1" applyAlignment="1">
      <alignment vertical="top" wrapText="1"/>
    </xf>
    <xf numFmtId="0" fontId="106" fillId="0" borderId="11" xfId="0" applyFont="1" applyFill="1" applyBorder="1" applyAlignment="1">
      <alignment vertical="top" wrapText="1"/>
    </xf>
    <xf numFmtId="0" fontId="16" fillId="0" borderId="13" xfId="0" applyFont="1" applyFill="1" applyBorder="1" applyAlignment="1">
      <alignment horizontal="left" vertical="top" wrapText="1"/>
    </xf>
    <xf numFmtId="0" fontId="122" fillId="0" borderId="17" xfId="0" applyFont="1" applyFill="1" applyBorder="1" applyAlignment="1">
      <alignment horizontal="justify" vertical="top" wrapText="1"/>
    </xf>
    <xf numFmtId="49" fontId="20" fillId="0" borderId="23" xfId="0" applyNumberFormat="1" applyFont="1" applyFill="1" applyBorder="1" applyAlignment="1">
      <alignment vertical="top" wrapText="1"/>
    </xf>
    <xf numFmtId="0" fontId="115" fillId="0" borderId="22" xfId="20" applyNumberFormat="1" applyFont="1" applyBorder="1" applyAlignment="1">
      <alignment vertical="top" wrapText="1"/>
    </xf>
    <xf numFmtId="0" fontId="115" fillId="0" borderId="23" xfId="20" applyNumberFormat="1" applyFont="1" applyBorder="1" applyAlignment="1">
      <alignment vertical="top" wrapText="1"/>
    </xf>
    <xf numFmtId="0" fontId="115" fillId="0" borderId="17" xfId="0" applyFont="1" applyFill="1" applyBorder="1" applyAlignment="1">
      <alignment vertical="top" wrapText="1"/>
    </xf>
    <xf numFmtId="0" fontId="10" fillId="0" borderId="0" xfId="0" applyFont="1" applyFill="1" applyAlignment="1">
      <alignment vertical="top"/>
    </xf>
    <xf numFmtId="0" fontId="10" fillId="0" borderId="0" xfId="0" applyFont="1" applyFill="1" applyAlignment="1">
      <alignment vertical="top"/>
    </xf>
    <xf numFmtId="49" fontId="20" fillId="0" borderId="0" xfId="0" applyNumberFormat="1" applyFont="1" applyFill="1" applyBorder="1" applyAlignment="1">
      <alignment vertical="top" wrapText="1"/>
    </xf>
    <xf numFmtId="0" fontId="10" fillId="0" borderId="0" xfId="0" applyFont="1" applyFill="1" applyAlignment="1">
      <alignment vertical="top"/>
    </xf>
    <xf numFmtId="0" fontId="10" fillId="0" borderId="22" xfId="0" applyNumberFormat="1" applyFont="1" applyFill="1" applyBorder="1" applyAlignment="1">
      <alignment horizontal="justify" vertical="top" wrapText="1"/>
    </xf>
    <xf numFmtId="0" fontId="88" fillId="0" borderId="17" xfId="0" applyFont="1" applyFill="1" applyBorder="1" applyAlignment="1">
      <alignment vertical="top" wrapText="1"/>
    </xf>
    <xf numFmtId="0" fontId="89" fillId="0" borderId="17" xfId="0" applyFont="1" applyFill="1" applyBorder="1" applyAlignment="1">
      <alignment vertical="top" wrapText="1"/>
    </xf>
    <xf numFmtId="0" fontId="121" fillId="0" borderId="17" xfId="0" applyFont="1" applyFill="1" applyBorder="1" applyAlignment="1">
      <alignment vertical="top" wrapText="1"/>
    </xf>
    <xf numFmtId="0" fontId="106" fillId="0" borderId="17" xfId="0" applyFont="1" applyFill="1" applyBorder="1" applyAlignment="1">
      <alignment vertical="top" wrapText="1"/>
    </xf>
    <xf numFmtId="0" fontId="114" fillId="0" borderId="17" xfId="0" applyFont="1" applyFill="1" applyBorder="1" applyAlignment="1">
      <alignment vertical="top" wrapText="1"/>
    </xf>
    <xf numFmtId="0" fontId="121" fillId="0" borderId="21" xfId="0" applyFont="1" applyFill="1" applyBorder="1" applyAlignment="1">
      <alignment vertical="top" wrapText="1"/>
    </xf>
    <xf numFmtId="0" fontId="88" fillId="0" borderId="21" xfId="0" applyFont="1" applyFill="1" applyBorder="1" applyAlignment="1">
      <alignment vertical="top" wrapText="1"/>
    </xf>
    <xf numFmtId="0" fontId="14" fillId="0" borderId="22" xfId="0" applyNumberFormat="1" applyFont="1" applyFill="1" applyBorder="1" applyAlignment="1">
      <alignment horizontal="left" vertical="top"/>
    </xf>
    <xf numFmtId="0" fontId="37" fillId="0" borderId="23" xfId="20" applyFont="1" applyFill="1" applyBorder="1" applyAlignment="1">
      <alignment vertical="top"/>
    </xf>
    <xf numFmtId="0" fontId="37" fillId="0" borderId="21" xfId="20" applyFont="1" applyFill="1" applyBorder="1" applyAlignment="1">
      <alignment vertical="top"/>
    </xf>
    <xf numFmtId="0" fontId="37" fillId="0" borderId="12" xfId="20" applyFont="1" applyFill="1" applyBorder="1" applyAlignment="1">
      <alignment vertical="top"/>
    </xf>
    <xf numFmtId="0" fontId="14" fillId="0" borderId="27" xfId="0" applyNumberFormat="1" applyFont="1" applyFill="1" applyBorder="1" applyAlignment="1">
      <alignment horizontal="left" vertical="top"/>
    </xf>
    <xf numFmtId="0" fontId="37" fillId="0" borderId="32" xfId="20" applyFont="1" applyFill="1" applyBorder="1" applyAlignment="1">
      <alignment vertical="top"/>
    </xf>
    <xf numFmtId="0" fontId="10" fillId="0" borderId="0" xfId="0" applyFont="1" applyFill="1" applyAlignment="1">
      <alignment vertical="top"/>
    </xf>
    <xf numFmtId="0" fontId="10" fillId="0" borderId="22" xfId="0" applyFont="1" applyFill="1" applyBorder="1" applyAlignment="1">
      <alignment vertical="top" wrapText="1"/>
    </xf>
    <xf numFmtId="0" fontId="10" fillId="0" borderId="0" xfId="20" applyFont="1" applyFill="1" applyBorder="1" applyAlignment="1">
      <alignment vertical="top"/>
    </xf>
    <xf numFmtId="0" fontId="16" fillId="0" borderId="0" xfId="20" applyFont="1" applyFill="1" applyBorder="1" applyAlignment="1">
      <alignment vertical="top"/>
    </xf>
    <xf numFmtId="0" fontId="10" fillId="0" borderId="0" xfId="0" applyFont="1" applyFill="1" applyAlignment="1">
      <alignment vertical="top"/>
    </xf>
    <xf numFmtId="0" fontId="115" fillId="0" borderId="22" xfId="0" applyFont="1" applyBorder="1" applyAlignment="1">
      <alignment horizontal="left" vertical="top" wrapText="1"/>
    </xf>
    <xf numFmtId="0" fontId="10" fillId="0" borderId="0" xfId="0" applyFont="1" applyFill="1" applyAlignment="1">
      <alignment vertical="top"/>
    </xf>
    <xf numFmtId="49" fontId="20" fillId="0" borderId="22" xfId="0" applyNumberFormat="1" applyFont="1" applyBorder="1" applyAlignment="1">
      <alignment horizontal="justify" vertical="top" wrapText="1"/>
    </xf>
    <xf numFmtId="0" fontId="125" fillId="0" borderId="17" xfId="0" applyFont="1" applyFill="1" applyBorder="1" applyAlignment="1">
      <alignment vertical="top" wrapText="1"/>
    </xf>
    <xf numFmtId="0" fontId="115" fillId="0" borderId="21" xfId="0" applyFont="1" applyFill="1" applyBorder="1" applyAlignment="1">
      <alignment vertical="top" wrapText="1"/>
    </xf>
    <xf numFmtId="0" fontId="10" fillId="0" borderId="21" xfId="0" applyFont="1" applyFill="1" applyBorder="1" applyAlignment="1">
      <alignment vertical="top" wrapText="1"/>
    </xf>
    <xf numFmtId="0" fontId="128" fillId="0" borderId="17" xfId="0" applyFont="1" applyFill="1" applyBorder="1" applyAlignment="1">
      <alignment vertical="top" wrapText="1"/>
    </xf>
    <xf numFmtId="0" fontId="129" fillId="0" borderId="17" xfId="0" applyFont="1" applyFill="1" applyBorder="1" applyAlignment="1">
      <alignment vertical="top" wrapText="1"/>
    </xf>
    <xf numFmtId="0" fontId="10" fillId="0" borderId="0" xfId="0" applyFont="1" applyFill="1" applyAlignment="1">
      <alignment vertical="top"/>
    </xf>
    <xf numFmtId="0" fontId="106" fillId="0" borderId="21" xfId="0" applyFont="1" applyBorder="1" applyAlignment="1">
      <alignment horizontal="left" vertical="top" wrapText="1" indent="3"/>
    </xf>
    <xf numFmtId="0" fontId="130" fillId="0" borderId="17" xfId="0" applyFont="1" applyFill="1" applyBorder="1" applyAlignment="1">
      <alignment horizontal="left" vertical="top" wrapText="1"/>
    </xf>
    <xf numFmtId="0" fontId="10" fillId="0" borderId="0" xfId="0" applyFont="1" applyFill="1" applyAlignment="1">
      <alignment vertical="top"/>
    </xf>
    <xf numFmtId="0" fontId="10" fillId="0" borderId="0" xfId="0" applyFont="1" applyFill="1" applyAlignment="1">
      <alignment vertical="top"/>
    </xf>
    <xf numFmtId="180" fontId="29" fillId="0" borderId="12" xfId="21" applyNumberFormat="1" applyFont="1" applyFill="1" applyBorder="1" applyAlignment="1">
      <alignment horizontal="right" vertical="top" wrapText="1"/>
    </xf>
    <xf numFmtId="41" fontId="29" fillId="0" borderId="13" xfId="0" applyNumberFormat="1" applyFont="1" applyFill="1" applyBorder="1" applyAlignment="1">
      <alignment horizontal="right" vertical="top" wrapText="1"/>
    </xf>
    <xf numFmtId="0" fontId="10" fillId="0" borderId="0" xfId="0" applyFont="1" applyFill="1" applyAlignment="1">
      <alignment vertical="top"/>
    </xf>
    <xf numFmtId="200" fontId="58" fillId="0" borderId="11" xfId="21" applyNumberFormat="1" applyFont="1" applyFill="1" applyBorder="1" applyAlignment="1">
      <alignment horizontal="right" vertical="top" wrapText="1"/>
    </xf>
    <xf numFmtId="200" fontId="29" fillId="0" borderId="11" xfId="21" applyNumberFormat="1" applyFont="1" applyFill="1" applyBorder="1" applyAlignment="1">
      <alignment horizontal="right" vertical="top" wrapText="1"/>
    </xf>
    <xf numFmtId="179" fontId="58" fillId="0" borderId="21" xfId="0" applyNumberFormat="1" applyFont="1" applyFill="1" applyBorder="1" applyAlignment="1">
      <alignment horizontal="right" vertical="top" wrapText="1"/>
    </xf>
    <xf numFmtId="180" fontId="58" fillId="0" borderId="12" xfId="0" applyNumberFormat="1" applyFont="1" applyFill="1" applyBorder="1" applyAlignment="1">
      <alignment horizontal="right" vertical="top" wrapText="1"/>
    </xf>
    <xf numFmtId="0" fontId="58" fillId="0" borderId="12" xfId="0" applyNumberFormat="1" applyFont="1" applyFill="1" applyBorder="1" applyAlignment="1">
      <alignment horizontal="right" vertical="top" wrapText="1"/>
    </xf>
    <xf numFmtId="179" fontId="58" fillId="0" borderId="32" xfId="0" applyNumberFormat="1" applyFont="1" applyFill="1" applyBorder="1" applyAlignment="1">
      <alignment horizontal="right" vertical="top" wrapText="1"/>
    </xf>
    <xf numFmtId="10" fontId="16" fillId="0" borderId="0" xfId="26" applyNumberFormat="1" applyFont="1" applyFill="1" applyAlignment="1">
      <alignment vertical="top"/>
    </xf>
    <xf numFmtId="0" fontId="10" fillId="0" borderId="0" xfId="0" applyFont="1" applyFill="1" applyAlignment="1">
      <alignment vertical="top"/>
    </xf>
    <xf numFmtId="0" fontId="10" fillId="0" borderId="0" xfId="0" applyFont="1" applyFill="1" applyAlignment="1">
      <alignment vertical="top"/>
    </xf>
    <xf numFmtId="0" fontId="10" fillId="0" borderId="0" xfId="0" applyFont="1" applyFill="1" applyAlignment="1">
      <alignment vertical="top"/>
    </xf>
    <xf numFmtId="49" fontId="10" fillId="0" borderId="27" xfId="0" applyNumberFormat="1" applyFont="1" applyFill="1" applyBorder="1" applyAlignment="1">
      <alignment vertical="top" wrapText="1"/>
    </xf>
    <xf numFmtId="0" fontId="10" fillId="0" borderId="0" xfId="0" applyFont="1" applyFill="1" applyBorder="1" applyAlignment="1">
      <alignment horizontal="left" vertical="top" wrapText="1"/>
    </xf>
    <xf numFmtId="0" fontId="14" fillId="0" borderId="0" xfId="0" applyFont="1" applyBorder="1" applyAlignment="1">
      <alignment horizontal="left" vertical="top" wrapText="1"/>
    </xf>
    <xf numFmtId="0" fontId="10" fillId="0" borderId="0" xfId="0" applyFont="1" applyFill="1" applyAlignment="1">
      <alignment vertical="top"/>
    </xf>
    <xf numFmtId="182" fontId="88" fillId="0" borderId="18" xfId="0" applyNumberFormat="1" applyFont="1" applyFill="1" applyBorder="1" applyAlignment="1">
      <alignment vertical="top" wrapText="1"/>
    </xf>
    <xf numFmtId="0" fontId="115" fillId="0" borderId="11" xfId="0" applyFont="1" applyBorder="1" applyAlignment="1">
      <alignment horizontal="justify" vertical="top"/>
    </xf>
    <xf numFmtId="0" fontId="115" fillId="0" borderId="11" xfId="0" applyFont="1" applyBorder="1" applyAlignment="1">
      <alignment horizontal="left" vertical="top" wrapText="1"/>
    </xf>
    <xf numFmtId="0" fontId="10" fillId="0" borderId="40" xfId="0" applyFont="1" applyFill="1" applyBorder="1" applyAlignment="1">
      <alignment horizontal="left" vertical="top" wrapText="1"/>
    </xf>
    <xf numFmtId="0" fontId="14" fillId="0" borderId="40" xfId="0" applyFont="1" applyBorder="1" applyAlignment="1">
      <alignment horizontal="left" vertical="top" wrapText="1"/>
    </xf>
    <xf numFmtId="0" fontId="115" fillId="0" borderId="11" xfId="0" applyFont="1" applyBorder="1" applyAlignment="1">
      <alignment vertical="top" wrapText="1"/>
    </xf>
    <xf numFmtId="0" fontId="115" fillId="0" borderId="22" xfId="0" applyFont="1" applyFill="1" applyBorder="1" applyAlignment="1">
      <alignment horizontal="justify" vertical="top" wrapText="1"/>
    </xf>
    <xf numFmtId="0" fontId="10" fillId="0" borderId="22" xfId="0" applyFont="1" applyFill="1" applyBorder="1" applyAlignment="1">
      <alignment vertical="top" wrapText="1"/>
    </xf>
    <xf numFmtId="0" fontId="115" fillId="0" borderId="17" xfId="0" applyFont="1" applyBorder="1" applyAlignment="1">
      <alignment horizontal="left" vertical="top" wrapText="1" indent="1"/>
    </xf>
    <xf numFmtId="0" fontId="121" fillId="0" borderId="22" xfId="0" applyFont="1" applyFill="1" applyBorder="1" applyAlignment="1">
      <alignment vertical="top" wrapText="1"/>
    </xf>
    <xf numFmtId="0" fontId="113" fillId="0" borderId="12" xfId="0" applyFont="1" applyFill="1" applyBorder="1" applyAlignment="1">
      <alignment horizontal="left" vertical="top" wrapText="1"/>
    </xf>
    <xf numFmtId="0" fontId="106" fillId="0" borderId="17" xfId="0" applyFont="1" applyFill="1" applyBorder="1" applyAlignment="1">
      <alignment horizontal="justify" vertical="top" wrapText="1"/>
    </xf>
    <xf numFmtId="0" fontId="136" fillId="0" borderId="0" xfId="257" applyFont="1" applyAlignment="1">
      <alignment horizontal="distributed" vertical="center"/>
    </xf>
    <xf numFmtId="0" fontId="115" fillId="0" borderId="11" xfId="0" applyFont="1" applyFill="1" applyBorder="1" applyAlignment="1">
      <alignment horizontal="left" vertical="top" wrapText="1"/>
    </xf>
    <xf numFmtId="0" fontId="137" fillId="25" borderId="0" xfId="111" applyFont="1" applyFill="1"/>
    <xf numFmtId="0" fontId="10" fillId="0" borderId="0" xfId="0" applyFont="1" applyFill="1" applyAlignment="1">
      <alignment vertical="top"/>
    </xf>
    <xf numFmtId="0" fontId="10" fillId="0" borderId="0" xfId="0" applyFont="1" applyFill="1" applyAlignment="1">
      <alignment vertical="top"/>
    </xf>
    <xf numFmtId="0" fontId="10" fillId="0" borderId="0" xfId="0" applyFont="1" applyAlignment="1">
      <alignment vertical="center"/>
    </xf>
    <xf numFmtId="0" fontId="10" fillId="0" borderId="0" xfId="0" applyFont="1" applyBorder="1" applyAlignment="1">
      <alignment vertical="center" wrapText="1"/>
    </xf>
    <xf numFmtId="0" fontId="10" fillId="0" borderId="22" xfId="0" applyFont="1" applyBorder="1" applyAlignment="1">
      <alignment vertical="center" wrapText="1"/>
    </xf>
    <xf numFmtId="0" fontId="10" fillId="0" borderId="0" xfId="0" applyFont="1" applyBorder="1" applyAlignment="1">
      <alignment horizontal="center" vertical="center"/>
    </xf>
    <xf numFmtId="0" fontId="15" fillId="0" borderId="12" xfId="0" applyFont="1" applyBorder="1" applyAlignment="1">
      <alignment horizontal="center" vertical="center" wrapText="1"/>
    </xf>
    <xf numFmtId="0" fontId="14" fillId="0" borderId="0" xfId="0" applyFont="1" applyBorder="1" applyAlignment="1">
      <alignment vertical="top"/>
    </xf>
    <xf numFmtId="41" fontId="10" fillId="0" borderId="18" xfId="0" applyNumberFormat="1" applyFont="1" applyBorder="1" applyAlignment="1">
      <alignment horizontal="right" vertical="center" wrapText="1"/>
    </xf>
    <xf numFmtId="0" fontId="15" fillId="0" borderId="0" xfId="0" applyFont="1" applyFill="1" applyBorder="1">
      <alignment vertical="center"/>
    </xf>
    <xf numFmtId="0" fontId="14" fillId="0" borderId="18" xfId="0" applyFont="1" applyBorder="1" applyAlignment="1">
      <alignment horizontal="left" vertical="center" wrapText="1"/>
    </xf>
    <xf numFmtId="0" fontId="14" fillId="0" borderId="18" xfId="0" applyFont="1" applyBorder="1" applyAlignment="1">
      <alignment horizontal="left" vertical="top" wrapText="1"/>
    </xf>
    <xf numFmtId="0" fontId="14" fillId="0" borderId="0" xfId="0" applyFont="1" applyFill="1" applyBorder="1" applyAlignment="1">
      <alignment vertical="top"/>
    </xf>
    <xf numFmtId="0" fontId="15" fillId="0" borderId="0" xfId="0" applyFont="1" applyBorder="1" applyAlignment="1">
      <alignment vertical="top"/>
    </xf>
    <xf numFmtId="0" fontId="14" fillId="0" borderId="24" xfId="0" applyFont="1" applyBorder="1" applyAlignment="1">
      <alignment horizontal="distributed" vertical="center" wrapText="1"/>
    </xf>
    <xf numFmtId="0" fontId="10" fillId="0" borderId="0" xfId="0" applyFont="1" applyAlignment="1">
      <alignment vertical="center" wrapText="1"/>
    </xf>
    <xf numFmtId="0" fontId="20" fillId="0" borderId="22" xfId="0" applyFont="1" applyFill="1" applyBorder="1" applyAlignment="1">
      <alignment horizontal="justify" vertical="top" wrapText="1"/>
    </xf>
    <xf numFmtId="0" fontId="14" fillId="0" borderId="22" xfId="0" applyFont="1" applyFill="1" applyBorder="1" applyAlignment="1">
      <alignment horizontal="justify" vertical="top" wrapText="1"/>
    </xf>
    <xf numFmtId="0" fontId="14" fillId="0" borderId="11" xfId="0" applyFont="1" applyBorder="1" applyAlignment="1">
      <alignment horizontal="justify" vertical="top"/>
    </xf>
    <xf numFmtId="0" fontId="10" fillId="0" borderId="13" xfId="20" applyNumberFormat="1" applyFont="1" applyBorder="1" applyAlignment="1">
      <alignment vertical="top" wrapText="1"/>
    </xf>
    <xf numFmtId="0" fontId="10" fillId="0" borderId="0" xfId="0" applyFont="1" applyBorder="1" applyAlignment="1">
      <alignment horizontal="center" vertical="center"/>
    </xf>
    <xf numFmtId="0" fontId="14" fillId="0" borderId="22" xfId="0" applyFont="1" applyFill="1" applyBorder="1" applyAlignment="1">
      <alignment vertical="top"/>
    </xf>
    <xf numFmtId="0" fontId="14" fillId="0" borderId="0" xfId="0" applyFont="1" applyFill="1" applyBorder="1" applyAlignment="1">
      <alignment vertical="top" wrapText="1"/>
    </xf>
    <xf numFmtId="0" fontId="14" fillId="0" borderId="22" xfId="0" applyFont="1" applyFill="1" applyBorder="1" applyAlignment="1">
      <alignment vertical="top" wrapText="1"/>
    </xf>
    <xf numFmtId="0" fontId="14" fillId="0" borderId="17" xfId="0" applyFont="1" applyFill="1" applyBorder="1" applyAlignment="1">
      <alignment horizontal="distributed" vertical="center"/>
    </xf>
    <xf numFmtId="0" fontId="14" fillId="0" borderId="18" xfId="0" applyFont="1" applyBorder="1" applyAlignment="1">
      <alignment horizontal="distributed" vertical="center" wrapText="1"/>
    </xf>
    <xf numFmtId="0" fontId="14" fillId="0" borderId="0" xfId="0" applyFont="1" applyBorder="1" applyAlignment="1">
      <alignment horizontal="distributed" vertical="center" wrapText="1" indent="1"/>
    </xf>
    <xf numFmtId="0" fontId="14" fillId="0" borderId="27" xfId="0" applyFont="1" applyBorder="1" applyAlignment="1">
      <alignment horizontal="center" vertical="center" wrapText="1"/>
    </xf>
    <xf numFmtId="0" fontId="14" fillId="0" borderId="22" xfId="0" applyFont="1" applyBorder="1" applyAlignment="1">
      <alignment horizontal="center" vertical="center" wrapText="1"/>
    </xf>
    <xf numFmtId="0" fontId="10" fillId="0" borderId="0" xfId="0" applyFont="1" applyFill="1" applyAlignment="1">
      <alignment vertical="top"/>
    </xf>
    <xf numFmtId="178" fontId="138" fillId="25" borderId="0" xfId="21" applyNumberFormat="1" applyFont="1" applyFill="1" applyAlignment="1">
      <alignment vertical="top"/>
    </xf>
    <xf numFmtId="49" fontId="138" fillId="0" borderId="32" xfId="0" applyNumberFormat="1" applyFont="1" applyBorder="1" applyAlignment="1">
      <alignment vertical="top" wrapText="1"/>
    </xf>
    <xf numFmtId="0" fontId="10" fillId="0" borderId="0" xfId="0" applyFont="1" applyFill="1" applyAlignment="1">
      <alignment vertical="top"/>
    </xf>
    <xf numFmtId="0" fontId="114" fillId="0" borderId="17" xfId="0" applyFont="1" applyFill="1" applyBorder="1" applyAlignment="1">
      <alignment horizontal="justify" vertical="top"/>
    </xf>
    <xf numFmtId="0" fontId="88" fillId="0" borderId="30" xfId="0" applyFont="1" applyFill="1" applyBorder="1" applyAlignment="1">
      <alignment vertical="top" wrapText="1"/>
    </xf>
    <xf numFmtId="49" fontId="89" fillId="0" borderId="27" xfId="0" applyNumberFormat="1" applyFont="1" applyBorder="1" applyAlignment="1">
      <alignment vertical="top" wrapText="1"/>
    </xf>
    <xf numFmtId="49" fontId="89" fillId="0" borderId="0" xfId="0" applyNumberFormat="1" applyFont="1" applyBorder="1" applyAlignment="1">
      <alignment vertical="top" wrapText="1"/>
    </xf>
    <xf numFmtId="182" fontId="89" fillId="0" borderId="22" xfId="0" applyNumberFormat="1" applyFont="1" applyFill="1" applyBorder="1" applyAlignment="1">
      <alignment vertical="top" wrapText="1"/>
    </xf>
    <xf numFmtId="181" fontId="88" fillId="0" borderId="30" xfId="0" applyNumberFormat="1" applyFont="1" applyFill="1" applyBorder="1" applyAlignment="1">
      <alignment vertical="top"/>
    </xf>
    <xf numFmtId="182" fontId="89" fillId="0" borderId="18" xfId="0" applyNumberFormat="1" applyFont="1" applyFill="1" applyBorder="1" applyAlignment="1">
      <alignment vertical="top" wrapText="1"/>
    </xf>
    <xf numFmtId="0" fontId="89" fillId="0" borderId="30" xfId="0" applyFont="1" applyFill="1" applyBorder="1" applyAlignment="1">
      <alignment horizontal="justify" vertical="top"/>
    </xf>
    <xf numFmtId="0" fontId="89" fillId="0" borderId="30" xfId="0" applyFont="1" applyFill="1" applyBorder="1" applyAlignment="1">
      <alignment vertical="top"/>
    </xf>
    <xf numFmtId="182" fontId="88" fillId="0" borderId="12" xfId="0" applyNumberFormat="1" applyFont="1" applyFill="1" applyBorder="1" applyAlignment="1">
      <alignment vertical="top" wrapText="1"/>
    </xf>
    <xf numFmtId="0" fontId="114" fillId="0" borderId="10" xfId="0" applyFont="1" applyFill="1" applyBorder="1" applyAlignment="1">
      <alignment horizontal="justify" vertical="top"/>
    </xf>
    <xf numFmtId="0" fontId="88" fillId="0" borderId="18" xfId="0" applyFont="1" applyFill="1" applyBorder="1" applyAlignment="1">
      <alignment vertical="top" wrapText="1"/>
    </xf>
    <xf numFmtId="0" fontId="88" fillId="0" borderId="0" xfId="0" applyFont="1" applyFill="1" applyBorder="1" applyAlignment="1">
      <alignment vertical="top" wrapText="1"/>
    </xf>
    <xf numFmtId="0" fontId="114" fillId="0" borderId="10" xfId="0" applyFont="1" applyFill="1" applyBorder="1" applyAlignment="1">
      <alignment horizontal="justify" vertical="top" wrapText="1"/>
    </xf>
    <xf numFmtId="181" fontId="88" fillId="0" borderId="18" xfId="0" applyNumberFormat="1" applyFont="1" applyFill="1" applyBorder="1" applyAlignment="1">
      <alignment vertical="top"/>
    </xf>
    <xf numFmtId="182" fontId="88" fillId="0" borderId="0" xfId="0" applyNumberFormat="1" applyFont="1" applyFill="1" applyBorder="1" applyAlignment="1">
      <alignment vertical="top" wrapText="1"/>
    </xf>
    <xf numFmtId="49" fontId="89" fillId="0" borderId="0" xfId="0" applyNumberFormat="1" applyFont="1" applyFill="1" applyBorder="1" applyAlignment="1">
      <alignment vertical="top" wrapText="1"/>
    </xf>
    <xf numFmtId="0" fontId="114" fillId="0" borderId="21" xfId="0" applyFont="1" applyFill="1" applyBorder="1" applyAlignment="1">
      <alignment horizontal="justify" vertical="top"/>
    </xf>
    <xf numFmtId="0" fontId="88" fillId="0" borderId="31" xfId="0" applyFont="1" applyFill="1" applyBorder="1" applyAlignment="1">
      <alignment horizontal="justify" vertical="top"/>
    </xf>
    <xf numFmtId="0" fontId="88" fillId="0" borderId="31" xfId="0" applyFont="1" applyFill="1" applyBorder="1" applyAlignment="1">
      <alignment vertical="top"/>
    </xf>
    <xf numFmtId="0" fontId="88" fillId="0" borderId="30" xfId="0" applyFont="1" applyFill="1" applyBorder="1" applyAlignment="1">
      <alignment horizontal="justify" vertical="top"/>
    </xf>
    <xf numFmtId="0" fontId="88" fillId="0" borderId="30" xfId="0" applyFont="1" applyFill="1" applyBorder="1" applyAlignment="1">
      <alignment vertical="top"/>
    </xf>
    <xf numFmtId="0" fontId="121" fillId="0" borderId="22" xfId="20" applyNumberFormat="1" applyFont="1" applyFill="1" applyBorder="1" applyAlignment="1">
      <alignment horizontal="justify" vertical="top" wrapText="1"/>
    </xf>
    <xf numFmtId="179" fontId="88" fillId="0" borderId="18" xfId="20" applyNumberFormat="1" applyFont="1" applyFill="1" applyBorder="1" applyAlignment="1">
      <alignment vertical="top"/>
    </xf>
    <xf numFmtId="179" fontId="88" fillId="0" borderId="12" xfId="20" applyNumberFormat="1" applyFont="1" applyFill="1" applyBorder="1" applyAlignment="1">
      <alignment vertical="top"/>
    </xf>
    <xf numFmtId="0" fontId="121" fillId="0" borderId="23" xfId="20" applyNumberFormat="1" applyFont="1" applyFill="1" applyBorder="1" applyAlignment="1">
      <alignment horizontal="justify" vertical="top" wrapText="1"/>
    </xf>
    <xf numFmtId="0" fontId="10" fillId="0" borderId="0" xfId="0" applyFont="1" applyFill="1" applyAlignment="1">
      <alignment vertical="top"/>
    </xf>
    <xf numFmtId="3" fontId="36" fillId="0" borderId="21" xfId="0" applyNumberFormat="1" applyFont="1" applyFill="1" applyBorder="1" applyAlignment="1">
      <alignment horizontal="right" vertical="top" wrapText="1"/>
    </xf>
    <xf numFmtId="0" fontId="25" fillId="0" borderId="12" xfId="0" applyFont="1" applyFill="1" applyBorder="1" applyAlignment="1">
      <alignment horizontal="center" vertical="top" wrapText="1"/>
    </xf>
    <xf numFmtId="179" fontId="16" fillId="0" borderId="18" xfId="0" applyNumberFormat="1" applyFont="1" applyBorder="1" applyAlignment="1">
      <alignment horizontal="right" vertical="top"/>
    </xf>
    <xf numFmtId="179" fontId="16" fillId="0" borderId="32" xfId="0" applyNumberFormat="1" applyFont="1" applyFill="1" applyBorder="1" applyAlignment="1">
      <alignment vertical="top"/>
    </xf>
    <xf numFmtId="0" fontId="89" fillId="0" borderId="22" xfId="20" applyNumberFormat="1" applyFont="1" applyBorder="1" applyAlignment="1">
      <alignment horizontal="justify" vertical="top" wrapText="1"/>
    </xf>
    <xf numFmtId="0" fontId="106" fillId="0" borderId="11" xfId="20" applyNumberFormat="1" applyFont="1" applyBorder="1" applyAlignment="1">
      <alignment vertical="top" wrapText="1"/>
    </xf>
    <xf numFmtId="0" fontId="106" fillId="0" borderId="17" xfId="20" applyFont="1" applyBorder="1" applyAlignment="1">
      <alignment vertical="top" wrapText="1"/>
    </xf>
    <xf numFmtId="179" fontId="89" fillId="0" borderId="18" xfId="20" applyNumberFormat="1" applyFont="1" applyBorder="1" applyAlignment="1">
      <alignment vertical="top"/>
    </xf>
    <xf numFmtId="0" fontId="121" fillId="0" borderId="22" xfId="20" applyNumberFormat="1" applyFont="1" applyFill="1" applyBorder="1" applyAlignment="1">
      <alignment horizontal="left" vertical="top" wrapText="1"/>
    </xf>
    <xf numFmtId="0" fontId="89" fillId="0" borderId="22" xfId="20" applyNumberFormat="1" applyFont="1" applyFill="1" applyBorder="1" applyAlignment="1">
      <alignment horizontal="left" vertical="top" wrapText="1"/>
    </xf>
    <xf numFmtId="0" fontId="106" fillId="0" borderId="11" xfId="20" applyNumberFormat="1" applyFont="1" applyFill="1" applyBorder="1" applyAlignment="1">
      <alignment vertical="top" wrapText="1"/>
    </xf>
    <xf numFmtId="0" fontId="106" fillId="0" borderId="17" xfId="20" applyFont="1" applyFill="1" applyBorder="1" applyAlignment="1">
      <alignment vertical="top" wrapText="1"/>
    </xf>
    <xf numFmtId="179" fontId="89" fillId="0" borderId="18" xfId="20" applyNumberFormat="1" applyFont="1" applyFill="1" applyBorder="1" applyAlignment="1">
      <alignment vertical="top"/>
    </xf>
    <xf numFmtId="0" fontId="24" fillId="0" borderId="28" xfId="0" applyFont="1" applyFill="1" applyBorder="1" applyAlignment="1">
      <alignment horizontal="center" vertical="center" wrapText="1"/>
    </xf>
    <xf numFmtId="178" fontId="112" fillId="0" borderId="18" xfId="0" applyNumberFormat="1" applyFont="1" applyFill="1" applyBorder="1" applyAlignment="1">
      <alignment horizontal="right" vertical="top" wrapText="1"/>
    </xf>
    <xf numFmtId="178" fontId="140" fillId="0" borderId="18" xfId="0" applyNumberFormat="1" applyFont="1" applyFill="1" applyBorder="1" applyAlignment="1">
      <alignment horizontal="right" vertical="top" wrapText="1"/>
    </xf>
    <xf numFmtId="202" fontId="29" fillId="0" borderId="18" xfId="0" applyNumberFormat="1" applyFont="1" applyFill="1" applyBorder="1" applyAlignment="1">
      <alignment horizontal="right" vertical="top" wrapText="1"/>
    </xf>
    <xf numFmtId="0" fontId="24" fillId="0" borderId="28" xfId="0" applyFont="1" applyFill="1" applyBorder="1" applyAlignment="1">
      <alignment horizontal="center" vertical="center" wrapText="1"/>
    </xf>
    <xf numFmtId="178" fontId="29" fillId="0" borderId="12" xfId="21" applyNumberFormat="1" applyFont="1" applyFill="1" applyBorder="1" applyAlignment="1">
      <alignment horizontal="right" vertical="top" wrapText="1"/>
    </xf>
    <xf numFmtId="43" fontId="29" fillId="0" borderId="13" xfId="0" applyNumberFormat="1" applyFont="1" applyFill="1" applyBorder="1" applyAlignment="1">
      <alignment horizontal="right" vertical="top" wrapText="1"/>
    </xf>
    <xf numFmtId="41" fontId="29" fillId="0" borderId="11" xfId="21" applyNumberFormat="1" applyFont="1" applyFill="1" applyBorder="1" applyAlignment="1">
      <alignment horizontal="right" vertical="top" wrapText="1"/>
    </xf>
    <xf numFmtId="41" fontId="58" fillId="0" borderId="12" xfId="0" applyNumberFormat="1" applyFont="1" applyFill="1" applyBorder="1" applyAlignment="1">
      <alignment horizontal="right" vertical="top" wrapText="1"/>
    </xf>
    <xf numFmtId="0" fontId="10" fillId="0" borderId="0" xfId="0" applyFont="1" applyFill="1" applyAlignment="1">
      <alignment vertical="top"/>
    </xf>
    <xf numFmtId="0" fontId="10" fillId="0" borderId="22" xfId="0" applyFont="1" applyFill="1" applyBorder="1" applyAlignment="1">
      <alignment horizontal="left" vertical="top" wrapText="1"/>
    </xf>
    <xf numFmtId="0" fontId="10" fillId="0" borderId="0" xfId="0" applyFont="1" applyFill="1" applyAlignment="1">
      <alignment vertical="top"/>
    </xf>
    <xf numFmtId="3" fontId="10" fillId="0" borderId="0" xfId="0" applyNumberFormat="1" applyFont="1" applyFill="1" applyBorder="1" applyAlignment="1">
      <alignment vertical="top" wrapText="1"/>
    </xf>
    <xf numFmtId="0" fontId="10" fillId="0" borderId="17" xfId="0" applyFont="1" applyFill="1" applyBorder="1" applyAlignment="1">
      <alignment horizontal="distributed" vertical="center" wrapText="1" indent="2"/>
    </xf>
    <xf numFmtId="0" fontId="10" fillId="0" borderId="15" xfId="0" applyFont="1" applyFill="1" applyBorder="1" applyAlignment="1">
      <alignment horizontal="distributed" vertical="center" wrapText="1" indent="1"/>
    </xf>
    <xf numFmtId="0" fontId="10" fillId="0" borderId="27" xfId="0" applyFont="1" applyFill="1" applyBorder="1" applyAlignment="1">
      <alignment horizontal="left" vertical="top" wrapText="1"/>
    </xf>
    <xf numFmtId="0" fontId="10" fillId="0" borderId="15" xfId="0" applyFont="1" applyFill="1" applyBorder="1" applyAlignment="1">
      <alignment horizontal="center" vertical="center" wrapText="1"/>
    </xf>
    <xf numFmtId="177" fontId="10" fillId="0" borderId="15" xfId="0" applyNumberFormat="1" applyFont="1" applyFill="1" applyBorder="1" applyAlignment="1">
      <alignment horizontal="center" vertical="center" wrapText="1"/>
    </xf>
    <xf numFmtId="0" fontId="16" fillId="0" borderId="42" xfId="0" applyFont="1" applyFill="1" applyBorder="1" applyAlignment="1">
      <alignment horizontal="left" vertical="top" wrapText="1"/>
    </xf>
    <xf numFmtId="0" fontId="10" fillId="0" borderId="0" xfId="0" applyFont="1" applyFill="1" applyAlignment="1">
      <alignment vertical="top"/>
    </xf>
    <xf numFmtId="0" fontId="24" fillId="0" borderId="0" xfId="0" applyFont="1" applyFill="1" applyBorder="1" applyAlignment="1">
      <alignment horizontal="justify" vertical="top" wrapText="1"/>
    </xf>
    <xf numFmtId="179" fontId="16" fillId="0" borderId="40" xfId="0" applyNumberFormat="1" applyFont="1" applyFill="1" applyBorder="1" applyAlignment="1">
      <alignment vertical="top"/>
    </xf>
    <xf numFmtId="0" fontId="15" fillId="0" borderId="40" xfId="0" applyFont="1" applyFill="1" applyBorder="1" applyAlignment="1">
      <alignment horizontal="distributed" vertical="top" indent="6"/>
    </xf>
    <xf numFmtId="0" fontId="10" fillId="0" borderId="0" xfId="0" applyFont="1" applyAlignment="1">
      <alignment vertical="top"/>
    </xf>
    <xf numFmtId="0" fontId="10" fillId="0" borderId="24" xfId="0" applyFont="1" applyFill="1" applyBorder="1" applyAlignment="1">
      <alignment horizontal="distributed" vertical="center" wrapText="1" indent="1"/>
    </xf>
    <xf numFmtId="0" fontId="10" fillId="0" borderId="15" xfId="0" applyFont="1" applyFill="1" applyBorder="1" applyAlignment="1">
      <alignment horizontal="center" vertical="center" wrapText="1"/>
    </xf>
    <xf numFmtId="0" fontId="14" fillId="0" borderId="24" xfId="0" applyFont="1" applyFill="1" applyBorder="1" applyAlignment="1">
      <alignment horizontal="distributed" vertical="center" wrapText="1" indent="1"/>
    </xf>
    <xf numFmtId="0" fontId="10" fillId="0" borderId="11" xfId="0" applyFont="1" applyFill="1" applyBorder="1" applyAlignment="1">
      <alignment horizontal="justify" vertical="top" wrapText="1"/>
    </xf>
    <xf numFmtId="0" fontId="10" fillId="0" borderId="18" xfId="0" applyFont="1" applyBorder="1">
      <alignment vertical="center"/>
    </xf>
    <xf numFmtId="0" fontId="14" fillId="0" borderId="18" xfId="0" applyFont="1" applyFill="1" applyBorder="1" applyAlignment="1">
      <alignment horizontal="left" vertical="center" wrapText="1"/>
    </xf>
    <xf numFmtId="0" fontId="89" fillId="0" borderId="20" xfId="0" applyFont="1" applyFill="1" applyBorder="1" applyAlignment="1">
      <alignment horizontal="center" vertical="center" wrapText="1"/>
    </xf>
    <xf numFmtId="3" fontId="89" fillId="0" borderId="18" xfId="0" applyNumberFormat="1" applyFont="1" applyFill="1" applyBorder="1" applyAlignment="1">
      <alignment horizontal="right" vertical="top" wrapText="1"/>
    </xf>
    <xf numFmtId="179" fontId="89" fillId="0" borderId="18" xfId="0" applyNumberFormat="1" applyFont="1" applyFill="1" applyBorder="1" applyAlignment="1">
      <alignment horizontal="right" vertical="top" wrapText="1"/>
    </xf>
    <xf numFmtId="3" fontId="89" fillId="0" borderId="18" xfId="0" applyNumberFormat="1" applyFont="1" applyFill="1" applyBorder="1" applyAlignment="1">
      <alignment vertical="top"/>
    </xf>
    <xf numFmtId="49" fontId="89" fillId="0" borderId="22" xfId="0" applyNumberFormat="1" applyFont="1" applyFill="1" applyBorder="1" applyAlignment="1">
      <alignment vertical="top" wrapText="1"/>
    </xf>
    <xf numFmtId="0" fontId="10" fillId="0" borderId="22" xfId="0" applyFont="1" applyFill="1" applyBorder="1" applyAlignment="1">
      <alignment vertical="top" wrapText="1"/>
    </xf>
    <xf numFmtId="0" fontId="114" fillId="0" borderId="42" xfId="0" applyFont="1" applyFill="1" applyBorder="1" applyAlignment="1">
      <alignment horizontal="justify" vertical="top"/>
    </xf>
    <xf numFmtId="0" fontId="88" fillId="0" borderId="36" xfId="0" applyFont="1" applyFill="1" applyBorder="1" applyAlignment="1">
      <alignment horizontal="justify" vertical="top"/>
    </xf>
    <xf numFmtId="0" fontId="88" fillId="0" borderId="12" xfId="0" applyFont="1" applyFill="1" applyBorder="1" applyAlignment="1">
      <alignment vertical="top"/>
    </xf>
    <xf numFmtId="0" fontId="139" fillId="0" borderId="32" xfId="0" applyFont="1" applyBorder="1" applyAlignment="1">
      <alignment vertical="top" wrapText="1"/>
    </xf>
    <xf numFmtId="0" fontId="139" fillId="0" borderId="36" xfId="0" applyFont="1" applyBorder="1" applyAlignment="1">
      <alignment vertical="top" wrapText="1"/>
    </xf>
    <xf numFmtId="0" fontId="139" fillId="0" borderId="23" xfId="0" applyFont="1" applyBorder="1" applyAlignment="1">
      <alignment vertical="top" wrapText="1"/>
    </xf>
    <xf numFmtId="49" fontId="21" fillId="0" borderId="32" xfId="0" applyNumberFormat="1" applyFont="1" applyBorder="1" applyAlignment="1">
      <alignment vertical="top" wrapText="1"/>
    </xf>
    <xf numFmtId="0" fontId="14" fillId="0" borderId="36" xfId="0" applyFont="1" applyFill="1" applyBorder="1" applyAlignment="1">
      <alignment vertical="top" wrapText="1"/>
    </xf>
    <xf numFmtId="0" fontId="14" fillId="0" borderId="23" xfId="0" applyFont="1" applyFill="1" applyBorder="1" applyAlignment="1">
      <alignment vertical="top" wrapText="1"/>
    </xf>
    <xf numFmtId="0" fontId="89" fillId="0" borderId="0" xfId="0" applyFont="1" applyFill="1" applyBorder="1" applyAlignment="1">
      <alignment vertical="top"/>
    </xf>
    <xf numFmtId="0" fontId="16" fillId="0" borderId="21" xfId="0" applyFont="1" applyFill="1" applyBorder="1" applyAlignment="1">
      <alignment vertical="top" wrapText="1"/>
    </xf>
    <xf numFmtId="0" fontId="25" fillId="0" borderId="21" xfId="0" applyFont="1" applyFill="1" applyBorder="1" applyAlignment="1">
      <alignment horizontal="left" vertical="top" wrapText="1"/>
    </xf>
    <xf numFmtId="41" fontId="36" fillId="0" borderId="32" xfId="0" applyNumberFormat="1" applyFont="1" applyFill="1" applyBorder="1" applyAlignment="1">
      <alignment horizontal="right" vertical="top" wrapText="1"/>
    </xf>
    <xf numFmtId="41" fontId="36" fillId="0" borderId="21" xfId="0" applyNumberFormat="1" applyFont="1" applyFill="1" applyBorder="1" applyAlignment="1">
      <alignment horizontal="right" vertical="top" wrapText="1"/>
    </xf>
    <xf numFmtId="0" fontId="25" fillId="0" borderId="12" xfId="0" applyFont="1" applyFill="1" applyBorder="1" applyAlignment="1">
      <alignment horizontal="left" vertical="top" wrapText="1"/>
    </xf>
    <xf numFmtId="0" fontId="10" fillId="0" borderId="22" xfId="0" applyFont="1" applyFill="1" applyBorder="1" applyAlignment="1">
      <alignment horizontal="left" vertical="top" wrapText="1"/>
    </xf>
    <xf numFmtId="0" fontId="10" fillId="0" borderId="0" xfId="0" applyFont="1" applyBorder="1" applyAlignment="1">
      <alignment horizontal="center" vertical="center"/>
    </xf>
    <xf numFmtId="0" fontId="10" fillId="0" borderId="0" xfId="0" applyFont="1" applyFill="1" applyBorder="1" applyAlignment="1">
      <alignment horizontal="left" vertical="top" wrapText="1"/>
    </xf>
    <xf numFmtId="0" fontId="10" fillId="0" borderId="22" xfId="0" applyFont="1" applyBorder="1" applyAlignment="1">
      <alignment horizontal="left" vertical="top" wrapText="1"/>
    </xf>
    <xf numFmtId="0" fontId="14" fillId="0" borderId="24" xfId="0" applyFont="1" applyFill="1" applyBorder="1" applyAlignment="1">
      <alignment horizontal="center" vertical="center" wrapText="1"/>
    </xf>
    <xf numFmtId="0" fontId="14" fillId="0" borderId="15" xfId="0" applyFont="1" applyFill="1" applyBorder="1" applyAlignment="1">
      <alignment horizontal="center" vertical="center" wrapText="1"/>
    </xf>
    <xf numFmtId="0" fontId="14" fillId="0" borderId="27" xfId="0" applyFont="1" applyBorder="1" applyAlignment="1">
      <alignment horizontal="distributed" vertical="center" wrapText="1"/>
    </xf>
    <xf numFmtId="0" fontId="14" fillId="0" borderId="17" xfId="0" applyFont="1" applyBorder="1" applyAlignment="1">
      <alignment horizontal="distributed" vertical="center" wrapText="1" indent="1"/>
    </xf>
    <xf numFmtId="0" fontId="14" fillId="0" borderId="18" xfId="0" applyFont="1" applyBorder="1" applyAlignment="1">
      <alignment horizontal="distributed" vertical="center" wrapText="1" indent="1"/>
    </xf>
    <xf numFmtId="0" fontId="14" fillId="0" borderId="27" xfId="0" applyFont="1" applyBorder="1" applyAlignment="1">
      <alignment horizontal="distributed" vertical="center" wrapText="1" indent="1"/>
    </xf>
    <xf numFmtId="0" fontId="14" fillId="0" borderId="22" xfId="0" applyFont="1" applyBorder="1" applyAlignment="1">
      <alignment horizontal="distributed" vertical="center" wrapText="1" indent="1"/>
    </xf>
    <xf numFmtId="0" fontId="10" fillId="0" borderId="0" xfId="0" applyFont="1" applyAlignment="1">
      <alignment vertical="center"/>
    </xf>
    <xf numFmtId="41" fontId="38" fillId="0" borderId="18" xfId="0" applyNumberFormat="1" applyFont="1" applyFill="1" applyBorder="1" applyAlignment="1">
      <alignment horizontal="right" vertical="top" wrapText="1"/>
    </xf>
    <xf numFmtId="0" fontId="15" fillId="0" borderId="18" xfId="0" applyFont="1" applyBorder="1" applyAlignment="1">
      <alignment vertical="top"/>
    </xf>
    <xf numFmtId="0" fontId="26" fillId="25" borderId="0" xfId="111" applyFont="1" applyFill="1"/>
    <xf numFmtId="0" fontId="10" fillId="0" borderId="38" xfId="111" applyFont="1" applyBorder="1" applyAlignment="1">
      <alignment horizontal="center" vertical="center"/>
    </xf>
    <xf numFmtId="41" fontId="143" fillId="0" borderId="18" xfId="0" applyNumberFormat="1" applyFont="1" applyFill="1" applyBorder="1" applyAlignment="1">
      <alignment horizontal="right" vertical="top" wrapText="1"/>
    </xf>
    <xf numFmtId="0" fontId="10" fillId="0" borderId="15" xfId="111" applyFont="1" applyBorder="1" applyAlignment="1">
      <alignment horizontal="center" vertical="center"/>
    </xf>
    <xf numFmtId="179" fontId="16" fillId="0" borderId="27" xfId="0" applyNumberFormat="1" applyFont="1" applyFill="1" applyBorder="1" applyAlignment="1">
      <alignment horizontal="right" vertical="top"/>
    </xf>
    <xf numFmtId="0" fontId="121" fillId="0" borderId="22" xfId="0" applyFont="1" applyBorder="1" applyAlignment="1">
      <alignment horizontal="justify" vertical="top" wrapText="1"/>
    </xf>
    <xf numFmtId="200" fontId="58" fillId="0" borderId="11" xfId="0" applyNumberFormat="1" applyFont="1" applyFill="1" applyBorder="1" applyAlignment="1">
      <alignment horizontal="right" vertical="top" wrapText="1"/>
    </xf>
    <xf numFmtId="200" fontId="29" fillId="0" borderId="11" xfId="0" applyNumberFormat="1" applyFont="1" applyFill="1" applyBorder="1" applyAlignment="1">
      <alignment horizontal="right" vertical="top" wrapText="1"/>
    </xf>
    <xf numFmtId="182" fontId="89" fillId="0" borderId="27" xfId="0" applyNumberFormat="1" applyFont="1" applyFill="1" applyBorder="1" applyAlignment="1">
      <alignment vertical="top" wrapText="1"/>
    </xf>
    <xf numFmtId="0" fontId="89" fillId="0" borderId="27" xfId="0" applyFont="1" applyFill="1" applyBorder="1" applyAlignment="1">
      <alignment vertical="top" wrapText="1"/>
    </xf>
    <xf numFmtId="0" fontId="121" fillId="0" borderId="11" xfId="20" applyNumberFormat="1" applyFont="1" applyBorder="1" applyAlignment="1">
      <alignment vertical="top" wrapText="1"/>
    </xf>
    <xf numFmtId="0" fontId="121" fillId="0" borderId="11" xfId="20" applyNumberFormat="1" applyFont="1" applyFill="1" applyBorder="1" applyAlignment="1">
      <alignment vertical="top" wrapText="1"/>
    </xf>
    <xf numFmtId="0" fontId="10" fillId="0" borderId="27" xfId="0" applyFont="1" applyFill="1" applyBorder="1" applyAlignment="1">
      <alignment horizontal="left" vertical="top" wrapText="1"/>
    </xf>
    <xf numFmtId="0" fontId="14" fillId="0" borderId="18" xfId="0" applyFont="1" applyFill="1" applyBorder="1" applyAlignment="1">
      <alignment vertical="top"/>
    </xf>
    <xf numFmtId="41" fontId="10" fillId="0" borderId="16" xfId="67" applyNumberFormat="1" applyFont="1" applyFill="1" applyBorder="1" applyAlignment="1">
      <alignment horizontal="right" vertical="center"/>
    </xf>
    <xf numFmtId="41" fontId="10" fillId="0" borderId="18" xfId="67" applyNumberFormat="1" applyFont="1" applyFill="1" applyBorder="1" applyAlignment="1">
      <alignment horizontal="right" vertical="center"/>
    </xf>
    <xf numFmtId="0" fontId="14" fillId="0" borderId="17" xfId="20" applyFont="1" applyBorder="1" applyAlignment="1">
      <alignment horizontal="left" vertical="top" wrapText="1"/>
    </xf>
    <xf numFmtId="0" fontId="10" fillId="0" borderId="0" xfId="111" applyFont="1" applyBorder="1" applyAlignment="1">
      <alignment horizontal="center" vertical="center"/>
    </xf>
    <xf numFmtId="3" fontId="16" fillId="0" borderId="0" xfId="111" applyNumberFormat="1" applyFont="1" applyBorder="1" applyAlignment="1">
      <alignment horizontal="right" vertical="center" wrapText="1"/>
    </xf>
    <xf numFmtId="3" fontId="10" fillId="0" borderId="0" xfId="111" applyNumberFormat="1" applyFont="1" applyBorder="1" applyAlignment="1">
      <alignment horizontal="right" vertical="center"/>
    </xf>
    <xf numFmtId="41" fontId="16" fillId="0" borderId="0" xfId="111" applyNumberFormat="1" applyFont="1" applyBorder="1" applyAlignment="1">
      <alignment horizontal="right" vertical="center" wrapText="1"/>
    </xf>
    <xf numFmtId="0" fontId="61" fillId="0" borderId="0" xfId="111" applyFont="1" applyFill="1" applyBorder="1" applyAlignment="1">
      <alignment horizontal="justify" vertical="center"/>
    </xf>
    <xf numFmtId="0" fontId="136" fillId="0" borderId="0" xfId="257" applyFont="1" applyBorder="1" applyAlignment="1">
      <alignment horizontal="distributed" vertical="center" indent="2"/>
    </xf>
    <xf numFmtId="0" fontId="0" fillId="0" borderId="0" xfId="0" applyAlignment="1">
      <alignment horizontal="center" vertical="center"/>
    </xf>
    <xf numFmtId="0" fontId="119" fillId="0" borderId="37" xfId="111" applyFont="1" applyFill="1" applyBorder="1" applyAlignment="1">
      <alignment horizontal="justify" vertical="center" wrapText="1"/>
    </xf>
    <xf numFmtId="0" fontId="61" fillId="0" borderId="37" xfId="111" applyFont="1" applyFill="1" applyBorder="1" applyAlignment="1">
      <alignment horizontal="justify" vertical="center"/>
    </xf>
    <xf numFmtId="0" fontId="57" fillId="0" borderId="15" xfId="0" applyFont="1" applyFill="1" applyBorder="1" applyAlignment="1">
      <alignment horizontal="center" vertical="center" textRotation="255"/>
    </xf>
    <xf numFmtId="0" fontId="57" fillId="0" borderId="18" xfId="0" applyFont="1" applyFill="1" applyBorder="1" applyAlignment="1">
      <alignment horizontal="center" vertical="center" textRotation="255"/>
    </xf>
    <xf numFmtId="0" fontId="57" fillId="0" borderId="46" xfId="0" applyFont="1" applyFill="1" applyBorder="1" applyAlignment="1">
      <alignment horizontal="center" vertical="center" textRotation="255"/>
    </xf>
    <xf numFmtId="0" fontId="57" fillId="0" borderId="28" xfId="0" applyFont="1" applyFill="1" applyBorder="1" applyAlignment="1">
      <alignment horizontal="center" vertical="center" textRotation="255"/>
    </xf>
    <xf numFmtId="0" fontId="59" fillId="0" borderId="40" xfId="0" applyFont="1" applyFill="1" applyBorder="1" applyAlignment="1">
      <alignment horizontal="left" vertical="top" wrapText="1"/>
    </xf>
    <xf numFmtId="0" fontId="60" fillId="0" borderId="40" xfId="0" applyFont="1" applyFill="1" applyBorder="1" applyAlignment="1">
      <alignment horizontal="left" vertical="top" wrapText="1"/>
    </xf>
    <xf numFmtId="0" fontId="57" fillId="0" borderId="47" xfId="0" applyFont="1" applyFill="1" applyBorder="1" applyAlignment="1">
      <alignment horizontal="center" vertical="center"/>
    </xf>
    <xf numFmtId="0" fontId="57" fillId="0" borderId="48" xfId="0" applyFont="1" applyFill="1" applyBorder="1" applyAlignment="1">
      <alignment horizontal="center" vertical="center"/>
    </xf>
    <xf numFmtId="180" fontId="57" fillId="0" borderId="28" xfId="0" applyNumberFormat="1" applyFont="1" applyFill="1" applyBorder="1" applyAlignment="1">
      <alignment horizontal="center" vertical="center"/>
    </xf>
    <xf numFmtId="0" fontId="57" fillId="0" borderId="28" xfId="0" applyFont="1" applyFill="1" applyBorder="1" applyAlignment="1">
      <alignment horizontal="center" vertical="center"/>
    </xf>
    <xf numFmtId="0" fontId="8" fillId="0" borderId="0" xfId="0" applyFont="1" applyFill="1" applyAlignment="1">
      <alignment horizontal="center" vertical="center"/>
    </xf>
    <xf numFmtId="0" fontId="7" fillId="0" borderId="0" xfId="0" applyFont="1" applyFill="1" applyAlignment="1">
      <alignment horizontal="center" vertical="center"/>
    </xf>
    <xf numFmtId="0" fontId="11" fillId="0" borderId="0" xfId="0" applyFont="1" applyFill="1" applyAlignment="1">
      <alignment horizontal="center" vertical="center"/>
    </xf>
    <xf numFmtId="0" fontId="12" fillId="0" borderId="0" xfId="0" applyFont="1" applyFill="1" applyAlignment="1">
      <alignment horizontal="center" vertical="center"/>
    </xf>
    <xf numFmtId="0" fontId="14" fillId="0" borderId="0" xfId="0" applyFont="1" applyFill="1" applyBorder="1" applyAlignment="1">
      <alignment horizontal="center" vertical="center"/>
    </xf>
    <xf numFmtId="0" fontId="10" fillId="0" borderId="0" xfId="0" applyFont="1" applyFill="1" applyBorder="1" applyAlignment="1">
      <alignment horizontal="center" vertical="center"/>
    </xf>
    <xf numFmtId="0" fontId="22" fillId="0" borderId="19" xfId="0" applyFont="1" applyFill="1" applyBorder="1" applyAlignment="1">
      <alignment horizontal="center" vertical="center" wrapText="1"/>
    </xf>
    <xf numFmtId="0" fontId="24" fillId="0" borderId="24" xfId="0" applyFont="1" applyFill="1" applyBorder="1" applyAlignment="1">
      <alignment horizontal="center" vertical="center" wrapText="1"/>
    </xf>
    <xf numFmtId="0" fontId="22" fillId="0" borderId="24" xfId="0" applyFont="1" applyFill="1" applyBorder="1" applyAlignment="1">
      <alignment horizontal="center" vertical="center" wrapText="1"/>
    </xf>
    <xf numFmtId="0" fontId="24" fillId="0" borderId="28" xfId="0" applyFont="1" applyFill="1" applyBorder="1" applyAlignment="1">
      <alignment horizontal="center" vertical="center" wrapText="1"/>
    </xf>
    <xf numFmtId="0" fontId="22" fillId="0" borderId="43" xfId="0" applyFont="1" applyFill="1" applyBorder="1" applyAlignment="1">
      <alignment horizontal="center" vertical="center" wrapText="1"/>
    </xf>
    <xf numFmtId="0" fontId="24" fillId="0" borderId="55" xfId="0" applyFont="1" applyFill="1" applyBorder="1" applyAlignment="1">
      <alignment horizontal="center" vertical="center" wrapText="1"/>
    </xf>
    <xf numFmtId="0" fontId="24" fillId="0" borderId="45" xfId="0" applyFont="1" applyFill="1" applyBorder="1" applyAlignment="1">
      <alignment horizontal="center" vertical="center" wrapText="1"/>
    </xf>
    <xf numFmtId="0" fontId="133" fillId="0" borderId="10" xfId="0" applyFont="1" applyFill="1" applyBorder="1" applyAlignment="1">
      <alignment horizontal="left" vertical="top" wrapText="1"/>
    </xf>
    <xf numFmtId="0" fontId="10" fillId="0" borderId="0" xfId="0" applyFont="1" applyAlignment="1">
      <alignment horizontal="left" vertical="top"/>
    </xf>
    <xf numFmtId="0" fontId="10" fillId="0" borderId="22" xfId="0" applyFont="1" applyBorder="1" applyAlignment="1">
      <alignment horizontal="left" vertical="top"/>
    </xf>
    <xf numFmtId="0" fontId="31" fillId="0" borderId="10" xfId="0" applyFont="1" applyFill="1" applyBorder="1" applyAlignment="1">
      <alignment horizontal="left" vertical="top" wrapText="1"/>
    </xf>
    <xf numFmtId="0" fontId="10" fillId="0" borderId="0" xfId="0" applyFont="1" applyFill="1" applyAlignment="1">
      <alignment horizontal="left" vertical="top"/>
    </xf>
    <xf numFmtId="0" fontId="10" fillId="0" borderId="22" xfId="0" applyFont="1" applyFill="1" applyBorder="1" applyAlignment="1">
      <alignment horizontal="left" vertical="top"/>
    </xf>
    <xf numFmtId="0" fontId="10" fillId="0" borderId="0" xfId="0" applyFont="1" applyFill="1" applyAlignment="1">
      <alignment horizontal="left" vertical="top" wrapText="1"/>
    </xf>
    <xf numFmtId="0" fontId="10" fillId="0" borderId="22" xfId="0" applyFont="1" applyFill="1" applyBorder="1" applyAlignment="1">
      <alignment horizontal="left" vertical="top" wrapText="1"/>
    </xf>
    <xf numFmtId="0" fontId="115" fillId="0" borderId="36" xfId="0" applyFont="1" applyFill="1" applyBorder="1" applyAlignment="1">
      <alignment horizontal="center" vertical="center"/>
    </xf>
    <xf numFmtId="0" fontId="10" fillId="0" borderId="36" xfId="0" applyFont="1" applyFill="1" applyBorder="1" applyAlignment="1">
      <alignment horizontal="center" vertical="center"/>
    </xf>
    <xf numFmtId="0" fontId="133" fillId="0" borderId="0" xfId="0" applyFont="1" applyFill="1" applyBorder="1" applyAlignment="1">
      <alignment horizontal="left" vertical="top" wrapText="1"/>
    </xf>
    <xf numFmtId="0" fontId="19" fillId="0" borderId="22" xfId="0" applyFont="1" applyFill="1" applyBorder="1" applyAlignment="1">
      <alignment horizontal="left" vertical="top" wrapText="1"/>
    </xf>
    <xf numFmtId="0" fontId="10" fillId="0" borderId="0" xfId="0" applyFont="1" applyAlignment="1">
      <alignment vertical="center"/>
    </xf>
    <xf numFmtId="0" fontId="10" fillId="0" borderId="22" xfId="0" applyFont="1" applyBorder="1" applyAlignment="1">
      <alignment vertical="center"/>
    </xf>
    <xf numFmtId="0" fontId="10" fillId="0" borderId="0" xfId="0" applyFont="1" applyFill="1" applyAlignment="1">
      <alignment vertical="top"/>
    </xf>
    <xf numFmtId="0" fontId="10" fillId="0" borderId="22" xfId="0" applyFont="1" applyFill="1" applyBorder="1" applyAlignment="1">
      <alignment vertical="top"/>
    </xf>
    <xf numFmtId="0" fontId="10" fillId="0" borderId="0" xfId="0" applyFont="1" applyAlignment="1">
      <alignment vertical="top"/>
    </xf>
    <xf numFmtId="0" fontId="10" fillId="0" borderId="22" xfId="0" applyFont="1" applyBorder="1" applyAlignment="1">
      <alignment vertical="top"/>
    </xf>
    <xf numFmtId="0" fontId="7" fillId="0" borderId="0" xfId="0" applyFont="1" applyAlignment="1">
      <alignment horizontal="center" vertical="center"/>
    </xf>
    <xf numFmtId="0" fontId="11" fillId="0" borderId="0" xfId="0" applyFont="1" applyAlignment="1">
      <alignment horizontal="center" vertical="center"/>
    </xf>
    <xf numFmtId="0" fontId="12" fillId="0" borderId="0" xfId="0" applyFont="1" applyAlignment="1">
      <alignment horizontal="center" vertical="center"/>
    </xf>
    <xf numFmtId="0" fontId="115" fillId="0" borderId="36" xfId="0" applyFont="1" applyBorder="1" applyAlignment="1">
      <alignment horizontal="center" vertical="center"/>
    </xf>
    <xf numFmtId="0" fontId="10" fillId="0" borderId="36" xfId="0" applyFont="1" applyBorder="1" applyAlignment="1">
      <alignment horizontal="center" vertical="center"/>
    </xf>
    <xf numFmtId="0" fontId="10" fillId="0" borderId="19" xfId="0" applyFont="1" applyBorder="1" applyAlignment="1">
      <alignment horizontal="distributed" vertical="center" wrapText="1" indent="1"/>
    </xf>
    <xf numFmtId="0" fontId="10" fillId="0" borderId="24" xfId="0" applyFont="1" applyBorder="1" applyAlignment="1">
      <alignment horizontal="distributed" vertical="center" wrapText="1" indent="1"/>
    </xf>
    <xf numFmtId="0" fontId="10" fillId="0" borderId="28" xfId="0" applyFont="1" applyBorder="1" applyAlignment="1">
      <alignment horizontal="distributed" vertical="center" wrapText="1" indent="1"/>
    </xf>
    <xf numFmtId="0" fontId="10" fillId="0" borderId="20" xfId="0" applyFont="1" applyBorder="1" applyAlignment="1">
      <alignment horizontal="distributed" vertical="center" wrapText="1" indent="1"/>
    </xf>
    <xf numFmtId="0" fontId="10" fillId="0" borderId="44" xfId="0" applyFont="1" applyBorder="1" applyAlignment="1">
      <alignment horizontal="distributed" vertical="center" wrapText="1" indent="1"/>
    </xf>
    <xf numFmtId="3" fontId="115" fillId="0" borderId="27" xfId="0" applyNumberFormat="1" applyFont="1" applyFill="1" applyBorder="1" applyAlignment="1">
      <alignment vertical="top" wrapText="1"/>
    </xf>
    <xf numFmtId="3" fontId="10" fillId="0" borderId="0" xfId="0" applyNumberFormat="1" applyFont="1" applyFill="1" applyBorder="1" applyAlignment="1">
      <alignment vertical="top" wrapText="1"/>
    </xf>
    <xf numFmtId="3" fontId="10" fillId="0" borderId="22" xfId="0" applyNumberFormat="1" applyFont="1" applyFill="1" applyBorder="1" applyAlignment="1">
      <alignment vertical="top" wrapText="1"/>
    </xf>
    <xf numFmtId="0" fontId="10" fillId="0" borderId="33" xfId="0" applyFont="1" applyFill="1" applyBorder="1" applyAlignment="1">
      <alignment horizontal="distributed" vertical="center" wrapText="1" indent="2"/>
    </xf>
    <xf numFmtId="0" fontId="10" fillId="0" borderId="17" xfId="0" applyFont="1" applyFill="1" applyBorder="1" applyAlignment="1">
      <alignment horizontal="distributed" vertical="center" wrapText="1" indent="2"/>
    </xf>
    <xf numFmtId="0" fontId="10" fillId="0" borderId="49" xfId="0" applyFont="1" applyFill="1" applyBorder="1" applyAlignment="1">
      <alignment horizontal="distributed" vertical="center" wrapText="1" indent="2"/>
    </xf>
    <xf numFmtId="0" fontId="10" fillId="0" borderId="24" xfId="0" applyFont="1" applyFill="1" applyBorder="1" applyAlignment="1">
      <alignment horizontal="distributed" vertical="center" wrapText="1" indent="1"/>
    </xf>
    <xf numFmtId="0" fontId="10" fillId="0" borderId="28" xfId="0" applyFont="1" applyFill="1" applyBorder="1" applyAlignment="1">
      <alignment horizontal="distributed" vertical="center" wrapText="1" indent="1"/>
    </xf>
    <xf numFmtId="0" fontId="10" fillId="0" borderId="15" xfId="0" applyFont="1" applyFill="1" applyBorder="1" applyAlignment="1">
      <alignment horizontal="distributed" vertical="center" wrapText="1" indent="1"/>
    </xf>
    <xf numFmtId="0" fontId="10" fillId="0" borderId="50" xfId="0" applyFont="1" applyFill="1" applyBorder="1" applyAlignment="1">
      <alignment horizontal="distributed" vertical="center" wrapText="1" indent="2"/>
    </xf>
    <xf numFmtId="0" fontId="10" fillId="0" borderId="40" xfId="0" applyFont="1" applyFill="1" applyBorder="1" applyAlignment="1">
      <alignment horizontal="distributed" vertical="center" wrapText="1" indent="2"/>
    </xf>
    <xf numFmtId="0" fontId="10" fillId="0" borderId="41" xfId="0" applyFont="1" applyFill="1" applyBorder="1" applyAlignment="1">
      <alignment horizontal="distributed" vertical="center" wrapText="1" indent="2"/>
    </xf>
    <xf numFmtId="0" fontId="10" fillId="0" borderId="27" xfId="0" applyFont="1" applyFill="1" applyBorder="1" applyAlignment="1">
      <alignment horizontal="distributed" vertical="center" wrapText="1" indent="2"/>
    </xf>
    <xf numFmtId="0" fontId="10" fillId="0" borderId="0" xfId="0" applyFont="1" applyFill="1" applyBorder="1" applyAlignment="1">
      <alignment horizontal="distributed" vertical="center" wrapText="1" indent="2"/>
    </xf>
    <xf numFmtId="0" fontId="10" fillId="0" borderId="22" xfId="0" applyFont="1" applyFill="1" applyBorder="1" applyAlignment="1">
      <alignment horizontal="distributed" vertical="center" wrapText="1" indent="2"/>
    </xf>
    <xf numFmtId="0" fontId="10" fillId="0" borderId="51" xfId="0" applyFont="1" applyFill="1" applyBorder="1" applyAlignment="1">
      <alignment horizontal="distributed" vertical="center" wrapText="1" indent="2"/>
    </xf>
    <xf numFmtId="0" fontId="10" fillId="0" borderId="52" xfId="0" applyFont="1" applyFill="1" applyBorder="1" applyAlignment="1">
      <alignment horizontal="distributed" vertical="center" wrapText="1" indent="2"/>
    </xf>
    <xf numFmtId="0" fontId="10" fillId="0" borderId="53" xfId="0" applyFont="1" applyFill="1" applyBorder="1" applyAlignment="1">
      <alignment horizontal="distributed" vertical="center" wrapText="1" indent="2"/>
    </xf>
    <xf numFmtId="3" fontId="14" fillId="0" borderId="27" xfId="0" applyNumberFormat="1" applyFont="1" applyFill="1" applyBorder="1" applyAlignment="1">
      <alignment horizontal="left" vertical="top" wrapText="1"/>
    </xf>
    <xf numFmtId="3" fontId="10" fillId="0" borderId="0" xfId="0" applyNumberFormat="1" applyFont="1" applyFill="1" applyBorder="1" applyAlignment="1">
      <alignment horizontal="left" vertical="top" wrapText="1"/>
    </xf>
    <xf numFmtId="3" fontId="10" fillId="0" borderId="22" xfId="0" applyNumberFormat="1" applyFont="1" applyFill="1" applyBorder="1" applyAlignment="1">
      <alignment horizontal="left" vertical="top" wrapText="1"/>
    </xf>
    <xf numFmtId="3" fontId="121" fillId="0" borderId="27" xfId="0" applyNumberFormat="1" applyFont="1" applyFill="1" applyBorder="1" applyAlignment="1">
      <alignment vertical="top" wrapText="1"/>
    </xf>
    <xf numFmtId="3" fontId="89" fillId="0" borderId="0" xfId="0" applyNumberFormat="1" applyFont="1" applyFill="1" applyBorder="1" applyAlignment="1">
      <alignment vertical="top" wrapText="1"/>
    </xf>
    <xf numFmtId="3" fontId="89" fillId="0" borderId="22" xfId="0" applyNumberFormat="1" applyFont="1" applyFill="1" applyBorder="1" applyAlignment="1">
      <alignment vertical="top" wrapText="1"/>
    </xf>
    <xf numFmtId="3" fontId="10" fillId="0" borderId="27" xfId="0" applyNumberFormat="1" applyFont="1" applyFill="1" applyBorder="1" applyAlignment="1">
      <alignment vertical="top" wrapText="1"/>
    </xf>
    <xf numFmtId="0" fontId="57" fillId="0" borderId="40" xfId="0" applyFont="1" applyFill="1" applyBorder="1" applyAlignment="1">
      <alignment vertical="top" wrapText="1"/>
    </xf>
    <xf numFmtId="0" fontId="102" fillId="0" borderId="40" xfId="0" applyFont="1" applyBorder="1" applyAlignment="1">
      <alignment vertical="top"/>
    </xf>
    <xf numFmtId="3" fontId="115" fillId="0" borderId="27" xfId="0" applyNumberFormat="1" applyFont="1" applyFill="1" applyBorder="1" applyAlignment="1">
      <alignment horizontal="left" vertical="top" wrapText="1"/>
    </xf>
    <xf numFmtId="3" fontId="115" fillId="0" borderId="32" xfId="0" applyNumberFormat="1" applyFont="1" applyFill="1" applyBorder="1" applyAlignment="1">
      <alignment horizontal="left" vertical="top" wrapText="1"/>
    </xf>
    <xf numFmtId="3" fontId="10" fillId="0" borderId="36" xfId="0" applyNumberFormat="1" applyFont="1" applyFill="1" applyBorder="1" applyAlignment="1">
      <alignment horizontal="left" vertical="top" wrapText="1"/>
    </xf>
    <xf numFmtId="3" fontId="10" fillId="0" borderId="23" xfId="0" applyNumberFormat="1" applyFont="1" applyFill="1" applyBorder="1" applyAlignment="1">
      <alignment horizontal="left" vertical="top" wrapText="1"/>
    </xf>
    <xf numFmtId="3" fontId="10" fillId="0" borderId="27" xfId="0" applyNumberFormat="1" applyFont="1" applyFill="1" applyBorder="1" applyAlignment="1">
      <alignment horizontal="left" vertical="top" wrapText="1"/>
    </xf>
    <xf numFmtId="0" fontId="115" fillId="0" borderId="0" xfId="0" applyFont="1" applyFill="1" applyBorder="1" applyAlignment="1">
      <alignment horizontal="center" vertical="center"/>
    </xf>
    <xf numFmtId="0" fontId="10" fillId="0" borderId="39" xfId="0" applyFont="1" applyFill="1" applyBorder="1" applyAlignment="1">
      <alignment horizontal="distributed" vertical="center"/>
    </xf>
    <xf numFmtId="0" fontId="10" fillId="0" borderId="63" xfId="0" applyFont="1" applyBorder="1" applyAlignment="1">
      <alignment vertical="center"/>
    </xf>
    <xf numFmtId="0" fontId="10" fillId="0" borderId="10" xfId="0" applyFont="1" applyFill="1" applyBorder="1" applyAlignment="1">
      <alignment horizontal="distributed" vertical="center"/>
    </xf>
    <xf numFmtId="0" fontId="10" fillId="0" borderId="30" xfId="0" applyFont="1" applyBorder="1" applyAlignment="1">
      <alignment vertical="center"/>
    </xf>
    <xf numFmtId="0" fontId="10" fillId="0" borderId="64" xfId="0" applyFont="1" applyFill="1" applyBorder="1" applyAlignment="1">
      <alignment horizontal="distributed" vertical="center"/>
    </xf>
    <xf numFmtId="0" fontId="10" fillId="0" borderId="65" xfId="0" applyFont="1" applyBorder="1" applyAlignment="1">
      <alignment vertical="center"/>
    </xf>
    <xf numFmtId="0" fontId="10" fillId="0" borderId="50" xfId="0" applyFont="1" applyFill="1" applyBorder="1" applyAlignment="1">
      <alignment horizontal="distributed" vertical="center" wrapText="1"/>
    </xf>
    <xf numFmtId="0" fontId="10" fillId="0" borderId="63" xfId="0" applyFont="1" applyBorder="1" applyAlignment="1">
      <alignment vertical="center" wrapText="1"/>
    </xf>
    <xf numFmtId="0" fontId="10" fillId="0" borderId="27" xfId="0" applyFont="1" applyBorder="1" applyAlignment="1">
      <alignment vertical="center" wrapText="1"/>
    </xf>
    <xf numFmtId="0" fontId="10" fillId="0" borderId="30" xfId="0" applyFont="1" applyBorder="1" applyAlignment="1">
      <alignment vertical="center" wrapText="1"/>
    </xf>
    <xf numFmtId="0" fontId="10" fillId="0" borderId="51" xfId="0" applyFont="1" applyBorder="1" applyAlignment="1">
      <alignment vertical="center" wrapText="1"/>
    </xf>
    <xf numFmtId="0" fontId="10" fillId="0" borderId="65" xfId="0" applyFont="1" applyBorder="1" applyAlignment="1">
      <alignment vertical="center" wrapText="1"/>
    </xf>
    <xf numFmtId="0" fontId="10" fillId="0" borderId="40" xfId="0" applyFont="1" applyFill="1" applyBorder="1" applyAlignment="1">
      <alignment horizontal="distributed" vertical="center" wrapText="1"/>
    </xf>
    <xf numFmtId="0" fontId="10" fillId="0" borderId="41" xfId="0" applyFont="1" applyBorder="1" applyAlignment="1">
      <alignment vertical="center" wrapText="1"/>
    </xf>
    <xf numFmtId="0" fontId="10" fillId="0" borderId="0" xfId="0" applyFont="1" applyBorder="1" applyAlignment="1">
      <alignment vertical="center" wrapText="1"/>
    </xf>
    <xf numFmtId="0" fontId="10" fillId="0" borderId="22" xfId="0" applyFont="1" applyBorder="1" applyAlignment="1">
      <alignment vertical="center" wrapText="1"/>
    </xf>
    <xf numFmtId="0" fontId="10" fillId="0" borderId="52" xfId="0" applyFont="1" applyBorder="1" applyAlignment="1">
      <alignment vertical="center" wrapText="1"/>
    </xf>
    <xf numFmtId="0" fontId="10" fillId="0" borderId="53" xfId="0" applyFont="1" applyBorder="1" applyAlignment="1">
      <alignment vertical="center" wrapText="1"/>
    </xf>
    <xf numFmtId="0" fontId="10" fillId="0" borderId="66" xfId="0" applyFont="1" applyFill="1" applyBorder="1" applyAlignment="1">
      <alignment horizontal="center" vertical="center"/>
    </xf>
    <xf numFmtId="0" fontId="10" fillId="0" borderId="37" xfId="0" applyFont="1" applyBorder="1" applyAlignment="1">
      <alignment horizontal="center" vertical="center"/>
    </xf>
    <xf numFmtId="0" fontId="15" fillId="0" borderId="10" xfId="0" applyFont="1" applyFill="1" applyBorder="1" applyAlignment="1">
      <alignment horizontal="left" vertical="top"/>
    </xf>
    <xf numFmtId="0" fontId="15" fillId="0" borderId="30" xfId="0" applyFont="1" applyBorder="1" applyAlignment="1">
      <alignment vertical="top"/>
    </xf>
    <xf numFmtId="0" fontId="10" fillId="0" borderId="27" xfId="0" applyFont="1" applyFill="1" applyBorder="1" applyAlignment="1">
      <alignment horizontal="left" vertical="top" wrapText="1"/>
    </xf>
    <xf numFmtId="0" fontId="10" fillId="0" borderId="22" xfId="0" applyFont="1" applyBorder="1" applyAlignment="1">
      <alignment horizontal="left" vertical="top" wrapText="1"/>
    </xf>
    <xf numFmtId="0" fontId="16" fillId="0" borderId="27" xfId="0" applyFont="1" applyFill="1" applyBorder="1" applyAlignment="1">
      <alignment horizontal="center" vertical="center" wrapText="1"/>
    </xf>
    <xf numFmtId="0" fontId="16" fillId="0" borderId="22" xfId="0" applyFont="1" applyBorder="1" applyAlignment="1">
      <alignment horizontal="center" vertical="center" wrapText="1"/>
    </xf>
    <xf numFmtId="0" fontId="10" fillId="0" borderId="25" xfId="0" applyFont="1" applyFill="1" applyBorder="1" applyAlignment="1">
      <alignment horizontal="center" vertical="center"/>
    </xf>
    <xf numFmtId="0" fontId="10" fillId="0" borderId="26" xfId="0" applyFont="1" applyBorder="1" applyAlignment="1">
      <alignment horizontal="center" vertical="center"/>
    </xf>
    <xf numFmtId="0" fontId="115" fillId="0" borderId="27" xfId="0" applyFont="1" applyFill="1" applyBorder="1" applyAlignment="1">
      <alignment horizontal="left" vertical="top" wrapText="1"/>
    </xf>
    <xf numFmtId="0" fontId="10" fillId="0" borderId="22" xfId="0" applyFont="1" applyBorder="1" applyAlignment="1">
      <alignment vertical="top" wrapText="1"/>
    </xf>
    <xf numFmtId="0" fontId="10" fillId="0" borderId="27" xfId="0" applyFont="1" applyBorder="1" applyAlignment="1">
      <alignment vertical="top" wrapText="1"/>
    </xf>
    <xf numFmtId="0" fontId="14" fillId="0" borderId="10" xfId="0" applyFont="1" applyFill="1" applyBorder="1" applyAlignment="1">
      <alignment horizontal="left" vertical="top"/>
    </xf>
    <xf numFmtId="0" fontId="14" fillId="0" borderId="30" xfId="0" applyFont="1" applyBorder="1" applyAlignment="1">
      <alignment vertical="top"/>
    </xf>
    <xf numFmtId="0" fontId="16" fillId="0" borderId="10" xfId="0" applyFont="1" applyFill="1" applyBorder="1" applyAlignment="1">
      <alignment horizontal="left" vertical="top"/>
    </xf>
    <xf numFmtId="0" fontId="10" fillId="0" borderId="30" xfId="0" applyFont="1" applyBorder="1" applyAlignment="1">
      <alignment vertical="top"/>
    </xf>
    <xf numFmtId="0" fontId="16" fillId="0" borderId="42" xfId="0" applyFont="1" applyFill="1" applyBorder="1" applyAlignment="1">
      <alignment horizontal="left" vertical="top"/>
    </xf>
    <xf numFmtId="0" fontId="10" fillId="0" borderId="31" xfId="0" applyFont="1" applyBorder="1" applyAlignment="1">
      <alignment vertical="top"/>
    </xf>
    <xf numFmtId="0" fontId="10" fillId="0" borderId="29" xfId="0" applyFont="1" applyBorder="1" applyAlignment="1">
      <alignment horizontal="center" vertical="center"/>
    </xf>
    <xf numFmtId="41" fontId="16" fillId="0" borderId="27" xfId="0" applyNumberFormat="1" applyFont="1" applyFill="1" applyBorder="1" applyAlignment="1">
      <alignment horizontal="center" vertical="top" wrapText="1"/>
    </xf>
    <xf numFmtId="41" fontId="16" fillId="0" borderId="30" xfId="0" applyNumberFormat="1" applyFont="1" applyBorder="1" applyAlignment="1">
      <alignment horizontal="center" vertical="top" wrapText="1"/>
    </xf>
    <xf numFmtId="41" fontId="10" fillId="0" borderId="27" xfId="0" applyNumberFormat="1" applyFont="1" applyFill="1" applyBorder="1" applyAlignment="1">
      <alignment horizontal="center" vertical="top" wrapText="1"/>
    </xf>
    <xf numFmtId="41" fontId="10" fillId="0" borderId="30" xfId="0" applyNumberFormat="1" applyFont="1" applyBorder="1" applyAlignment="1">
      <alignment horizontal="center" vertical="top" wrapText="1"/>
    </xf>
    <xf numFmtId="0" fontId="10" fillId="0" borderId="27" xfId="0" applyFont="1" applyFill="1" applyBorder="1" applyAlignment="1">
      <alignment horizontal="center" vertical="center" wrapText="1"/>
    </xf>
    <xf numFmtId="0" fontId="10" fillId="0" borderId="30" xfId="0" applyFont="1" applyBorder="1" applyAlignment="1">
      <alignment horizontal="center" vertical="center" wrapText="1"/>
    </xf>
    <xf numFmtId="0" fontId="10" fillId="0" borderId="32" xfId="0" applyFont="1" applyFill="1" applyBorder="1" applyAlignment="1">
      <alignment horizontal="center" vertical="center" wrapText="1"/>
    </xf>
    <xf numFmtId="0" fontId="10" fillId="0" borderId="31" xfId="0" applyFont="1" applyBorder="1" applyAlignment="1">
      <alignment horizontal="center" vertical="center" wrapText="1"/>
    </xf>
    <xf numFmtId="0" fontId="0" fillId="0" borderId="30" xfId="0" applyBorder="1" applyAlignment="1">
      <alignment horizontal="center" vertical="center" wrapText="1"/>
    </xf>
    <xf numFmtId="0" fontId="16" fillId="0" borderId="32" xfId="0" applyFont="1" applyFill="1" applyBorder="1" applyAlignment="1">
      <alignment horizontal="center" vertical="center" wrapText="1"/>
    </xf>
    <xf numFmtId="0" fontId="16" fillId="0" borderId="23" xfId="0" applyFont="1" applyBorder="1" applyAlignment="1">
      <alignment horizontal="center" vertical="center" wrapText="1"/>
    </xf>
    <xf numFmtId="0" fontId="14" fillId="0" borderId="11" xfId="0" applyFont="1" applyFill="1" applyBorder="1" applyAlignment="1">
      <alignment horizontal="justify" vertical="top" wrapText="1"/>
    </xf>
    <xf numFmtId="0" fontId="0" fillId="0" borderId="11" xfId="0" applyBorder="1" applyAlignment="1">
      <alignment horizontal="justify" vertical="top" wrapText="1"/>
    </xf>
    <xf numFmtId="0" fontId="10" fillId="0" borderId="28" xfId="0" applyFont="1" applyFill="1" applyBorder="1" applyAlignment="1">
      <alignment horizontal="center" vertical="center" wrapText="1"/>
    </xf>
    <xf numFmtId="0" fontId="10" fillId="0" borderId="15" xfId="0" applyFont="1" applyFill="1" applyBorder="1" applyAlignment="1">
      <alignment horizontal="center" vertical="center" wrapText="1"/>
    </xf>
    <xf numFmtId="0" fontId="115" fillId="0" borderId="11" xfId="0" applyFont="1" applyFill="1" applyBorder="1" applyAlignment="1">
      <alignment horizontal="left" vertical="top" wrapText="1"/>
    </xf>
    <xf numFmtId="0" fontId="0" fillId="0" borderId="11" xfId="0" applyBorder="1" applyAlignment="1">
      <alignment horizontal="left" vertical="top" wrapText="1"/>
    </xf>
    <xf numFmtId="0" fontId="14" fillId="0" borderId="33" xfId="0" applyFont="1" applyFill="1" applyBorder="1" applyAlignment="1">
      <alignment horizontal="distributed" vertical="center" indent="2"/>
    </xf>
    <xf numFmtId="0" fontId="14" fillId="0" borderId="17" xfId="0" applyFont="1" applyFill="1" applyBorder="1" applyAlignment="1">
      <alignment horizontal="distributed" vertical="center" indent="2"/>
    </xf>
    <xf numFmtId="0" fontId="14" fillId="0" borderId="49" xfId="0" applyFont="1" applyFill="1" applyBorder="1" applyAlignment="1">
      <alignment horizontal="distributed" vertical="center" indent="2"/>
    </xf>
    <xf numFmtId="0" fontId="14" fillId="0" borderId="24" xfId="0" applyFont="1" applyFill="1" applyBorder="1" applyAlignment="1">
      <alignment horizontal="center" vertical="center" wrapText="1"/>
    </xf>
    <xf numFmtId="0" fontId="14" fillId="0" borderId="28" xfId="0" applyFont="1" applyFill="1" applyBorder="1" applyAlignment="1">
      <alignment horizontal="center" vertical="center" wrapText="1"/>
    </xf>
    <xf numFmtId="0" fontId="14" fillId="0" borderId="15" xfId="0" applyFont="1" applyFill="1" applyBorder="1" applyAlignment="1">
      <alignment horizontal="center" vertical="center" wrapText="1"/>
    </xf>
    <xf numFmtId="0" fontId="10" fillId="0" borderId="43" xfId="0" applyFont="1" applyFill="1" applyBorder="1" applyAlignment="1">
      <alignment horizontal="distributed" vertical="center" wrapText="1" indent="2"/>
    </xf>
    <xf numFmtId="0" fontId="10" fillId="0" borderId="54" xfId="0" applyFont="1" applyFill="1" applyBorder="1" applyAlignment="1">
      <alignment horizontal="distributed" vertical="center" wrapText="1" indent="2"/>
    </xf>
    <xf numFmtId="0" fontId="10" fillId="0" borderId="55" xfId="0" applyFont="1" applyFill="1" applyBorder="1" applyAlignment="1">
      <alignment horizontal="distributed" vertical="center" wrapText="1" indent="2"/>
    </xf>
    <xf numFmtId="0" fontId="10" fillId="0" borderId="38" xfId="0" applyFont="1" applyFill="1" applyBorder="1" applyAlignment="1">
      <alignment horizontal="distributed" vertical="center" wrapText="1" indent="2"/>
    </xf>
    <xf numFmtId="0" fontId="10" fillId="0" borderId="11" xfId="0" applyFont="1" applyFill="1" applyBorder="1" applyAlignment="1">
      <alignment horizontal="distributed" vertical="center" wrapText="1" indent="2"/>
    </xf>
    <xf numFmtId="0" fontId="10" fillId="0" borderId="56" xfId="0" applyFont="1" applyFill="1" applyBorder="1" applyAlignment="1">
      <alignment horizontal="distributed" vertical="center" wrapText="1" indent="2"/>
    </xf>
    <xf numFmtId="177" fontId="10" fillId="0" borderId="28" xfId="0" applyNumberFormat="1" applyFont="1" applyFill="1" applyBorder="1" applyAlignment="1">
      <alignment horizontal="center" vertical="center" wrapText="1"/>
    </xf>
    <xf numFmtId="177" fontId="10" fillId="0" borderId="15" xfId="0" applyNumberFormat="1" applyFont="1" applyFill="1" applyBorder="1" applyAlignment="1">
      <alignment horizontal="center" vertical="center" wrapText="1"/>
    </xf>
    <xf numFmtId="0" fontId="14" fillId="0" borderId="33" xfId="0" applyFont="1" applyFill="1" applyBorder="1" applyAlignment="1">
      <alignment horizontal="distributed" vertical="center" wrapText="1" indent="2"/>
    </xf>
    <xf numFmtId="0" fontId="14" fillId="0" borderId="17" xfId="0" applyFont="1" applyFill="1" applyBorder="1" applyAlignment="1">
      <alignment horizontal="distributed" vertical="center" wrapText="1" indent="2"/>
    </xf>
    <xf numFmtId="0" fontId="14" fillId="0" borderId="49" xfId="0" applyFont="1" applyFill="1" applyBorder="1" applyAlignment="1">
      <alignment horizontal="distributed" vertical="center" wrapText="1" indent="2"/>
    </xf>
    <xf numFmtId="0" fontId="14" fillId="0" borderId="24" xfId="0" applyFont="1" applyFill="1" applyBorder="1" applyAlignment="1">
      <alignment horizontal="distributed" vertical="center" wrapText="1" indent="1"/>
    </xf>
    <xf numFmtId="0" fontId="14" fillId="0" borderId="28" xfId="0" applyFont="1" applyFill="1" applyBorder="1" applyAlignment="1">
      <alignment horizontal="distributed" vertical="center" wrapText="1" indent="1"/>
    </xf>
    <xf numFmtId="0" fontId="14" fillId="0" borderId="15" xfId="0" applyFont="1" applyFill="1" applyBorder="1" applyAlignment="1">
      <alignment horizontal="distributed" vertical="center" wrapText="1" indent="1"/>
    </xf>
    <xf numFmtId="0" fontId="14" fillId="0" borderId="20" xfId="0" applyFont="1" applyFill="1" applyBorder="1" applyAlignment="1">
      <alignment horizontal="distributed" vertical="center" wrapText="1" indent="1"/>
    </xf>
    <xf numFmtId="0" fontId="14" fillId="0" borderId="44" xfId="0" applyFont="1" applyFill="1" applyBorder="1" applyAlignment="1">
      <alignment horizontal="distributed" vertical="center" wrapText="1" indent="1"/>
    </xf>
    <xf numFmtId="0" fontId="14" fillId="0" borderId="16" xfId="0" applyFont="1" applyFill="1" applyBorder="1" applyAlignment="1">
      <alignment horizontal="distributed" vertical="center" wrapText="1" indent="1"/>
    </xf>
    <xf numFmtId="0" fontId="10" fillId="0" borderId="20" xfId="0" applyFont="1" applyFill="1" applyBorder="1" applyAlignment="1">
      <alignment horizontal="distributed" vertical="center" wrapText="1" indent="1"/>
    </xf>
    <xf numFmtId="0" fontId="10" fillId="0" borderId="44" xfId="0" applyFont="1" applyFill="1" applyBorder="1" applyAlignment="1">
      <alignment horizontal="distributed" vertical="center" wrapText="1" indent="1"/>
    </xf>
    <xf numFmtId="0" fontId="10" fillId="0" borderId="16" xfId="0" applyFont="1" applyFill="1" applyBorder="1" applyAlignment="1">
      <alignment horizontal="distributed" vertical="center" wrapText="1" indent="1"/>
    </xf>
    <xf numFmtId="0" fontId="115" fillId="0" borderId="0" xfId="0" applyFont="1" applyBorder="1" applyAlignment="1">
      <alignment horizontal="center" vertical="center"/>
    </xf>
    <xf numFmtId="0" fontId="10" fillId="0" borderId="0" xfId="0" applyFont="1" applyBorder="1" applyAlignment="1">
      <alignment horizontal="center" vertical="center"/>
    </xf>
    <xf numFmtId="0" fontId="116" fillId="0" borderId="0" xfId="0" applyFont="1" applyFill="1" applyAlignment="1">
      <alignment horizontal="center" vertical="center"/>
    </xf>
    <xf numFmtId="0" fontId="10" fillId="0" borderId="0" xfId="0" applyFont="1" applyFill="1" applyBorder="1" applyAlignment="1">
      <alignment horizontal="left" vertical="top" wrapText="1"/>
    </xf>
    <xf numFmtId="0" fontId="121" fillId="0" borderId="0" xfId="0" applyFont="1" applyFill="1" applyBorder="1" applyAlignment="1">
      <alignment horizontal="left" vertical="top" wrapText="1"/>
    </xf>
    <xf numFmtId="0" fontId="89" fillId="0" borderId="22" xfId="0" applyFont="1" applyFill="1" applyBorder="1" applyAlignment="1">
      <alignment horizontal="left" vertical="top" wrapText="1"/>
    </xf>
    <xf numFmtId="0" fontId="14" fillId="0" borderId="36" xfId="0" applyFont="1" applyBorder="1" applyAlignment="1">
      <alignment horizontal="left" vertical="top" wrapText="1"/>
    </xf>
    <xf numFmtId="0" fontId="10" fillId="0" borderId="23" xfId="0" applyFont="1" applyBorder="1" applyAlignment="1">
      <alignment horizontal="left" vertical="top" wrapText="1"/>
    </xf>
    <xf numFmtId="0" fontId="14" fillId="0" borderId="27" xfId="0" applyFont="1" applyBorder="1" applyAlignment="1">
      <alignment horizontal="justify" vertical="top" wrapText="1"/>
    </xf>
    <xf numFmtId="0" fontId="14" fillId="0" borderId="22" xfId="0" applyFont="1" applyBorder="1" applyAlignment="1">
      <alignment horizontal="justify" vertical="top" wrapText="1"/>
    </xf>
    <xf numFmtId="0" fontId="14" fillId="0" borderId="0" xfId="0" applyFont="1" applyBorder="1" applyAlignment="1">
      <alignment horizontal="left" vertical="top" wrapText="1"/>
    </xf>
    <xf numFmtId="0" fontId="115" fillId="0" borderId="0" xfId="0" applyFont="1" applyFill="1" applyBorder="1" applyAlignment="1">
      <alignment vertical="top" wrapText="1"/>
    </xf>
    <xf numFmtId="0" fontId="10" fillId="0" borderId="22" xfId="0" applyFont="1" applyFill="1" applyBorder="1" applyAlignment="1">
      <alignment vertical="top" wrapText="1"/>
    </xf>
    <xf numFmtId="0" fontId="115" fillId="0" borderId="36" xfId="0" applyFont="1" applyBorder="1" applyAlignment="1">
      <alignment horizontal="left" vertical="top" wrapText="1"/>
    </xf>
    <xf numFmtId="0" fontId="7" fillId="0" borderId="0" xfId="0" applyFont="1" applyFill="1" applyBorder="1" applyAlignment="1">
      <alignment horizontal="center" vertical="center"/>
    </xf>
    <xf numFmtId="0" fontId="11" fillId="0" borderId="0" xfId="0" applyFont="1" applyBorder="1" applyAlignment="1">
      <alignment horizontal="center" vertical="center"/>
    </xf>
    <xf numFmtId="0" fontId="12" fillId="0" borderId="0" xfId="0" applyFont="1" applyBorder="1" applyAlignment="1">
      <alignment horizontal="center" vertical="center"/>
    </xf>
    <xf numFmtId="0" fontId="115" fillId="0" borderId="0" xfId="0" applyFont="1" applyBorder="1" applyAlignment="1">
      <alignment horizontal="left" vertical="top" wrapText="1"/>
    </xf>
    <xf numFmtId="0" fontId="17" fillId="0" borderId="54" xfId="0" applyFont="1" applyBorder="1" applyAlignment="1">
      <alignment horizontal="distributed" vertical="center" indent="2"/>
    </xf>
    <xf numFmtId="0" fontId="17" fillId="0" borderId="45" xfId="0" applyFont="1" applyBorder="1" applyAlignment="1">
      <alignment horizontal="distributed" vertical="center" indent="2"/>
    </xf>
    <xf numFmtId="0" fontId="121" fillId="0" borderId="0" xfId="45" applyFont="1" applyFill="1" applyBorder="1" applyAlignment="1">
      <alignment horizontal="left" vertical="top" wrapText="1"/>
    </xf>
    <xf numFmtId="0" fontId="89" fillId="0" borderId="22" xfId="45" applyFont="1" applyFill="1" applyBorder="1" applyAlignment="1">
      <alignment horizontal="left" vertical="top" wrapText="1"/>
    </xf>
    <xf numFmtId="0" fontId="115" fillId="0" borderId="11" xfId="0" applyFont="1" applyFill="1" applyBorder="1" applyAlignment="1">
      <alignment horizontal="justify" vertical="top" wrapText="1"/>
    </xf>
    <xf numFmtId="0" fontId="10" fillId="0" borderId="11" xfId="0" applyFont="1" applyFill="1" applyBorder="1" applyAlignment="1">
      <alignment horizontal="justify" vertical="top" wrapText="1"/>
    </xf>
    <xf numFmtId="0" fontId="10" fillId="0" borderId="27" xfId="0" applyFont="1" applyBorder="1" applyAlignment="1">
      <alignment horizontal="left" vertical="top" wrapText="1"/>
    </xf>
    <xf numFmtId="0" fontId="115" fillId="0" borderId="27" xfId="0" applyFont="1" applyBorder="1" applyAlignment="1">
      <alignment horizontal="left" vertical="top" wrapText="1"/>
    </xf>
    <xf numFmtId="0" fontId="17" fillId="0" borderId="43" xfId="0" applyFont="1" applyBorder="1" applyAlignment="1">
      <alignment horizontal="distributed" vertical="center" indent="2"/>
    </xf>
    <xf numFmtId="0" fontId="7" fillId="0" borderId="0" xfId="0" applyFont="1" applyFill="1" applyAlignment="1">
      <alignment horizontal="center" vertical="center" wrapText="1"/>
    </xf>
    <xf numFmtId="0" fontId="10" fillId="0" borderId="0" xfId="0" applyFont="1" applyAlignment="1">
      <alignment horizontal="center" vertical="center" wrapText="1"/>
    </xf>
    <xf numFmtId="0" fontId="11" fillId="0" borderId="0" xfId="0" applyFont="1" applyFill="1" applyAlignment="1">
      <alignment horizontal="center" vertical="center" wrapText="1"/>
    </xf>
    <xf numFmtId="0" fontId="12" fillId="0" borderId="0" xfId="0" applyFont="1" applyFill="1" applyAlignment="1">
      <alignment horizontal="center" vertical="center" wrapText="1"/>
    </xf>
    <xf numFmtId="0" fontId="12" fillId="0" borderId="0" xfId="0" applyFont="1" applyAlignment="1">
      <alignment horizontal="center" vertical="center" wrapText="1"/>
    </xf>
    <xf numFmtId="0" fontId="10" fillId="0" borderId="36" xfId="112" applyFont="1" applyBorder="1" applyAlignment="1">
      <alignment horizontal="center" vertical="center"/>
    </xf>
    <xf numFmtId="0" fontId="0" fillId="0" borderId="36" xfId="0" applyBorder="1" applyAlignment="1">
      <alignment vertical="center"/>
    </xf>
    <xf numFmtId="0" fontId="14" fillId="0" borderId="33" xfId="213" applyFont="1" applyFill="1" applyBorder="1" applyAlignment="1">
      <alignment horizontal="distributed" vertical="center"/>
    </xf>
    <xf numFmtId="0" fontId="14" fillId="0" borderId="49" xfId="213" applyFont="1" applyFill="1" applyBorder="1" applyAlignment="1">
      <alignment horizontal="distributed" vertical="center"/>
    </xf>
    <xf numFmtId="0" fontId="14" fillId="0" borderId="24" xfId="213" applyFont="1" applyFill="1" applyBorder="1" applyAlignment="1">
      <alignment horizontal="center" vertical="center"/>
    </xf>
    <xf numFmtId="0" fontId="14" fillId="0" borderId="34" xfId="213" applyFont="1" applyFill="1" applyBorder="1" applyAlignment="1">
      <alignment horizontal="distributed" vertical="center" wrapText="1"/>
    </xf>
    <xf numFmtId="0" fontId="14" fillId="0" borderId="46" xfId="213" applyFont="1" applyFill="1" applyBorder="1" applyAlignment="1">
      <alignment horizontal="distributed" vertical="center"/>
    </xf>
    <xf numFmtId="0" fontId="14" fillId="0" borderId="34" xfId="213" applyFont="1" applyFill="1" applyBorder="1" applyAlignment="1">
      <alignment horizontal="distributed" vertical="center"/>
    </xf>
    <xf numFmtId="41" fontId="14" fillId="0" borderId="38" xfId="213" applyNumberFormat="1" applyFont="1" applyFill="1" applyBorder="1" applyAlignment="1">
      <alignment horizontal="center" vertical="center"/>
    </xf>
    <xf numFmtId="41" fontId="14" fillId="0" borderId="56" xfId="213" applyNumberFormat="1" applyFont="1" applyFill="1" applyBorder="1" applyAlignment="1">
      <alignment horizontal="center" vertical="center"/>
    </xf>
    <xf numFmtId="0" fontId="24" fillId="0" borderId="40" xfId="0" applyFont="1" applyFill="1" applyBorder="1" applyAlignment="1">
      <alignment horizontal="left" vertical="center" wrapText="1"/>
    </xf>
    <xf numFmtId="0" fontId="14" fillId="0" borderId="36" xfId="0" applyFont="1" applyBorder="1" applyAlignment="1">
      <alignment horizontal="center" vertical="center"/>
    </xf>
    <xf numFmtId="0" fontId="14" fillId="0" borderId="43" xfId="0" applyFont="1" applyBorder="1" applyAlignment="1">
      <alignment horizontal="center" vertical="center" wrapText="1"/>
    </xf>
    <xf numFmtId="0" fontId="14" fillId="0" borderId="45" xfId="0" applyFont="1" applyBorder="1" applyAlignment="1">
      <alignment horizontal="center" vertical="center" wrapText="1"/>
    </xf>
    <xf numFmtId="0" fontId="20" fillId="0" borderId="27" xfId="0" applyFont="1" applyFill="1" applyBorder="1" applyAlignment="1">
      <alignment horizontal="justify" vertical="top" wrapText="1"/>
    </xf>
    <xf numFmtId="0" fontId="20" fillId="0" borderId="22" xfId="0" applyFont="1" applyFill="1" applyBorder="1" applyAlignment="1">
      <alignment horizontal="justify" vertical="top" wrapText="1"/>
    </xf>
    <xf numFmtId="179" fontId="10" fillId="0" borderId="25" xfId="112" applyNumberFormat="1" applyFont="1" applyFill="1" applyBorder="1" applyAlignment="1">
      <alignment horizontal="justify" vertical="top" wrapText="1"/>
    </xf>
    <xf numFmtId="0" fontId="10" fillId="0" borderId="26" xfId="0" applyFont="1" applyBorder="1" applyAlignment="1">
      <alignment vertical="top"/>
    </xf>
    <xf numFmtId="0" fontId="10" fillId="0" borderId="27" xfId="0" applyFont="1" applyBorder="1" applyAlignment="1">
      <alignment vertical="top"/>
    </xf>
    <xf numFmtId="179" fontId="10" fillId="0" borderId="22" xfId="112" applyNumberFormat="1" applyFont="1" applyFill="1" applyBorder="1" applyAlignment="1">
      <alignment horizontal="justify" vertical="top" wrapText="1"/>
    </xf>
    <xf numFmtId="0" fontId="10" fillId="0" borderId="22" xfId="0" applyFont="1" applyBorder="1" applyAlignment="1">
      <alignment horizontal="justify" vertical="top" wrapText="1"/>
    </xf>
    <xf numFmtId="179" fontId="14" fillId="0" borderId="22" xfId="112" applyNumberFormat="1" applyFont="1" applyFill="1" applyBorder="1" applyAlignment="1">
      <alignment horizontal="justify" vertical="top" wrapText="1"/>
    </xf>
    <xf numFmtId="0" fontId="10" fillId="0" borderId="43" xfId="112" applyFont="1" applyBorder="1" applyAlignment="1">
      <alignment horizontal="distributed" vertical="center"/>
    </xf>
    <xf numFmtId="0" fontId="10" fillId="0" borderId="45" xfId="0" applyFont="1" applyBorder="1" applyAlignment="1">
      <alignment horizontal="distributed" vertical="center"/>
    </xf>
    <xf numFmtId="0" fontId="29" fillId="0" borderId="0" xfId="0" applyFont="1" applyFill="1" applyAlignment="1">
      <alignment vertical="center" wrapText="1"/>
    </xf>
    <xf numFmtId="0" fontId="29" fillId="0" borderId="0" xfId="0" applyFont="1" applyAlignment="1">
      <alignment vertical="center" wrapText="1"/>
    </xf>
    <xf numFmtId="0" fontId="131" fillId="0" borderId="40" xfId="0" applyFont="1" applyFill="1" applyBorder="1" applyAlignment="1">
      <alignment vertical="top" wrapText="1"/>
    </xf>
    <xf numFmtId="0" fontId="34" fillId="0" borderId="40" xfId="0" applyFont="1" applyFill="1" applyBorder="1" applyAlignment="1">
      <alignment vertical="top" wrapText="1"/>
    </xf>
    <xf numFmtId="0" fontId="10" fillId="0" borderId="33" xfId="0" applyFont="1" applyFill="1" applyBorder="1" applyAlignment="1">
      <alignment horizontal="distributed" vertical="center" wrapText="1"/>
    </xf>
    <xf numFmtId="0" fontId="10" fillId="0" borderId="17" xfId="0" applyFont="1" applyFill="1" applyBorder="1" applyAlignment="1">
      <alignment horizontal="distributed" vertical="center"/>
    </xf>
    <xf numFmtId="0" fontId="10" fillId="0" borderId="49" xfId="0" applyFont="1" applyFill="1" applyBorder="1" applyAlignment="1">
      <alignment horizontal="distributed" vertical="center"/>
    </xf>
    <xf numFmtId="0" fontId="10" fillId="0" borderId="34" xfId="0" applyFont="1" applyFill="1" applyBorder="1" applyAlignment="1">
      <alignment horizontal="distributed" vertical="center" wrapText="1" indent="2"/>
    </xf>
    <xf numFmtId="0" fontId="10" fillId="0" borderId="18" xfId="0" applyFont="1" applyFill="1" applyBorder="1" applyAlignment="1">
      <alignment horizontal="distributed" vertical="center" wrapText="1" indent="2"/>
    </xf>
    <xf numFmtId="0" fontId="10" fillId="0" borderId="46" xfId="0" applyFont="1" applyFill="1" applyBorder="1" applyAlignment="1">
      <alignment horizontal="distributed" vertical="center" wrapText="1" indent="2"/>
    </xf>
    <xf numFmtId="0" fontId="14" fillId="0" borderId="38" xfId="0" applyFont="1" applyFill="1" applyBorder="1" applyAlignment="1">
      <alignment horizontal="distributed" vertical="center" wrapText="1"/>
    </xf>
    <xf numFmtId="0" fontId="10" fillId="0" borderId="11" xfId="0" applyFont="1" applyFill="1" applyBorder="1" applyAlignment="1">
      <alignment horizontal="distributed" vertical="center" wrapText="1"/>
    </xf>
    <xf numFmtId="0" fontId="10" fillId="0" borderId="56" xfId="0" applyFont="1" applyFill="1" applyBorder="1" applyAlignment="1">
      <alignment horizontal="distributed" vertical="center" wrapText="1"/>
    </xf>
    <xf numFmtId="0" fontId="10" fillId="0" borderId="34" xfId="0" applyFont="1" applyFill="1" applyBorder="1" applyAlignment="1">
      <alignment horizontal="distributed" vertical="center" wrapText="1"/>
    </xf>
    <xf numFmtId="0" fontId="10" fillId="0" borderId="18" xfId="0" applyFont="1" applyFill="1" applyBorder="1" applyAlignment="1">
      <alignment horizontal="distributed" vertical="center"/>
    </xf>
    <xf numFmtId="0" fontId="10" fillId="0" borderId="46" xfId="0" applyFont="1" applyFill="1" applyBorder="1" applyAlignment="1">
      <alignment horizontal="distributed" vertical="center"/>
    </xf>
    <xf numFmtId="0" fontId="106" fillId="29" borderId="16" xfId="0" applyFont="1" applyFill="1" applyBorder="1" applyAlignment="1">
      <alignment horizontal="left" vertical="top" wrapText="1"/>
    </xf>
    <xf numFmtId="0" fontId="106" fillId="29" borderId="11" xfId="0" applyFont="1" applyFill="1" applyBorder="1" applyAlignment="1">
      <alignment horizontal="left" vertical="top" wrapText="1"/>
    </xf>
    <xf numFmtId="0" fontId="148" fillId="29" borderId="40" xfId="0" applyFont="1" applyFill="1" applyBorder="1" applyAlignment="1">
      <alignment horizontal="left" vertical="top" wrapText="1"/>
    </xf>
    <xf numFmtId="0" fontId="29" fillId="29" borderId="40" xfId="0" applyFont="1" applyFill="1" applyBorder="1" applyAlignment="1">
      <alignment horizontal="left" vertical="top"/>
    </xf>
    <xf numFmtId="0" fontId="14" fillId="0" borderId="36" xfId="0" applyFont="1" applyFill="1" applyBorder="1" applyAlignment="1">
      <alignment horizontal="center" vertical="center"/>
    </xf>
    <xf numFmtId="0" fontId="14" fillId="0" borderId="33" xfId="0" applyFont="1" applyFill="1" applyBorder="1" applyAlignment="1">
      <alignment horizontal="distributed" vertical="center" wrapText="1" indent="1"/>
    </xf>
    <xf numFmtId="0" fontId="10" fillId="0" borderId="49" xfId="0" applyFont="1" applyBorder="1" applyAlignment="1">
      <alignment horizontal="distributed" vertical="center" wrapText="1" indent="1"/>
    </xf>
    <xf numFmtId="0" fontId="14" fillId="0" borderId="34" xfId="0" applyFont="1" applyFill="1" applyBorder="1" applyAlignment="1">
      <alignment horizontal="center" vertical="center" wrapText="1"/>
    </xf>
    <xf numFmtId="0" fontId="10" fillId="0" borderId="46" xfId="0" applyFont="1" applyBorder="1" applyAlignment="1">
      <alignment horizontal="center" vertical="center" wrapText="1"/>
    </xf>
    <xf numFmtId="0" fontId="14" fillId="0" borderId="38" xfId="0" applyFont="1" applyFill="1" applyBorder="1" applyAlignment="1">
      <alignment horizontal="distributed" vertical="center" wrapText="1" indent="1"/>
    </xf>
    <xf numFmtId="0" fontId="10" fillId="0" borderId="56" xfId="0" applyFont="1" applyBorder="1" applyAlignment="1">
      <alignment horizontal="distributed" vertical="center" wrapText="1" indent="1"/>
    </xf>
    <xf numFmtId="0" fontId="146" fillId="29" borderId="0" xfId="112" applyFont="1" applyFill="1" applyAlignment="1">
      <alignment horizontal="left" vertical="top" wrapText="1"/>
    </xf>
    <xf numFmtId="0" fontId="112" fillId="29" borderId="0" xfId="112" applyFont="1" applyFill="1" applyAlignment="1">
      <alignment horizontal="left" vertical="top" wrapText="1"/>
    </xf>
    <xf numFmtId="0" fontId="14" fillId="0" borderId="36" xfId="112" applyFont="1" applyBorder="1" applyAlignment="1">
      <alignment horizontal="center" vertical="center"/>
    </xf>
    <xf numFmtId="0" fontId="14" fillId="0" borderId="43" xfId="0" applyFont="1" applyBorder="1" applyAlignment="1">
      <alignment horizontal="distributed" vertical="center" wrapText="1" indent="1"/>
    </xf>
    <xf numFmtId="0" fontId="14" fillId="0" borderId="45" xfId="0" applyFont="1" applyBorder="1" applyAlignment="1">
      <alignment horizontal="distributed" vertical="center" wrapText="1" indent="1"/>
    </xf>
    <xf numFmtId="0" fontId="123" fillId="0" borderId="27" xfId="0" applyFont="1" applyFill="1" applyBorder="1" applyAlignment="1">
      <alignment horizontal="justify" vertical="top" wrapText="1"/>
    </xf>
    <xf numFmtId="0" fontId="21" fillId="0" borderId="22" xfId="0" applyFont="1" applyFill="1" applyBorder="1" applyAlignment="1">
      <alignment horizontal="justify" vertical="top" wrapText="1"/>
    </xf>
    <xf numFmtId="0" fontId="108" fillId="0" borderId="22" xfId="0" applyFont="1" applyBorder="1" applyAlignment="1">
      <alignment horizontal="left" vertical="top" wrapText="1"/>
    </xf>
    <xf numFmtId="0" fontId="22" fillId="0" borderId="40" xfId="0" applyFont="1" applyFill="1" applyBorder="1" applyAlignment="1">
      <alignment horizontal="left" vertical="center" wrapText="1"/>
    </xf>
    <xf numFmtId="0" fontId="24" fillId="0" borderId="40" xfId="0" applyFont="1" applyFill="1" applyBorder="1" applyAlignment="1">
      <alignment horizontal="left" vertical="center"/>
    </xf>
    <xf numFmtId="0" fontId="10" fillId="0" borderId="34" xfId="0" applyFont="1" applyFill="1" applyBorder="1" applyAlignment="1">
      <alignment horizontal="center" vertical="center" wrapText="1"/>
    </xf>
    <xf numFmtId="0" fontId="10" fillId="0" borderId="18" xfId="0" applyFont="1" applyFill="1" applyBorder="1" applyAlignment="1">
      <alignment horizontal="center" vertical="center" wrapText="1"/>
    </xf>
    <xf numFmtId="0" fontId="10" fillId="0" borderId="43" xfId="0" applyFont="1" applyFill="1" applyBorder="1" applyAlignment="1">
      <alignment horizontal="distributed" vertical="center" wrapText="1" indent="1"/>
    </xf>
    <xf numFmtId="0" fontId="10" fillId="0" borderId="54" xfId="0" applyFont="1" applyFill="1" applyBorder="1" applyAlignment="1">
      <alignment horizontal="distributed" vertical="center" wrapText="1" indent="1"/>
    </xf>
    <xf numFmtId="0" fontId="10" fillId="0" borderId="45" xfId="0" applyFont="1" applyFill="1" applyBorder="1" applyAlignment="1">
      <alignment horizontal="distributed" vertical="center" wrapText="1" indent="1"/>
    </xf>
    <xf numFmtId="0" fontId="117" fillId="0" borderId="0" xfId="0" applyFont="1" applyFill="1" applyAlignment="1">
      <alignment horizontal="center" vertical="center"/>
    </xf>
    <xf numFmtId="0" fontId="10" fillId="0" borderId="0" xfId="0" applyFont="1" applyFill="1" applyBorder="1" applyAlignment="1">
      <alignment horizontal="left" vertical="center"/>
    </xf>
    <xf numFmtId="0" fontId="14" fillId="0" borderId="36" xfId="0" applyFont="1" applyFill="1" applyBorder="1" applyAlignment="1">
      <alignment horizontal="right" vertical="center"/>
    </xf>
    <xf numFmtId="0" fontId="10" fillId="0" borderId="36" xfId="0" applyFont="1" applyFill="1" applyBorder="1" applyAlignment="1">
      <alignment horizontal="right" vertical="center"/>
    </xf>
    <xf numFmtId="0" fontId="14" fillId="0" borderId="43" xfId="0" applyFont="1" applyFill="1" applyBorder="1" applyAlignment="1">
      <alignment horizontal="distributed" vertical="center" wrapText="1"/>
    </xf>
    <xf numFmtId="0" fontId="10" fillId="0" borderId="54" xfId="0" applyFont="1" applyFill="1" applyBorder="1" applyAlignment="1">
      <alignment horizontal="distributed" vertical="center" wrapText="1"/>
    </xf>
    <xf numFmtId="0" fontId="10" fillId="0" borderId="34" xfId="0" applyFont="1" applyFill="1" applyBorder="1" applyAlignment="1">
      <alignment horizontal="distributed" vertical="center" wrapText="1" indent="1"/>
    </xf>
    <xf numFmtId="0" fontId="10" fillId="0" borderId="46" xfId="0" applyFont="1" applyBorder="1" applyAlignment="1">
      <alignment horizontal="distributed" vertical="center" indent="1"/>
    </xf>
    <xf numFmtId="0" fontId="10" fillId="0" borderId="55" xfId="0" applyFont="1" applyFill="1" applyBorder="1" applyAlignment="1">
      <alignment horizontal="distributed" vertical="center" wrapText="1"/>
    </xf>
    <xf numFmtId="0" fontId="10" fillId="0" borderId="33" xfId="0" applyFont="1" applyFill="1" applyBorder="1" applyAlignment="1">
      <alignment horizontal="center" vertical="center" wrapText="1"/>
    </xf>
    <xf numFmtId="0" fontId="10" fillId="0" borderId="17" xfId="0" applyFont="1" applyFill="1" applyBorder="1" applyAlignment="1">
      <alignment horizontal="center" vertical="center" wrapText="1"/>
    </xf>
    <xf numFmtId="0" fontId="12" fillId="0" borderId="0" xfId="0" applyFont="1" applyFill="1" applyAlignment="1">
      <alignment horizontal="left" vertical="center"/>
    </xf>
    <xf numFmtId="0" fontId="0" fillId="0" borderId="54" xfId="0" applyBorder="1" applyAlignment="1">
      <alignment horizontal="distributed" vertical="center" wrapText="1"/>
    </xf>
    <xf numFmtId="0" fontId="0" fillId="0" borderId="55" xfId="0" applyBorder="1" applyAlignment="1">
      <alignment horizontal="distributed" vertical="center" wrapText="1"/>
    </xf>
    <xf numFmtId="0" fontId="10" fillId="0" borderId="24" xfId="0" applyFont="1" applyBorder="1" applyAlignment="1">
      <alignment horizontal="distributed" vertical="distributed" wrapText="1" indent="2"/>
    </xf>
    <xf numFmtId="0" fontId="10" fillId="0" borderId="38" xfId="0" applyFont="1" applyBorder="1" applyAlignment="1">
      <alignment horizontal="distributed" vertical="center" wrapText="1"/>
    </xf>
    <xf numFmtId="0" fontId="10" fillId="0" borderId="56" xfId="0" applyFont="1" applyBorder="1" applyAlignment="1">
      <alignment horizontal="distributed"/>
    </xf>
    <xf numFmtId="0" fontId="10" fillId="0" borderId="33" xfId="0" applyFont="1" applyBorder="1" applyAlignment="1">
      <alignment horizontal="distributed" vertical="center" wrapText="1" indent="2"/>
    </xf>
    <xf numFmtId="0" fontId="10" fillId="0" borderId="49" xfId="0" applyFont="1" applyBorder="1" applyAlignment="1">
      <alignment horizontal="distributed" vertical="center" wrapText="1" indent="2"/>
    </xf>
    <xf numFmtId="49" fontId="89" fillId="0" borderId="0" xfId="0" applyNumberFormat="1" applyFont="1" applyFill="1" applyBorder="1" applyAlignment="1">
      <alignment horizontal="justify" vertical="top" wrapText="1"/>
    </xf>
    <xf numFmtId="49" fontId="89" fillId="0" borderId="22" xfId="0" applyNumberFormat="1" applyFont="1" applyFill="1" applyBorder="1" applyAlignment="1">
      <alignment horizontal="justify" vertical="top" wrapText="1"/>
    </xf>
    <xf numFmtId="49" fontId="106" fillId="0" borderId="0" xfId="0" applyNumberFormat="1" applyFont="1" applyFill="1" applyBorder="1" applyAlignment="1">
      <alignment horizontal="justify" vertical="top" wrapText="1"/>
    </xf>
    <xf numFmtId="49" fontId="106" fillId="0" borderId="22" xfId="0" applyNumberFormat="1" applyFont="1" applyFill="1" applyBorder="1" applyAlignment="1">
      <alignment horizontal="justify" vertical="top" wrapText="1"/>
    </xf>
    <xf numFmtId="182" fontId="10" fillId="0" borderId="27" xfId="0" applyNumberFormat="1" applyFont="1" applyFill="1" applyBorder="1" applyAlignment="1">
      <alignment horizontal="left" vertical="top" wrapText="1"/>
    </xf>
    <xf numFmtId="182" fontId="10" fillId="0" borderId="0" xfId="0" applyNumberFormat="1" applyFont="1" applyFill="1" applyBorder="1" applyAlignment="1">
      <alignment horizontal="left" vertical="top" wrapText="1"/>
    </xf>
    <xf numFmtId="182" fontId="10" fillId="0" borderId="22" xfId="0" applyNumberFormat="1" applyFont="1" applyFill="1" applyBorder="1" applyAlignment="1">
      <alignment horizontal="left" vertical="top" wrapText="1"/>
    </xf>
    <xf numFmtId="0" fontId="61" fillId="0" borderId="15" xfId="0" applyFont="1" applyFill="1" applyBorder="1" applyAlignment="1">
      <alignment horizontal="center" vertical="center" wrapText="1"/>
    </xf>
    <xf numFmtId="0" fontId="61" fillId="0" borderId="46" xfId="0" applyFont="1" applyFill="1" applyBorder="1" applyAlignment="1">
      <alignment horizontal="center" vertical="center" wrapText="1"/>
    </xf>
    <xf numFmtId="0" fontId="61" fillId="0" borderId="15" xfId="0" applyFont="1" applyFill="1" applyBorder="1" applyAlignment="1">
      <alignment horizontal="center" vertical="top" wrapText="1"/>
    </xf>
    <xf numFmtId="0" fontId="61" fillId="0" borderId="46" xfId="0" applyFont="1" applyFill="1" applyBorder="1" applyAlignment="1">
      <alignment horizontal="center" vertical="top" wrapText="1"/>
    </xf>
    <xf numFmtId="0" fontId="61" fillId="0" borderId="28" xfId="0" applyFont="1" applyFill="1" applyBorder="1" applyAlignment="1">
      <alignment horizontal="center" vertical="center" wrapText="1"/>
    </xf>
    <xf numFmtId="0" fontId="61" fillId="0" borderId="28" xfId="0" applyFont="1" applyFill="1" applyBorder="1" applyAlignment="1">
      <alignment horizontal="distributed" vertical="center" wrapText="1" indent="1"/>
    </xf>
    <xf numFmtId="49" fontId="21" fillId="0" borderId="0" xfId="0" applyNumberFormat="1" applyFont="1" applyBorder="1" applyAlignment="1">
      <alignment horizontal="center" vertical="top" wrapText="1"/>
    </xf>
    <xf numFmtId="49" fontId="21" fillId="0" borderId="36" xfId="0" applyNumberFormat="1" applyFont="1" applyBorder="1" applyAlignment="1">
      <alignment horizontal="center" vertical="top" wrapText="1"/>
    </xf>
    <xf numFmtId="182" fontId="14" fillId="0" borderId="0" xfId="0" applyNumberFormat="1" applyFont="1" applyFill="1" applyBorder="1" applyAlignment="1">
      <alignment horizontal="justify" vertical="top" wrapText="1"/>
    </xf>
    <xf numFmtId="0" fontId="0" fillId="0" borderId="22" xfId="0" applyBorder="1" applyAlignment="1">
      <alignment horizontal="justify" vertical="top" wrapText="1"/>
    </xf>
    <xf numFmtId="0" fontId="0" fillId="0" borderId="0" xfId="0" applyBorder="1" applyAlignment="1">
      <alignment horizontal="justify" vertical="top" wrapText="1"/>
    </xf>
    <xf numFmtId="0" fontId="0" fillId="0" borderId="0" xfId="0" applyAlignment="1">
      <alignment horizontal="justify" vertical="top" wrapText="1"/>
    </xf>
    <xf numFmtId="182" fontId="121" fillId="0" borderId="0" xfId="0" applyNumberFormat="1" applyFont="1" applyFill="1" applyBorder="1" applyAlignment="1">
      <alignment horizontal="justify" vertical="top" wrapText="1"/>
    </xf>
    <xf numFmtId="0" fontId="89" fillId="0" borderId="22" xfId="0" applyFont="1" applyBorder="1" applyAlignment="1">
      <alignment horizontal="justify" vertical="top" wrapText="1"/>
    </xf>
    <xf numFmtId="182" fontId="89" fillId="0" borderId="0" xfId="0" applyNumberFormat="1" applyFont="1" applyFill="1" applyBorder="1" applyAlignment="1">
      <alignment horizontal="justify" vertical="top" wrapText="1"/>
    </xf>
    <xf numFmtId="182" fontId="89" fillId="0" borderId="22" xfId="0" applyNumberFormat="1" applyFont="1" applyFill="1" applyBorder="1" applyAlignment="1">
      <alignment horizontal="justify" vertical="top" wrapText="1"/>
    </xf>
    <xf numFmtId="182" fontId="10" fillId="0" borderId="27" xfId="0" applyNumberFormat="1" applyFont="1" applyFill="1" applyBorder="1" applyAlignment="1">
      <alignment horizontal="justify" vertical="top" wrapText="1"/>
    </xf>
    <xf numFmtId="182" fontId="10" fillId="0" borderId="0" xfId="0" applyNumberFormat="1" applyFont="1" applyFill="1" applyBorder="1" applyAlignment="1">
      <alignment horizontal="justify" vertical="top" wrapText="1"/>
    </xf>
    <xf numFmtId="182" fontId="10" fillId="0" borderId="22" xfId="0" applyNumberFormat="1" applyFont="1" applyFill="1" applyBorder="1" applyAlignment="1">
      <alignment horizontal="justify" vertical="top" wrapText="1"/>
    </xf>
    <xf numFmtId="0" fontId="89" fillId="0" borderId="0" xfId="0" applyFont="1" applyBorder="1" applyAlignment="1">
      <alignment horizontal="justify" vertical="top" wrapText="1"/>
    </xf>
    <xf numFmtId="0" fontId="149" fillId="0" borderId="0" xfId="0" applyFont="1" applyFill="1" applyBorder="1" applyAlignment="1">
      <alignment horizontal="justify" vertical="top" wrapText="1"/>
    </xf>
    <xf numFmtId="0" fontId="89" fillId="0" borderId="22" xfId="0" applyFont="1" applyFill="1" applyBorder="1" applyAlignment="1">
      <alignment horizontal="justify" vertical="top" wrapText="1"/>
    </xf>
    <xf numFmtId="0" fontId="89" fillId="0" borderId="0" xfId="0" applyFont="1" applyFill="1" applyBorder="1" applyAlignment="1">
      <alignment horizontal="justify" vertical="top" wrapText="1"/>
    </xf>
    <xf numFmtId="0" fontId="10" fillId="0" borderId="22" xfId="20" applyNumberFormat="1" applyFont="1" applyBorder="1" applyAlignment="1">
      <alignment horizontal="justify" vertical="top" wrapText="1"/>
    </xf>
    <xf numFmtId="0" fontId="14" fillId="0" borderId="22" xfId="20" applyNumberFormat="1" applyFont="1" applyBorder="1" applyAlignment="1">
      <alignment horizontal="justify" vertical="top" wrapText="1"/>
    </xf>
    <xf numFmtId="0" fontId="115" fillId="0" borderId="22" xfId="20" applyNumberFormat="1" applyFont="1" applyBorder="1" applyAlignment="1">
      <alignment horizontal="justify" vertical="top" wrapText="1"/>
    </xf>
    <xf numFmtId="0" fontId="10" fillId="0" borderId="22" xfId="20" applyFont="1" applyBorder="1" applyAlignment="1">
      <alignment horizontal="justify" vertical="top" wrapText="1"/>
    </xf>
    <xf numFmtId="0" fontId="115" fillId="0" borderId="22" xfId="20" applyNumberFormat="1" applyFont="1" applyFill="1" applyBorder="1" applyAlignment="1">
      <alignment horizontal="left" vertical="top" wrapText="1"/>
    </xf>
    <xf numFmtId="0" fontId="10" fillId="0" borderId="22" xfId="20" applyNumberFormat="1" applyFont="1" applyFill="1" applyBorder="1" applyAlignment="1">
      <alignment horizontal="left" vertical="top" wrapText="1"/>
    </xf>
    <xf numFmtId="0" fontId="10" fillId="0" borderId="18" xfId="0" applyFont="1" applyBorder="1">
      <alignment vertical="center"/>
    </xf>
    <xf numFmtId="0" fontId="10" fillId="0" borderId="46" xfId="0" applyFont="1" applyBorder="1">
      <alignment vertical="center"/>
    </xf>
    <xf numFmtId="0" fontId="10" fillId="0" borderId="68" xfId="0" applyFont="1" applyFill="1" applyBorder="1" applyAlignment="1">
      <alignment horizontal="distributed" vertical="center" wrapText="1" indent="1"/>
    </xf>
    <xf numFmtId="0" fontId="14" fillId="0" borderId="27" xfId="0" applyNumberFormat="1" applyFont="1" applyFill="1" applyBorder="1" applyAlignment="1">
      <alignment horizontal="left" vertical="top"/>
    </xf>
    <xf numFmtId="0" fontId="14" fillId="0" borderId="22" xfId="0" applyNumberFormat="1" applyFont="1" applyFill="1" applyBorder="1" applyAlignment="1">
      <alignment horizontal="left" vertical="top"/>
    </xf>
    <xf numFmtId="0" fontId="115" fillId="0" borderId="27" xfId="0" applyNumberFormat="1" applyFont="1" applyFill="1" applyBorder="1" applyAlignment="1">
      <alignment horizontal="left" vertical="top"/>
    </xf>
    <xf numFmtId="0" fontId="10" fillId="0" borderId="22" xfId="0" applyNumberFormat="1" applyFont="1" applyFill="1" applyBorder="1" applyAlignment="1">
      <alignment horizontal="left" vertical="top"/>
    </xf>
    <xf numFmtId="0" fontId="14" fillId="0" borderId="27" xfId="0" applyNumberFormat="1" applyFont="1" applyFill="1" applyBorder="1" applyAlignment="1">
      <alignment horizontal="justify" vertical="top" wrapText="1"/>
    </xf>
    <xf numFmtId="0" fontId="14" fillId="0" borderId="22" xfId="0" applyNumberFormat="1" applyFont="1" applyFill="1" applyBorder="1" applyAlignment="1">
      <alignment horizontal="justify" vertical="top" wrapText="1"/>
    </xf>
    <xf numFmtId="0" fontId="115" fillId="0" borderId="27" xfId="0" applyNumberFormat="1" applyFont="1" applyFill="1" applyBorder="1" applyAlignment="1">
      <alignment horizontal="justify" vertical="top" wrapText="1"/>
    </xf>
    <xf numFmtId="0" fontId="10" fillId="0" borderId="22" xfId="0" applyNumberFormat="1" applyFont="1" applyFill="1" applyBorder="1" applyAlignment="1">
      <alignment horizontal="justify" vertical="top" wrapText="1"/>
    </xf>
    <xf numFmtId="0" fontId="10" fillId="0" borderId="43" xfId="20" applyFont="1" applyFill="1" applyBorder="1" applyAlignment="1">
      <alignment horizontal="distributed" vertical="center" indent="1"/>
    </xf>
    <xf numFmtId="0" fontId="10" fillId="0" borderId="45" xfId="20" applyFont="1" applyFill="1" applyBorder="1" applyAlignment="1">
      <alignment horizontal="distributed" vertical="center" indent="1"/>
    </xf>
    <xf numFmtId="0" fontId="10" fillId="0" borderId="27" xfId="0" applyNumberFormat="1" applyFont="1" applyFill="1" applyBorder="1" applyAlignment="1">
      <alignment horizontal="left" vertical="top" wrapText="1"/>
    </xf>
    <xf numFmtId="0" fontId="10" fillId="0" borderId="22" xfId="0" applyNumberFormat="1" applyFont="1" applyFill="1" applyBorder="1" applyAlignment="1">
      <alignment horizontal="left" vertical="top" wrapText="1"/>
    </xf>
    <xf numFmtId="0" fontId="14" fillId="0" borderId="27" xfId="0" applyNumberFormat="1" applyFont="1" applyFill="1" applyBorder="1" applyAlignment="1">
      <alignment horizontal="left" vertical="top" wrapText="1"/>
    </xf>
    <xf numFmtId="0" fontId="14" fillId="0" borderId="22" xfId="0" applyNumberFormat="1" applyFont="1" applyFill="1" applyBorder="1" applyAlignment="1">
      <alignment horizontal="left" vertical="top" wrapText="1"/>
    </xf>
    <xf numFmtId="0" fontId="14" fillId="0" borderId="18" xfId="0" applyNumberFormat="1" applyFont="1" applyFill="1" applyBorder="1" applyAlignment="1">
      <alignment horizontal="left" vertical="top"/>
    </xf>
    <xf numFmtId="0" fontId="14" fillId="0" borderId="11" xfId="0" applyNumberFormat="1" applyFont="1" applyFill="1" applyBorder="1" applyAlignment="1">
      <alignment horizontal="left" vertical="top"/>
    </xf>
    <xf numFmtId="49" fontId="20" fillId="0" borderId="27" xfId="0" applyNumberFormat="1" applyFont="1" applyBorder="1" applyAlignment="1">
      <alignment horizontal="left" vertical="top"/>
    </xf>
    <xf numFmtId="49" fontId="20" fillId="0" borderId="22" xfId="0" applyNumberFormat="1" applyFont="1" applyBorder="1" applyAlignment="1">
      <alignment horizontal="left" vertical="top"/>
    </xf>
    <xf numFmtId="0" fontId="10" fillId="0" borderId="27" xfId="0" applyNumberFormat="1" applyFont="1" applyFill="1" applyBorder="1" applyAlignment="1">
      <alignment horizontal="justify" vertical="top" wrapText="1"/>
    </xf>
    <xf numFmtId="0" fontId="14" fillId="0" borderId="11" xfId="0" applyNumberFormat="1" applyFont="1" applyFill="1" applyBorder="1" applyAlignment="1">
      <alignment horizontal="justify" vertical="top" wrapText="1"/>
    </xf>
    <xf numFmtId="0" fontId="16" fillId="0" borderId="11" xfId="0" applyNumberFormat="1" applyFont="1" applyFill="1" applyBorder="1" applyAlignment="1">
      <alignment horizontal="justify" vertical="top" wrapText="1"/>
    </xf>
    <xf numFmtId="0" fontId="24" fillId="0" borderId="19" xfId="0" applyFont="1" applyFill="1" applyBorder="1" applyAlignment="1">
      <alignment horizontal="center" vertical="center" wrapText="1"/>
    </xf>
    <xf numFmtId="0" fontId="22" fillId="0" borderId="28" xfId="0" applyFont="1" applyFill="1" applyBorder="1" applyAlignment="1">
      <alignment horizontal="center" vertical="center" wrapText="1"/>
    </xf>
    <xf numFmtId="0" fontId="24" fillId="0" borderId="20" xfId="0" applyFont="1" applyFill="1" applyBorder="1" applyAlignment="1">
      <alignment horizontal="center" vertical="center" wrapText="1"/>
    </xf>
    <xf numFmtId="3" fontId="14" fillId="0" borderId="27" xfId="0" applyNumberFormat="1" applyFont="1" applyFill="1" applyBorder="1" applyAlignment="1">
      <alignment horizontal="justify" vertical="top" wrapText="1"/>
    </xf>
    <xf numFmtId="3" fontId="10" fillId="0" borderId="0" xfId="0" applyNumberFormat="1" applyFont="1" applyFill="1" applyBorder="1" applyAlignment="1">
      <alignment horizontal="justify" vertical="top" wrapText="1"/>
    </xf>
    <xf numFmtId="3" fontId="10" fillId="0" borderId="22" xfId="0" applyNumberFormat="1" applyFont="1" applyFill="1" applyBorder="1" applyAlignment="1">
      <alignment horizontal="justify" vertical="top" wrapText="1"/>
    </xf>
    <xf numFmtId="179" fontId="14" fillId="0" borderId="32" xfId="0" applyNumberFormat="1" applyFont="1" applyFill="1" applyBorder="1" applyAlignment="1">
      <alignment horizontal="left" vertical="top" wrapText="1"/>
    </xf>
    <xf numFmtId="179" fontId="14" fillId="0" borderId="36" xfId="0" applyNumberFormat="1" applyFont="1" applyFill="1" applyBorder="1" applyAlignment="1">
      <alignment horizontal="left" vertical="top" wrapText="1"/>
    </xf>
    <xf numFmtId="179" fontId="14" fillId="0" borderId="23" xfId="0" applyNumberFormat="1" applyFont="1" applyFill="1" applyBorder="1" applyAlignment="1">
      <alignment horizontal="left" vertical="top" wrapText="1"/>
    </xf>
    <xf numFmtId="3" fontId="14" fillId="0" borderId="27" xfId="0" applyNumberFormat="1" applyFont="1" applyFill="1" applyBorder="1" applyAlignment="1">
      <alignment vertical="top" wrapText="1"/>
    </xf>
    <xf numFmtId="0" fontId="59" fillId="0" borderId="0" xfId="0" applyFont="1" applyFill="1" applyAlignment="1">
      <alignment horizontal="left" vertical="top" wrapText="1"/>
    </xf>
    <xf numFmtId="0" fontId="0" fillId="0" borderId="0" xfId="0" applyAlignment="1">
      <alignment horizontal="left" vertical="top" wrapText="1"/>
    </xf>
    <xf numFmtId="0" fontId="14" fillId="0" borderId="34" xfId="0" applyFont="1" applyFill="1" applyBorder="1" applyAlignment="1">
      <alignment horizontal="distributed" vertical="center" wrapText="1" indent="2"/>
    </xf>
    <xf numFmtId="0" fontId="14" fillId="0" borderId="18" xfId="0" applyFont="1" applyFill="1" applyBorder="1" applyAlignment="1">
      <alignment horizontal="distributed" vertical="center" wrapText="1" indent="2"/>
    </xf>
    <xf numFmtId="0" fontId="14" fillId="0" borderId="46" xfId="0" applyFont="1" applyFill="1" applyBorder="1" applyAlignment="1">
      <alignment horizontal="distributed" vertical="center" wrapText="1" indent="2"/>
    </xf>
    <xf numFmtId="0" fontId="132" fillId="0" borderId="0" xfId="0" applyFont="1" applyFill="1" applyBorder="1" applyAlignment="1">
      <alignment vertical="top" wrapText="1"/>
    </xf>
    <xf numFmtId="0" fontId="60" fillId="0" borderId="0" xfId="0" applyFont="1" applyFill="1" applyBorder="1" applyAlignment="1">
      <alignment vertical="top" wrapText="1"/>
    </xf>
    <xf numFmtId="0" fontId="14" fillId="0" borderId="50" xfId="0" applyFont="1" applyFill="1" applyBorder="1" applyAlignment="1">
      <alignment horizontal="distributed" vertical="center" wrapText="1" indent="2"/>
    </xf>
    <xf numFmtId="3" fontId="115" fillId="0" borderId="27" xfId="0" applyNumberFormat="1" applyFont="1" applyFill="1" applyBorder="1" applyAlignment="1">
      <alignment vertical="top"/>
    </xf>
    <xf numFmtId="3" fontId="10" fillId="0" borderId="0" xfId="0" applyNumberFormat="1" applyFont="1" applyFill="1" applyBorder="1" applyAlignment="1">
      <alignment vertical="top"/>
    </xf>
    <xf numFmtId="3" fontId="10" fillId="0" borderId="22" xfId="0" applyNumberFormat="1" applyFont="1" applyFill="1" applyBorder="1" applyAlignment="1">
      <alignment vertical="top"/>
    </xf>
  </cellXfs>
  <cellStyles count="258">
    <cellStyle name=" 1" xfId="47" xr:uid="{00000000-0005-0000-0000-000000000000}"/>
    <cellStyle name="?" xfId="114" xr:uid="{00000000-0005-0000-0000-000001000000}"/>
    <cellStyle name="_1000831-101年度公務車輛調查表（彙）" xfId="115" xr:uid="{00000000-0005-0000-0000-000002000000}"/>
    <cellStyle name="_1000831各機關101年度預算案對外捐助彙整表" xfId="116" xr:uid="{00000000-0005-0000-0000-000003000000}"/>
    <cellStyle name="_1000906_101年度公共建設及設施費_附表" xfId="117" xr:uid="{00000000-0005-0000-0000-000004000000}"/>
    <cellStyle name="_1000906_101年度投資_附表" xfId="118" xr:uid="{00000000-0005-0000-0000-000005000000}"/>
    <cellStyle name="_1000907-101年度用途別調查表-運輸設備費（彙）" xfId="119" xr:uid="{00000000-0005-0000-0000-000006000000}"/>
    <cellStyle name="_1000909_101委辦費_附表" xfId="120" xr:uid="{00000000-0005-0000-0000-000007000000}"/>
    <cellStyle name="_1000909-101年度用途別調查表(特別費)登錄網站用" xfId="121" xr:uid="{00000000-0005-0000-0000-000008000000}"/>
    <cellStyle name="_101年用途別-對個人之補捐助(上傳局網)" xfId="122" xr:uid="{00000000-0005-0000-0000-000009000000}"/>
    <cellStyle name="_101年度用途別調查表(其他業務租金)-彙" xfId="123" xr:uid="{00000000-0005-0000-0000-00000A000000}"/>
    <cellStyle name="_101年度用途別調查表(教育訓練)" xfId="124" xr:uid="{00000000-0005-0000-0000-00000B000000}"/>
    <cellStyle name="_101年度用途別調查表(資訊服務費)" xfId="125" xr:uid="{00000000-0005-0000-0000-00000C000000}"/>
    <cellStyle name="_101年度用途別調查表(臺灣省各縣市)" xfId="126" xr:uid="{00000000-0005-0000-0000-00000D000000}"/>
    <cellStyle name="_101年度用途別調查表-大陸旅費" xfId="127" xr:uid="{00000000-0005-0000-0000-00000E000000}"/>
    <cellStyle name="_101年度用途別調查表－加班值班費" xfId="128" xr:uid="{00000000-0005-0000-0000-00000F000000}"/>
    <cellStyle name="_101年度用途別調查表-物品" xfId="129" xr:uid="{00000000-0005-0000-0000-000010000000}"/>
    <cellStyle name="_101年度用途別調查表-對國內團體之捐助(表)" xfId="130" xr:uid="{00000000-0005-0000-0000-000011000000}"/>
    <cellStyle name="_101年度對福建省補助" xfId="131" xr:uid="{00000000-0005-0000-0000-000012000000}"/>
    <cellStyle name="_101年度臨時人員酬金-彙總" xfId="132" xr:uid="{00000000-0005-0000-0000-000013000000}"/>
    <cellStyle name="_101年按日按件計資酬金明細表" xfId="133" xr:uid="{00000000-0005-0000-0000-000014000000}"/>
    <cellStyle name="_101通訊費(彙)" xfId="134" xr:uid="{00000000-0005-0000-0000-000015000000}"/>
    <cellStyle name="_101預備金-增減原因" xfId="135" xr:uid="{00000000-0005-0000-0000-000016000000}"/>
    <cellStyle name="_101獎補助" xfId="136" xr:uid="{00000000-0005-0000-0000-000017000000}"/>
    <cellStyle name="_400403關於中央對直轄市政府補助之說明（掛網）" xfId="137" xr:uid="{00000000-0005-0000-0000-000018000000}"/>
    <cellStyle name="_97及98派員出國計畫預算比較表-彙" xfId="138" xr:uid="{00000000-0005-0000-0000-000019000000}"/>
    <cellStyle name="_980929-99年其他業務租金明細比較表" xfId="139" xr:uid="{00000000-0005-0000-0000-00001A000000}"/>
    <cellStyle name="_98-99年度用途別國外旅費比較表" xfId="140" xr:uid="{00000000-0005-0000-0000-00001B000000}"/>
    <cellStyle name="_98年其他業務租金比較表970917" xfId="141" xr:uid="{00000000-0005-0000-0000-00001C000000}"/>
    <cellStyle name="_Book1" xfId="142" xr:uid="{00000000-0005-0000-0000-00001D000000}"/>
    <cellStyle name="_一般事務費、車輛及養護費編列表" xfId="143" xr:uid="{00000000-0005-0000-0000-00001E000000}"/>
    <cellStyle name="_中央各部會債務費編列表" xfId="144" xr:uid="{00000000-0005-0000-0000-00001F000000}"/>
    <cellStyle name="_兼職費預算編列之說明(101)" xfId="145" xr:uid="{00000000-0005-0000-0000-000020000000}"/>
    <cellStyle name="_院處100-1" xfId="146" xr:uid="{00000000-0005-0000-0000-000021000000}"/>
    <cellStyle name="_彙總0911" xfId="147" xr:uid="{00000000-0005-0000-0000-000022000000}"/>
    <cellStyle name="_對學生之獎助" xfId="148" xr:uid="{00000000-0005-0000-0000-000023000000}"/>
    <cellStyle name="_關於水電費預算編列之說明" xfId="149" xr:uid="{00000000-0005-0000-0000-000024000000}"/>
    <cellStyle name="20% - 輔色1" xfId="1" builtinId="30" customBuiltin="1"/>
    <cellStyle name="20% - 輔色1 2" xfId="48" xr:uid="{00000000-0005-0000-0000-000026000000}"/>
    <cellStyle name="20% - 輔色2" xfId="2" builtinId="34" customBuiltin="1"/>
    <cellStyle name="20% - 輔色2 2" xfId="49" xr:uid="{00000000-0005-0000-0000-000028000000}"/>
    <cellStyle name="20% - 輔色3" xfId="3" builtinId="38" customBuiltin="1"/>
    <cellStyle name="20% - 輔色3 2" xfId="50" xr:uid="{00000000-0005-0000-0000-00002A000000}"/>
    <cellStyle name="20% - 輔色4" xfId="4" builtinId="42" customBuiltin="1"/>
    <cellStyle name="20% - 輔色4 2" xfId="51" xr:uid="{00000000-0005-0000-0000-00002C000000}"/>
    <cellStyle name="20% - 輔色5" xfId="5" builtinId="46" customBuiltin="1"/>
    <cellStyle name="20% - 輔色5 2" xfId="52" xr:uid="{00000000-0005-0000-0000-00002E000000}"/>
    <cellStyle name="20% - 輔色6" xfId="6" builtinId="50" customBuiltin="1"/>
    <cellStyle name="20% - 輔色6 2" xfId="53" xr:uid="{00000000-0005-0000-0000-000030000000}"/>
    <cellStyle name="40% - 輔色1" xfId="7" builtinId="31" customBuiltin="1"/>
    <cellStyle name="40% - 輔色1 2" xfId="54" xr:uid="{00000000-0005-0000-0000-000032000000}"/>
    <cellStyle name="40% - 輔色2" xfId="8" builtinId="35" customBuiltin="1"/>
    <cellStyle name="40% - 輔色2 2" xfId="55" xr:uid="{00000000-0005-0000-0000-000034000000}"/>
    <cellStyle name="40% - 輔色3" xfId="9" builtinId="39" customBuiltin="1"/>
    <cellStyle name="40% - 輔色3 2" xfId="56" xr:uid="{00000000-0005-0000-0000-000036000000}"/>
    <cellStyle name="40% - 輔色4" xfId="10" builtinId="43" customBuiltin="1"/>
    <cellStyle name="40% - 輔色4 2" xfId="57" xr:uid="{00000000-0005-0000-0000-000038000000}"/>
    <cellStyle name="40% - 輔色5" xfId="11" builtinId="47" customBuiltin="1"/>
    <cellStyle name="40% - 輔色5 2" xfId="58" xr:uid="{00000000-0005-0000-0000-00003A000000}"/>
    <cellStyle name="40% - 輔色6" xfId="12" builtinId="51" customBuiltin="1"/>
    <cellStyle name="40% - 輔色6 2" xfId="59" xr:uid="{00000000-0005-0000-0000-00003C000000}"/>
    <cellStyle name="60% - 輔色1" xfId="13" builtinId="32" customBuiltin="1"/>
    <cellStyle name="60% - 輔色1 2" xfId="60" xr:uid="{00000000-0005-0000-0000-00003E000000}"/>
    <cellStyle name="60% - 輔色2" xfId="14" builtinId="36" customBuiltin="1"/>
    <cellStyle name="60% - 輔色2 2" xfId="61" xr:uid="{00000000-0005-0000-0000-000040000000}"/>
    <cellStyle name="60% - 輔色3" xfId="15" builtinId="40" customBuiltin="1"/>
    <cellStyle name="60% - 輔色3 2" xfId="62" xr:uid="{00000000-0005-0000-0000-000042000000}"/>
    <cellStyle name="60% - 輔色4" xfId="16" builtinId="44" customBuiltin="1"/>
    <cellStyle name="60% - 輔色4 2" xfId="63" xr:uid="{00000000-0005-0000-0000-000044000000}"/>
    <cellStyle name="60% - 輔色5" xfId="17" builtinId="48" customBuiltin="1"/>
    <cellStyle name="60% - 輔色5 2" xfId="64" xr:uid="{00000000-0005-0000-0000-000046000000}"/>
    <cellStyle name="60% - 輔色6" xfId="18" builtinId="52" customBuiltin="1"/>
    <cellStyle name="60% - 輔色6 2" xfId="65" xr:uid="{00000000-0005-0000-0000-000048000000}"/>
    <cellStyle name="Comma0" xfId="150" xr:uid="{00000000-0005-0000-0000-000049000000}"/>
    <cellStyle name="Currency0" xfId="151" xr:uid="{00000000-0005-0000-0000-00004A000000}"/>
    <cellStyle name="Date" xfId="152" xr:uid="{00000000-0005-0000-0000-00004B000000}"/>
    <cellStyle name="eng" xfId="153" xr:uid="{00000000-0005-0000-0000-00004C000000}"/>
    <cellStyle name="Euro" xfId="19" xr:uid="{00000000-0005-0000-0000-00004D000000}"/>
    <cellStyle name="Fixed" xfId="154" xr:uid="{00000000-0005-0000-0000-00004E000000}"/>
    <cellStyle name="Grey" xfId="155" xr:uid="{00000000-0005-0000-0000-00004F000000}"/>
    <cellStyle name="header" xfId="156" xr:uid="{00000000-0005-0000-0000-000050000000}"/>
    <cellStyle name="Header1" xfId="157" xr:uid="{00000000-0005-0000-0000-000051000000}"/>
    <cellStyle name="Header2" xfId="158" xr:uid="{00000000-0005-0000-0000-000052000000}"/>
    <cellStyle name="Heading 1" xfId="159" xr:uid="{00000000-0005-0000-0000-000053000000}"/>
    <cellStyle name="Heading 2" xfId="160" xr:uid="{00000000-0005-0000-0000-000054000000}"/>
    <cellStyle name="Input [yellow]" xfId="161" xr:uid="{00000000-0005-0000-0000-000055000000}"/>
    <cellStyle name="lu" xfId="162" xr:uid="{00000000-0005-0000-0000-000056000000}"/>
    <cellStyle name="n0" xfId="163" xr:uid="{00000000-0005-0000-0000-000057000000}"/>
    <cellStyle name="n1" xfId="164" xr:uid="{00000000-0005-0000-0000-000058000000}"/>
    <cellStyle name="Normal - Style1" xfId="165" xr:uid="{00000000-0005-0000-0000-000059000000}"/>
    <cellStyle name="Normal_% Completion" xfId="166" xr:uid="{00000000-0005-0000-0000-00005A000000}"/>
    <cellStyle name="Percent [2]" xfId="167" xr:uid="{00000000-0005-0000-0000-00005B000000}"/>
    <cellStyle name="sheet" xfId="168" xr:uid="{00000000-0005-0000-0000-00005C000000}"/>
    <cellStyle name="Total" xfId="169" xr:uid="{00000000-0005-0000-0000-00005D000000}"/>
    <cellStyle name="遽_laroux" xfId="170" xr:uid="{00000000-0005-0000-0000-00005E000000}"/>
    <cellStyle name="一般" xfId="0" builtinId="0"/>
    <cellStyle name="一般 10" xfId="171" xr:uid="{00000000-0005-0000-0000-000060000000}"/>
    <cellStyle name="一般 10 2" xfId="216" xr:uid="{00000000-0005-0000-0000-000061000000}"/>
    <cellStyle name="一般 10 2 2" xfId="224" xr:uid="{00000000-0005-0000-0000-000062000000}"/>
    <cellStyle name="一般 10 3" xfId="223" xr:uid="{00000000-0005-0000-0000-000063000000}"/>
    <cellStyle name="一般 11" xfId="213" xr:uid="{00000000-0005-0000-0000-000064000000}"/>
    <cellStyle name="一般 11 2" xfId="220" xr:uid="{00000000-0005-0000-0000-000065000000}"/>
    <cellStyle name="一般 11 2 2" xfId="226" xr:uid="{00000000-0005-0000-0000-000066000000}"/>
    <cellStyle name="一般 11 3" xfId="225" xr:uid="{00000000-0005-0000-0000-000067000000}"/>
    <cellStyle name="一般 12" xfId="215" xr:uid="{00000000-0005-0000-0000-000068000000}"/>
    <cellStyle name="一般 13 2" xfId="172" xr:uid="{00000000-0005-0000-0000-000069000000}"/>
    <cellStyle name="一般 2" xfId="66" xr:uid="{00000000-0005-0000-0000-00006A000000}"/>
    <cellStyle name="一般 2 2" xfId="67" xr:uid="{00000000-0005-0000-0000-00006B000000}"/>
    <cellStyle name="一般 2 3" xfId="68" xr:uid="{00000000-0005-0000-0000-00006C000000}"/>
    <cellStyle name="一般 2 3 2" xfId="173" xr:uid="{00000000-0005-0000-0000-00006D000000}"/>
    <cellStyle name="一般 2 4" xfId="69" xr:uid="{00000000-0005-0000-0000-00006E000000}"/>
    <cellStyle name="一般 2 4 2" xfId="174" xr:uid="{00000000-0005-0000-0000-00006F000000}"/>
    <cellStyle name="一般 2_1021220-104利息收入" xfId="70" xr:uid="{00000000-0005-0000-0000-000070000000}"/>
    <cellStyle name="一般 23" xfId="175" xr:uid="{00000000-0005-0000-0000-000071000000}"/>
    <cellStyle name="一般 25" xfId="176" xr:uid="{00000000-0005-0000-0000-000072000000}"/>
    <cellStyle name="一般 28" xfId="177" xr:uid="{00000000-0005-0000-0000-000073000000}"/>
    <cellStyle name="一般 3" xfId="71" xr:uid="{00000000-0005-0000-0000-000074000000}"/>
    <cellStyle name="一般 3 2" xfId="72" xr:uid="{00000000-0005-0000-0000-000075000000}"/>
    <cellStyle name="一般 3 2 2" xfId="178" xr:uid="{00000000-0005-0000-0000-000076000000}"/>
    <cellStyle name="一般 3 2 3" xfId="179" xr:uid="{00000000-0005-0000-0000-000077000000}"/>
    <cellStyle name="一般 4" xfId="73" xr:uid="{00000000-0005-0000-0000-000078000000}"/>
    <cellStyle name="一般 4 2" xfId="74" xr:uid="{00000000-0005-0000-0000-000079000000}"/>
    <cellStyle name="一般 4 2 2" xfId="180" xr:uid="{00000000-0005-0000-0000-00007A000000}"/>
    <cellStyle name="一般 5" xfId="75" xr:uid="{00000000-0005-0000-0000-00007B000000}"/>
    <cellStyle name="一般 6" xfId="111" xr:uid="{00000000-0005-0000-0000-00007C000000}"/>
    <cellStyle name="一般 6 2" xfId="181" xr:uid="{00000000-0005-0000-0000-00007D000000}"/>
    <cellStyle name="一般 7" xfId="182" xr:uid="{00000000-0005-0000-0000-00007E000000}"/>
    <cellStyle name="一般 7 2" xfId="183" xr:uid="{00000000-0005-0000-0000-00007F000000}"/>
    <cellStyle name="一般 8" xfId="184" xr:uid="{00000000-0005-0000-0000-000080000000}"/>
    <cellStyle name="一般 8 2" xfId="217" xr:uid="{00000000-0005-0000-0000-000081000000}"/>
    <cellStyle name="一般 8 2 2" xfId="228" xr:uid="{00000000-0005-0000-0000-000082000000}"/>
    <cellStyle name="一般 8 3" xfId="227" xr:uid="{00000000-0005-0000-0000-000083000000}"/>
    <cellStyle name="一般 9" xfId="185" xr:uid="{00000000-0005-0000-0000-000084000000}"/>
    <cellStyle name="一般 9 2" xfId="218" xr:uid="{00000000-0005-0000-0000-000085000000}"/>
    <cellStyle name="一般 9 2 2" xfId="230" xr:uid="{00000000-0005-0000-0000-000086000000}"/>
    <cellStyle name="一般 9 3" xfId="229" xr:uid="{00000000-0005-0000-0000-000087000000}"/>
    <cellStyle name="一般_(For 監理會)101附屬單位預算(營業部分)" xfId="20" xr:uid="{00000000-0005-0000-0000-000088000000}"/>
    <cellStyle name="一般_99附屬單位預算(營業部分)-佩虹" xfId="112" xr:uid="{00000000-0005-0000-0000-000089000000}"/>
    <cellStyle name="一般_目錄" xfId="257" xr:uid="{00000000-0005-0000-0000-00008A000000}"/>
    <cellStyle name="一般_國保101行政經費彙計表" xfId="113" xr:uid="{00000000-0005-0000-0000-00008B000000}"/>
    <cellStyle name="千分位" xfId="21" builtinId="3"/>
    <cellStyle name="千分位 11" xfId="186" xr:uid="{00000000-0005-0000-0000-00008D000000}"/>
    <cellStyle name="千分位 11 2" xfId="187" xr:uid="{00000000-0005-0000-0000-00008E000000}"/>
    <cellStyle name="千分位 11 2 2" xfId="232" xr:uid="{00000000-0005-0000-0000-00008F000000}"/>
    <cellStyle name="千分位 11 3" xfId="219" xr:uid="{00000000-0005-0000-0000-000090000000}"/>
    <cellStyle name="千分位 11 3 2" xfId="233" xr:uid="{00000000-0005-0000-0000-000091000000}"/>
    <cellStyle name="千分位 11 4" xfId="231" xr:uid="{00000000-0005-0000-0000-000092000000}"/>
    <cellStyle name="千分位 2" xfId="76" xr:uid="{00000000-0005-0000-0000-000093000000}"/>
    <cellStyle name="千分位 2 2" xfId="77" xr:uid="{00000000-0005-0000-0000-000094000000}"/>
    <cellStyle name="千分位 2 2 2" xfId="78" xr:uid="{00000000-0005-0000-0000-000095000000}"/>
    <cellStyle name="千分位 2 2 2 2" xfId="188" xr:uid="{00000000-0005-0000-0000-000096000000}"/>
    <cellStyle name="千分位 2 2 2 2 2" xfId="237" xr:uid="{00000000-0005-0000-0000-000097000000}"/>
    <cellStyle name="千分位 2 2 2 3" xfId="236" xr:uid="{00000000-0005-0000-0000-000098000000}"/>
    <cellStyle name="千分位 2 2 3" xfId="189" xr:uid="{00000000-0005-0000-0000-000099000000}"/>
    <cellStyle name="千分位 2 2 3 2" xfId="238" xr:uid="{00000000-0005-0000-0000-00009A000000}"/>
    <cellStyle name="千分位 2 2 4" xfId="235" xr:uid="{00000000-0005-0000-0000-00009B000000}"/>
    <cellStyle name="千分位 2 3" xfId="79" xr:uid="{00000000-0005-0000-0000-00009C000000}"/>
    <cellStyle name="千分位 2 3 2" xfId="190" xr:uid="{00000000-0005-0000-0000-00009D000000}"/>
    <cellStyle name="千分位 2 3 2 2" xfId="240" xr:uid="{00000000-0005-0000-0000-00009E000000}"/>
    <cellStyle name="千分位 2 3 3" xfId="239" xr:uid="{00000000-0005-0000-0000-00009F000000}"/>
    <cellStyle name="千分位 2 4" xfId="191" xr:uid="{00000000-0005-0000-0000-0000A0000000}"/>
    <cellStyle name="千分位 2 4 2" xfId="241" xr:uid="{00000000-0005-0000-0000-0000A1000000}"/>
    <cellStyle name="千分位 2 5" xfId="234" xr:uid="{00000000-0005-0000-0000-0000A2000000}"/>
    <cellStyle name="千分位 3" xfId="80" xr:uid="{00000000-0005-0000-0000-0000A3000000}"/>
    <cellStyle name="千分位 3 2" xfId="192" xr:uid="{00000000-0005-0000-0000-0000A4000000}"/>
    <cellStyle name="千分位 3 2 2" xfId="243" xr:uid="{00000000-0005-0000-0000-0000A5000000}"/>
    <cellStyle name="千分位 3 3" xfId="242" xr:uid="{00000000-0005-0000-0000-0000A6000000}"/>
    <cellStyle name="千分位 4" xfId="81" xr:uid="{00000000-0005-0000-0000-0000A7000000}"/>
    <cellStyle name="千分位 4 2" xfId="193" xr:uid="{00000000-0005-0000-0000-0000A8000000}"/>
    <cellStyle name="千分位 4 2 2" xfId="245" xr:uid="{00000000-0005-0000-0000-0000A9000000}"/>
    <cellStyle name="千分位 4 3" xfId="244" xr:uid="{00000000-0005-0000-0000-0000AA000000}"/>
    <cellStyle name="千分位 5" xfId="82" xr:uid="{00000000-0005-0000-0000-0000AB000000}"/>
    <cellStyle name="千分位 5 2" xfId="194" xr:uid="{00000000-0005-0000-0000-0000AC000000}"/>
    <cellStyle name="千分位 5 2 2" xfId="247" xr:uid="{00000000-0005-0000-0000-0000AD000000}"/>
    <cellStyle name="千分位 5 3" xfId="246" xr:uid="{00000000-0005-0000-0000-0000AE000000}"/>
    <cellStyle name="千分位 6" xfId="195" xr:uid="{00000000-0005-0000-0000-0000AF000000}"/>
    <cellStyle name="千分位 6 2" xfId="248" xr:uid="{00000000-0005-0000-0000-0000B0000000}"/>
    <cellStyle name="千分位 7" xfId="214" xr:uid="{00000000-0005-0000-0000-0000B1000000}"/>
    <cellStyle name="千分位 7 2" xfId="221" xr:uid="{00000000-0005-0000-0000-0000B2000000}"/>
    <cellStyle name="千分位 7 2 2" xfId="250" xr:uid="{00000000-0005-0000-0000-0000B3000000}"/>
    <cellStyle name="千分位 7 3" xfId="249" xr:uid="{00000000-0005-0000-0000-0000B4000000}"/>
    <cellStyle name="千分位 8" xfId="222" xr:uid="{00000000-0005-0000-0000-0000B5000000}"/>
    <cellStyle name="千分位[0] 2" xfId="83" xr:uid="{00000000-0005-0000-0000-0000B6000000}"/>
    <cellStyle name="千分位[0] 2 2" xfId="196" xr:uid="{00000000-0005-0000-0000-0000B7000000}"/>
    <cellStyle name="千分位[0] 2 2 2" xfId="252" xr:uid="{00000000-0005-0000-0000-0000B8000000}"/>
    <cellStyle name="千分位[0] 2 3" xfId="251" xr:uid="{00000000-0005-0000-0000-0000B9000000}"/>
    <cellStyle name="千分位[0] 3" xfId="84" xr:uid="{00000000-0005-0000-0000-0000BA000000}"/>
    <cellStyle name="千分位[0] 3 2" xfId="197" xr:uid="{00000000-0005-0000-0000-0000BB000000}"/>
    <cellStyle name="千分位[0] 3 2 2" xfId="254" xr:uid="{00000000-0005-0000-0000-0000BC000000}"/>
    <cellStyle name="千分位[0] 3 3" xfId="253" xr:uid="{00000000-0005-0000-0000-0000BD000000}"/>
    <cellStyle name="中等" xfId="22" builtinId="28" customBuiltin="1"/>
    <cellStyle name="中等 2" xfId="85" xr:uid="{00000000-0005-0000-0000-0000BF000000}"/>
    <cellStyle name="未定義" xfId="23" xr:uid="{00000000-0005-0000-0000-0000C0000000}"/>
    <cellStyle name="合計" xfId="24" builtinId="25" customBuiltin="1"/>
    <cellStyle name="合計 2" xfId="86" xr:uid="{00000000-0005-0000-0000-0000C2000000}"/>
    <cellStyle name="好" xfId="25" builtinId="26" customBuiltin="1"/>
    <cellStyle name="好 2" xfId="87" xr:uid="{00000000-0005-0000-0000-0000C4000000}"/>
    <cellStyle name="百分比" xfId="26" builtinId="5"/>
    <cellStyle name="百分比 2" xfId="88" xr:uid="{00000000-0005-0000-0000-0000C6000000}"/>
    <cellStyle name="百分比 3" xfId="89" xr:uid="{00000000-0005-0000-0000-0000C7000000}"/>
    <cellStyle name="表首" xfId="198" xr:uid="{00000000-0005-0000-0000-0000C8000000}"/>
    <cellStyle name="計算方式" xfId="27" builtinId="22" customBuiltin="1"/>
    <cellStyle name="計算方式 2" xfId="90" xr:uid="{00000000-0005-0000-0000-0000CA000000}"/>
    <cellStyle name="桁区切り [0.00]_RESULTS" xfId="199" xr:uid="{00000000-0005-0000-0000-0000CB000000}"/>
    <cellStyle name="桁区切り_RESULTS" xfId="200" xr:uid="{00000000-0005-0000-0000-0000CC000000}"/>
    <cellStyle name="貨幣 2" xfId="201" xr:uid="{00000000-0005-0000-0000-0000CD000000}"/>
    <cellStyle name="貨幣 2 2" xfId="255" xr:uid="{00000000-0005-0000-0000-0000CE000000}"/>
    <cellStyle name="貨幣[0]" xfId="202" xr:uid="{00000000-0005-0000-0000-0000CF000000}"/>
    <cellStyle name="貨幣[0] 2" xfId="203" xr:uid="{00000000-0005-0000-0000-0000D0000000}"/>
    <cellStyle name="貨幣[0] 2 2" xfId="256" xr:uid="{00000000-0005-0000-0000-0000D1000000}"/>
    <cellStyle name="貨幣[0]_0328-1.87" xfId="204" xr:uid="{00000000-0005-0000-0000-0000D2000000}"/>
    <cellStyle name="通貨 [0.00]_RESULTS" xfId="205" xr:uid="{00000000-0005-0000-0000-0000D3000000}"/>
    <cellStyle name="通貨_RESULTS" xfId="206" xr:uid="{00000000-0005-0000-0000-0000D4000000}"/>
    <cellStyle name="連結的儲存格" xfId="28" builtinId="24" customBuiltin="1"/>
    <cellStyle name="連結的儲存格 2" xfId="91" xr:uid="{00000000-0005-0000-0000-0000D6000000}"/>
    <cellStyle name="備註" xfId="29" builtinId="10" customBuiltin="1"/>
    <cellStyle name="備註 2" xfId="92" xr:uid="{00000000-0005-0000-0000-0000D8000000}"/>
    <cellStyle name="說明文字" xfId="30" builtinId="53" customBuiltin="1"/>
    <cellStyle name="說明文字 2" xfId="93" xr:uid="{00000000-0005-0000-0000-0000DA000000}"/>
    <cellStyle name="輔色1" xfId="31" builtinId="29" customBuiltin="1"/>
    <cellStyle name="輔色1 2" xfId="94" xr:uid="{00000000-0005-0000-0000-0000DC000000}"/>
    <cellStyle name="輔色2" xfId="32" builtinId="33" customBuiltin="1"/>
    <cellStyle name="輔色2 2" xfId="95" xr:uid="{00000000-0005-0000-0000-0000DE000000}"/>
    <cellStyle name="輔色3" xfId="33" builtinId="37" customBuiltin="1"/>
    <cellStyle name="輔色3 2" xfId="96" xr:uid="{00000000-0005-0000-0000-0000E0000000}"/>
    <cellStyle name="輔色4" xfId="34" builtinId="41" customBuiltin="1"/>
    <cellStyle name="輔色4 2" xfId="97" xr:uid="{00000000-0005-0000-0000-0000E2000000}"/>
    <cellStyle name="輔色5" xfId="35" builtinId="45" customBuiltin="1"/>
    <cellStyle name="輔色5 2" xfId="98" xr:uid="{00000000-0005-0000-0000-0000E4000000}"/>
    <cellStyle name="輔色6" xfId="36" builtinId="49" customBuiltin="1"/>
    <cellStyle name="輔色6 2" xfId="99" xr:uid="{00000000-0005-0000-0000-0000E6000000}"/>
    <cellStyle name="標準_RESULTS" xfId="207" xr:uid="{00000000-0005-0000-0000-0000E7000000}"/>
    <cellStyle name="標題" xfId="37" builtinId="15" customBuiltin="1"/>
    <cellStyle name="標題 1" xfId="38" builtinId="16" customBuiltin="1"/>
    <cellStyle name="標題 1 2" xfId="100" xr:uid="{00000000-0005-0000-0000-0000EA000000}"/>
    <cellStyle name="標題 2" xfId="39" builtinId="17" customBuiltin="1"/>
    <cellStyle name="標題 2 2" xfId="101" xr:uid="{00000000-0005-0000-0000-0000EC000000}"/>
    <cellStyle name="標題 3" xfId="40" builtinId="18" customBuiltin="1"/>
    <cellStyle name="標題 3 2" xfId="102" xr:uid="{00000000-0005-0000-0000-0000EE000000}"/>
    <cellStyle name="標題 4" xfId="41" builtinId="19" customBuiltin="1"/>
    <cellStyle name="標題 4 2" xfId="103" xr:uid="{00000000-0005-0000-0000-0000F0000000}"/>
    <cellStyle name="標題 5" xfId="104" xr:uid="{00000000-0005-0000-0000-0000F1000000}"/>
    <cellStyle name="樣式 1" xfId="105" xr:uid="{00000000-0005-0000-0000-0000F2000000}"/>
    <cellStyle name="輸入" xfId="42" builtinId="20" customBuiltin="1"/>
    <cellStyle name="輸入 2" xfId="106" xr:uid="{00000000-0005-0000-0000-0000F4000000}"/>
    <cellStyle name="輸出" xfId="43" builtinId="21" customBuiltin="1"/>
    <cellStyle name="輸出 2" xfId="107" xr:uid="{00000000-0005-0000-0000-0000F6000000}"/>
    <cellStyle name="隨後的超連結_2001NIP報表-bak" xfId="208" xr:uid="{00000000-0005-0000-0000-0000F7000000}"/>
    <cellStyle name="檢查儲存格" xfId="44" builtinId="23" customBuiltin="1"/>
    <cellStyle name="檢查儲存格 2" xfId="108" xr:uid="{00000000-0005-0000-0000-0000F9000000}"/>
    <cellStyle name="壞" xfId="45" builtinId="27" customBuiltin="1"/>
    <cellStyle name="壞 2" xfId="109" xr:uid="{00000000-0005-0000-0000-0000FB000000}"/>
    <cellStyle name="警告文字" xfId="46" builtinId="11" customBuiltin="1"/>
    <cellStyle name="警告文字 2" xfId="110" xr:uid="{00000000-0005-0000-0000-0000FD000000}"/>
    <cellStyle name="巍葆 [0]_laroux" xfId="209" xr:uid="{00000000-0005-0000-0000-0000FE000000}"/>
    <cellStyle name="巍葆_laroux" xfId="210" xr:uid="{00000000-0005-0000-0000-0000FF000000}"/>
    <cellStyle name="鱔 [0]_laroux" xfId="211" xr:uid="{00000000-0005-0000-0000-000000010000}"/>
    <cellStyle name="鱔_laroux" xfId="212" xr:uid="{00000000-0005-0000-0000-000001010000}"/>
  </cellStyles>
  <dxfs count="0"/>
  <tableStyles count="0" defaultTableStyle="TableStyleMedium9" defaultPivotStyle="PivotStyleLight16"/>
  <colors>
    <mruColors>
      <color rgb="FF3333CC"/>
      <color rgb="FF66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externalLink" Target="externalLinks/externalLink4.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externalLink" Target="externalLinks/externalLink2.xml"/><Relationship Id="rId58"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calcChain" Target="calcChain.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externalLink" Target="externalLinks/externalLink5.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externalLink" Target="externalLinks/externalLink3.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externalLink" Target="externalLinks/externalLink6.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externalLink" Target="externalLinks/externalLink1.xml"/><Relationship Id="rId6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3.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2"/>
      <c:rotY val="20"/>
      <c:rAngAx val="0"/>
      <c:perspective val="0"/>
    </c:view3D>
    <c:floor>
      <c:thickness val="0"/>
    </c:floor>
    <c:sideWall>
      <c:thickness val="0"/>
    </c:sideWall>
    <c:backWall>
      <c:thickness val="0"/>
    </c:backWall>
    <c:plotArea>
      <c:layout/>
      <c:pie3DChart>
        <c:varyColors val="0"/>
        <c:dLbls>
          <c:showLegendKey val="0"/>
          <c:showVal val="0"/>
          <c:showCatName val="1"/>
          <c:showSerName val="0"/>
          <c:showPercent val="1"/>
          <c:showBubbleSize val="0"/>
          <c:showLeaderLines val="0"/>
        </c:dLbls>
      </c:pie3DChart>
      <c:spPr>
        <a:noFill/>
        <a:ln w="25400">
          <a:noFill/>
        </a:ln>
      </c:spPr>
    </c:plotArea>
    <c:plotVisOnly val="1"/>
    <c:dispBlanksAs val="zero"/>
    <c:showDLblsOverMax val="0"/>
  </c:chart>
  <c:spPr>
    <a:noFill/>
    <a:ln w="9525">
      <a:noFill/>
    </a:ln>
  </c:spPr>
  <c:txPr>
    <a:bodyPr/>
    <a:lstStyle/>
    <a:p>
      <a:pPr>
        <a:defRPr sz="425" b="0" i="0" u="none" strike="noStrike" baseline="0">
          <a:solidFill>
            <a:srgbClr val="000000"/>
          </a:solidFill>
          <a:latin typeface="新細明體"/>
          <a:ea typeface="新細明體"/>
          <a:cs typeface="新細明體"/>
        </a:defRPr>
      </a:pPr>
      <a:endParaRPr lang="zh-TW"/>
    </a:p>
  </c:txPr>
  <c:printSettings>
    <c:headerFooter alignWithMargins="0"/>
    <c:pageMargins b="1" l="0.75000000000001432" r="0.75000000000001432" t="1" header="0.5" footer="0.5"/>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25" b="0" i="0" u="sng" strike="noStrike" baseline="0">
                <a:solidFill>
                  <a:srgbClr val="000000"/>
                </a:solidFill>
                <a:latin typeface="標楷體"/>
                <a:ea typeface="標楷體"/>
                <a:cs typeface="標楷體"/>
              </a:defRPr>
            </a:pPr>
            <a:r>
              <a:rPr lang="zh-TW" altLang="en-US"/>
              <a:t>成本與費用及賸餘</a:t>
            </a:r>
          </a:p>
        </c:rich>
      </c:tx>
      <c:layout>
        <c:manualLayout>
          <c:xMode val="edge"/>
          <c:yMode val="edge"/>
          <c:x val="0.36644105783492831"/>
          <c:y val="3.0984783889309812E-3"/>
        </c:manualLayout>
      </c:layout>
      <c:overlay val="0"/>
      <c:spPr>
        <a:noFill/>
        <a:ln w="25400">
          <a:noFill/>
        </a:ln>
      </c:spPr>
    </c:title>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0.18299724690796856"/>
          <c:y val="0.31003039513677838"/>
          <c:w val="0.65129728820785882"/>
          <c:h val="0.54711246200607899"/>
        </c:manualLayout>
      </c:layout>
      <c:pie3DChart>
        <c:varyColors val="1"/>
        <c:ser>
          <c:idx val="0"/>
          <c:order val="0"/>
          <c:tx>
            <c:strRef>
              <c:f>圖1!$C$20</c:f>
              <c:strCache>
                <c:ptCount val="1"/>
                <c:pt idx="0">
                  <c:v>成本與費用及賸餘</c:v>
                </c:pt>
              </c:strCache>
            </c:strRef>
          </c:tx>
          <c:spPr>
            <a:pattFill prst="pct10">
              <a:fgClr>
                <a:srgbClr val="3333CC"/>
              </a:fgClr>
              <a:bgClr>
                <a:srgbClr val="FFFFFF"/>
              </a:bgClr>
            </a:pattFill>
            <a:ln w="12700">
              <a:solidFill>
                <a:srgbClr val="000000"/>
              </a:solidFill>
              <a:prstDash val="solid"/>
            </a:ln>
          </c:spPr>
          <c:explosion val="22"/>
          <c:dPt>
            <c:idx val="0"/>
            <c:bubble3D val="0"/>
            <c:explosion val="31"/>
            <c:extLst>
              <c:ext xmlns:c16="http://schemas.microsoft.com/office/drawing/2014/chart" uri="{C3380CC4-5D6E-409C-BE32-E72D297353CC}">
                <c16:uniqueId val="{00000000-416C-42A8-B8AE-16C0D3EA3C6C}"/>
              </c:ext>
            </c:extLst>
          </c:dPt>
          <c:dPt>
            <c:idx val="2"/>
            <c:bubble3D val="0"/>
            <c:explosion val="33"/>
            <c:extLst>
              <c:ext xmlns:c16="http://schemas.microsoft.com/office/drawing/2014/chart" uri="{C3380CC4-5D6E-409C-BE32-E72D297353CC}">
                <c16:uniqueId val="{00000001-416C-42A8-B8AE-16C0D3EA3C6C}"/>
              </c:ext>
            </c:extLst>
          </c:dPt>
          <c:dLbls>
            <c:dLbl>
              <c:idx val="0"/>
              <c:layout>
                <c:manualLayout>
                  <c:x val="0.20112457096709066"/>
                  <c:y val="5.6463793089693536E-2"/>
                </c:manualLayout>
              </c:layout>
              <c:tx>
                <c:rich>
                  <a:bodyPr/>
                  <a:lstStyle/>
                  <a:p>
                    <a:r>
                      <a:rPr lang="zh-TW" altLang="en-US" baseline="0"/>
                      <a:t>  出租資產成本
</a:t>
                    </a:r>
                    <a:r>
                      <a:rPr lang="en-US" altLang="zh-TW" baseline="0">
                        <a:latin typeface="Times New Roman" pitchFamily="18" charset="0"/>
                        <a:cs typeface="Times New Roman" pitchFamily="18" charset="0"/>
                      </a:rPr>
                      <a:t>0.00%</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0-416C-42A8-B8AE-16C0D3EA3C6C}"/>
                </c:ext>
              </c:extLst>
            </c:dLbl>
            <c:dLbl>
              <c:idx val="1"/>
              <c:layout>
                <c:manualLayout>
                  <c:x val="2.2936435830136617E-2"/>
                  <c:y val="-0.10851941379667969"/>
                </c:manualLayout>
              </c:layout>
              <c:tx>
                <c:rich>
                  <a:bodyPr/>
                  <a:lstStyle/>
                  <a:p>
                    <a:r>
                      <a:rPr lang="zh-TW" altLang="en-US" baseline="0"/>
                      <a:t>  投融資業務成本
</a:t>
                    </a:r>
                    <a:r>
                      <a:rPr lang="en-US" altLang="zh-TW" baseline="0">
                        <a:latin typeface="Times New Roman" pitchFamily="18" charset="0"/>
                        <a:cs typeface="Times New Roman" pitchFamily="18" charset="0"/>
                      </a:rPr>
                      <a:t>0.15%</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2-416C-42A8-B8AE-16C0D3EA3C6C}"/>
                </c:ext>
              </c:extLst>
            </c:dLbl>
            <c:dLbl>
              <c:idx val="2"/>
              <c:layout>
                <c:manualLayout>
                  <c:x val="0.20755959144953623"/>
                  <c:y val="4.6660444040239654E-2"/>
                </c:manualLayout>
              </c:layout>
              <c:tx>
                <c:rich>
                  <a:bodyPr/>
                  <a:lstStyle/>
                  <a:p>
                    <a:r>
                      <a:rPr lang="zh-TW" altLang="en-US" baseline="0"/>
                      <a:t> 保險成本
</a:t>
                    </a:r>
                    <a:r>
                      <a:rPr lang="en-US" altLang="zh-TW" baseline="0">
                        <a:latin typeface="Times New Roman" pitchFamily="18" charset="0"/>
                        <a:cs typeface="Times New Roman" pitchFamily="18" charset="0"/>
                      </a:rPr>
                      <a:t>99.00%</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1-416C-42A8-B8AE-16C0D3EA3C6C}"/>
                </c:ext>
              </c:extLst>
            </c:dLbl>
            <c:dLbl>
              <c:idx val="3"/>
              <c:layout>
                <c:manualLayout>
                  <c:x val="-0.11394474729120395"/>
                  <c:y val="2.8675777229973914E-2"/>
                </c:manualLayout>
              </c:layout>
              <c:tx>
                <c:rich>
                  <a:bodyPr/>
                  <a:lstStyle/>
                  <a:p>
                    <a:r>
                      <a:rPr lang="zh-TW" altLang="en-US" baseline="0"/>
                      <a:t>  其他業務成本
</a:t>
                    </a:r>
                    <a:r>
                      <a:rPr lang="en-US" altLang="zh-TW" baseline="0">
                        <a:latin typeface="Times New Roman" pitchFamily="18" charset="0"/>
                        <a:cs typeface="Times New Roman" pitchFamily="18" charset="0"/>
                      </a:rPr>
                      <a:t>0.85%</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3-416C-42A8-B8AE-16C0D3EA3C6C}"/>
                </c:ext>
              </c:extLst>
            </c:dLbl>
            <c:dLbl>
              <c:idx val="4"/>
              <c:layout>
                <c:manualLayout>
                  <c:x val="-9.2842048590080092E-2"/>
                  <c:y val="0.55983693527670741"/>
                </c:manualLayout>
              </c:layout>
              <c:tx>
                <c:rich>
                  <a:bodyPr/>
                  <a:lstStyle/>
                  <a:p>
                    <a:r>
                      <a:rPr lang="zh-TW" altLang="en-US"/>
                      <a:t>業務外費用
</a:t>
                    </a:r>
                    <a:r>
                      <a:rPr lang="en-US" altLang="zh-TW">
                        <a:latin typeface="Times New Roman" pitchFamily="18" charset="0"/>
                        <a:cs typeface="Times New Roman" pitchFamily="18" charset="0"/>
                      </a:rPr>
                      <a:t>0.00%</a:t>
                    </a: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4-416C-42A8-B8AE-16C0D3EA3C6C}"/>
                </c:ext>
              </c:extLst>
            </c:dLbl>
            <c:dLbl>
              <c:idx val="5"/>
              <c:layout>
                <c:manualLayout>
                  <c:x val="-0.28034675953967292"/>
                  <c:y val="0.47923094719543036"/>
                </c:manualLayout>
              </c:layout>
              <c:tx>
                <c:rich>
                  <a:bodyPr/>
                  <a:lstStyle/>
                  <a:p>
                    <a:r>
                      <a:rPr lang="zh-TW" altLang="en-US"/>
                      <a:t>本期賸餘
</a:t>
                    </a:r>
                    <a:r>
                      <a:rPr lang="en-US" altLang="zh-TW">
                        <a:latin typeface="Times New Roman" pitchFamily="18" charset="0"/>
                        <a:cs typeface="Times New Roman" pitchFamily="18" charset="0"/>
                      </a:rPr>
                      <a:t>0.00%</a:t>
                    </a: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5-416C-42A8-B8AE-16C0D3EA3C6C}"/>
                </c:ext>
              </c:extLst>
            </c:dLbl>
            <c:numFmt formatCode="0.00%" sourceLinked="0"/>
            <c:spPr>
              <a:noFill/>
              <a:ln w="25400">
                <a:noFill/>
              </a:ln>
            </c:spPr>
            <c:txPr>
              <a:bodyPr/>
              <a:lstStyle/>
              <a:p>
                <a:pPr>
                  <a:defRPr sz="1000" b="0" i="0" u="none" strike="noStrike" baseline="0">
                    <a:solidFill>
                      <a:srgbClr val="000000"/>
                    </a:solidFill>
                    <a:latin typeface="標楷體"/>
                    <a:ea typeface="標楷體"/>
                    <a:cs typeface="標楷體"/>
                  </a:defRPr>
                </a:pPr>
                <a:endParaRPr lang="zh-TW"/>
              </a:p>
            </c:txPr>
            <c:dLblPos val="bestFit"/>
            <c:showLegendKey val="0"/>
            <c:showVal val="0"/>
            <c:showCatName val="1"/>
            <c:showSerName val="0"/>
            <c:showPercent val="1"/>
            <c:showBubbleSize val="0"/>
            <c:showLeaderLines val="1"/>
            <c:extLst>
              <c:ext xmlns:c15="http://schemas.microsoft.com/office/drawing/2012/chart" uri="{CE6537A1-D6FC-4f65-9D91-7224C49458BB}"/>
            </c:extLst>
          </c:dLbls>
          <c:cat>
            <c:strRef>
              <c:f>圖1!$C$22:$C$27</c:f>
              <c:strCache>
                <c:ptCount val="6"/>
                <c:pt idx="0">
                  <c:v>  出租資產成本</c:v>
                </c:pt>
                <c:pt idx="1">
                  <c:v>  投融資業務成本</c:v>
                </c:pt>
                <c:pt idx="2">
                  <c:v>  保險成本</c:v>
                </c:pt>
                <c:pt idx="3">
                  <c:v>  其他業務成本</c:v>
                </c:pt>
                <c:pt idx="4">
                  <c:v>業務外費用</c:v>
                </c:pt>
                <c:pt idx="5">
                  <c:v>本期賸餘</c:v>
                </c:pt>
              </c:strCache>
            </c:strRef>
          </c:cat>
          <c:val>
            <c:numRef>
              <c:f>圖1!$D$22:$D$27</c:f>
              <c:numCache>
                <c:formatCode>#,##0</c:formatCode>
                <c:ptCount val="6"/>
                <c:pt idx="0">
                  <c:v>32423</c:v>
                </c:pt>
                <c:pt idx="1">
                  <c:v>1013286</c:v>
                </c:pt>
                <c:pt idx="2">
                  <c:v>692223625</c:v>
                </c:pt>
                <c:pt idx="3">
                  <c:v>5959146</c:v>
                </c:pt>
                <c:pt idx="4">
                  <c:v>2034</c:v>
                </c:pt>
                <c:pt idx="5" formatCode="General">
                  <c:v>0</c:v>
                </c:pt>
              </c:numCache>
            </c:numRef>
          </c:val>
          <c:extLst>
            <c:ext xmlns:c16="http://schemas.microsoft.com/office/drawing/2014/chart" uri="{C3380CC4-5D6E-409C-BE32-E72D297353CC}">
              <c16:uniqueId val="{00000006-416C-42A8-B8AE-16C0D3EA3C6C}"/>
            </c:ext>
          </c:extLst>
        </c:ser>
        <c:dLbls>
          <c:showLegendKey val="0"/>
          <c:showVal val="0"/>
          <c:showCatName val="1"/>
          <c:showSerName val="0"/>
          <c:showPercent val="1"/>
          <c:showBubbleSize val="0"/>
          <c:showLeaderLines val="1"/>
        </c:dLbls>
      </c:pie3DChart>
      <c:spPr>
        <a:noFill/>
        <a:ln w="25400">
          <a:noFill/>
        </a:ln>
      </c:spPr>
    </c:plotArea>
    <c:plotVisOnly val="1"/>
    <c:dispBlanksAs val="zero"/>
    <c:showDLblsOverMax val="0"/>
  </c:chart>
  <c:spPr>
    <a:noFill/>
    <a:ln w="9525">
      <a:noFill/>
    </a:ln>
  </c:spPr>
  <c:txPr>
    <a:bodyPr/>
    <a:lstStyle/>
    <a:p>
      <a:pPr>
        <a:defRPr sz="1625" b="0" i="0" u="none" strike="noStrike" baseline="0">
          <a:solidFill>
            <a:srgbClr val="000000"/>
          </a:solidFill>
          <a:latin typeface="新細明體"/>
          <a:ea typeface="新細明體"/>
          <a:cs typeface="新細明體"/>
        </a:defRPr>
      </a:pPr>
      <a:endParaRPr lang="zh-TW"/>
    </a:p>
  </c:txPr>
  <c:printSettings>
    <c:headerFooter alignWithMargins="0"/>
    <c:pageMargins b="1" l="0.75000000000001432" r="0.75000000000001432" t="1" header="0.5" footer="0.5"/>
    <c:pageSetup paperSize="9" orientation="landscape" horizontalDpi="300" verticalDpi="300"/>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25" b="0" i="0" u="sng" strike="noStrike" baseline="0">
                <a:solidFill>
                  <a:srgbClr val="000000"/>
                </a:solidFill>
                <a:latin typeface="標楷體"/>
                <a:ea typeface="標楷體"/>
                <a:cs typeface="標楷體"/>
              </a:defRPr>
            </a:pPr>
            <a:r>
              <a:rPr lang="zh-TW" altLang="en-US"/>
              <a:t>收          入</a:t>
            </a:r>
          </a:p>
        </c:rich>
      </c:tx>
      <c:layout>
        <c:manualLayout>
          <c:xMode val="edge"/>
          <c:yMode val="edge"/>
          <c:x val="0.38040372585592752"/>
          <c:y val="1.5151559989228201E-2"/>
        </c:manualLayout>
      </c:layout>
      <c:overlay val="0"/>
      <c:spPr>
        <a:noFill/>
        <a:ln w="25400">
          <a:noFill/>
        </a:ln>
      </c:spPr>
    </c:title>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0.18155632370396071"/>
          <c:y val="0.30909182378026318"/>
          <c:w val="0.65417913461588795"/>
          <c:h val="0.54848647161006037"/>
        </c:manualLayout>
      </c:layout>
      <c:pie3DChart>
        <c:varyColors val="1"/>
        <c:ser>
          <c:idx val="0"/>
          <c:order val="0"/>
          <c:tx>
            <c:strRef>
              <c:f>圖1!$A$20</c:f>
              <c:strCache>
                <c:ptCount val="1"/>
                <c:pt idx="0">
                  <c:v>收        入</c:v>
                </c:pt>
              </c:strCache>
            </c:strRef>
          </c:tx>
          <c:spPr>
            <a:pattFill prst="pct10">
              <a:fgClr>
                <a:srgbClr val="3333CC"/>
              </a:fgClr>
              <a:bgClr>
                <a:srgbClr val="FFFFFF"/>
              </a:bgClr>
            </a:pattFill>
            <a:ln w="12700">
              <a:solidFill>
                <a:srgbClr val="000000"/>
              </a:solidFill>
              <a:prstDash val="solid"/>
            </a:ln>
          </c:spPr>
          <c:explosion val="22"/>
          <c:dPt>
            <c:idx val="0"/>
            <c:bubble3D val="0"/>
            <c:explosion val="31"/>
            <c:extLst>
              <c:ext xmlns:c16="http://schemas.microsoft.com/office/drawing/2014/chart" uri="{C3380CC4-5D6E-409C-BE32-E72D297353CC}">
                <c16:uniqueId val="{00000000-B206-457B-9EAE-6F74891F050B}"/>
              </c:ext>
            </c:extLst>
          </c:dPt>
          <c:dPt>
            <c:idx val="2"/>
            <c:bubble3D val="0"/>
            <c:explosion val="33"/>
            <c:extLst>
              <c:ext xmlns:c16="http://schemas.microsoft.com/office/drawing/2014/chart" uri="{C3380CC4-5D6E-409C-BE32-E72D297353CC}">
                <c16:uniqueId val="{00000001-B206-457B-9EAE-6F74891F050B}"/>
              </c:ext>
            </c:extLst>
          </c:dPt>
          <c:dLbls>
            <c:dLbl>
              <c:idx val="0"/>
              <c:layout>
                <c:manualLayout>
                  <c:x val="0.26702267985732558"/>
                  <c:y val="1.2286009703332539E-2"/>
                </c:manualLayout>
              </c:layout>
              <c:tx>
                <c:rich>
                  <a:bodyPr/>
                  <a:lstStyle/>
                  <a:p>
                    <a:r>
                      <a:rPr lang="zh-TW" altLang="en-US"/>
                      <a:t>  租金及權利金收入
</a:t>
                    </a:r>
                    <a:r>
                      <a:rPr lang="en-US" altLang="zh-TW" baseline="0">
                        <a:latin typeface="Times New Roman" pitchFamily="18" charset="0"/>
                        <a:cs typeface="Times New Roman" pitchFamily="18" charset="0"/>
                      </a:rPr>
                      <a:t>0.04%</a:t>
                    </a: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0-B206-457B-9EAE-6F74891F050B}"/>
                </c:ext>
              </c:extLst>
            </c:dLbl>
            <c:dLbl>
              <c:idx val="1"/>
              <c:layout>
                <c:manualLayout>
                  <c:x val="0.17992970706247927"/>
                  <c:y val="0.13083341434172574"/>
                </c:manualLayout>
              </c:layout>
              <c:tx>
                <c:rich>
                  <a:bodyPr/>
                  <a:lstStyle/>
                  <a:p>
                    <a:r>
                      <a:rPr lang="zh-TW" altLang="en-US"/>
                      <a:t>  投融資業務收入
</a:t>
                    </a:r>
                    <a:r>
                      <a:rPr lang="en-US" altLang="zh-TW" baseline="0">
                        <a:latin typeface="Times New Roman" pitchFamily="18" charset="0"/>
                        <a:cs typeface="Times New Roman" pitchFamily="18" charset="0"/>
                      </a:rPr>
                      <a:t>4.62%</a:t>
                    </a: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2-B206-457B-9EAE-6F74891F050B}"/>
                </c:ext>
              </c:extLst>
            </c:dLbl>
            <c:dLbl>
              <c:idx val="2"/>
              <c:layout>
                <c:manualLayout>
                  <c:x val="-5.526717814119389E-2"/>
                  <c:y val="4.5601208939791471E-2"/>
                </c:manualLayout>
              </c:layout>
              <c:tx>
                <c:rich>
                  <a:bodyPr/>
                  <a:lstStyle/>
                  <a:p>
                    <a:pPr>
                      <a:defRPr sz="1000" b="0" i="0" u="none" strike="noStrike" baseline="0">
                        <a:solidFill>
                          <a:srgbClr val="000000"/>
                        </a:solidFill>
                        <a:latin typeface="Times New Roman" pitchFamily="18" charset="0"/>
                        <a:ea typeface="標楷體"/>
                        <a:cs typeface="標楷體"/>
                      </a:defRPr>
                    </a:pPr>
                    <a:r>
                      <a:rPr lang="zh-TW" altLang="en-US" baseline="0">
                        <a:latin typeface="Times New Roman" pitchFamily="18" charset="0"/>
                      </a:rPr>
                      <a:t>  保險收入
</a:t>
                    </a:r>
                    <a:r>
                      <a:rPr lang="en-US" altLang="zh-TW" baseline="0">
                        <a:latin typeface="Times New Roman" pitchFamily="18" charset="0"/>
                      </a:rPr>
                      <a:t>75</a:t>
                    </a:r>
                    <a:r>
                      <a:rPr lang="en-US" altLang="zh-TW" baseline="0">
                        <a:latin typeface="Times New Roman" pitchFamily="18" charset="0"/>
                        <a:cs typeface="Times New Roman" pitchFamily="18" charset="0"/>
                      </a:rPr>
                      <a:t>.95%</a:t>
                    </a:r>
                  </a:p>
                </c:rich>
              </c:tx>
              <c:numFmt formatCode="0.00%" sourceLinked="0"/>
              <c:spPr>
                <a:noFill/>
                <a:ln w="25400">
                  <a:noFill/>
                </a:ln>
              </c:spPr>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1-B206-457B-9EAE-6F74891F050B}"/>
                </c:ext>
              </c:extLst>
            </c:dLbl>
            <c:dLbl>
              <c:idx val="3"/>
              <c:layout>
                <c:manualLayout>
                  <c:x val="-0.17881071858354872"/>
                  <c:y val="4.7464489256968646E-2"/>
                </c:manualLayout>
              </c:layout>
              <c:tx>
                <c:rich>
                  <a:bodyPr/>
                  <a:lstStyle/>
                  <a:p>
                    <a:r>
                      <a:rPr lang="zh-TW" altLang="en-US"/>
                      <a:t>  其他業務收入
</a:t>
                    </a:r>
                    <a:r>
                      <a:rPr lang="en-US" altLang="zh-TW">
                        <a:latin typeface="Times New Roman" pitchFamily="18" charset="0"/>
                        <a:cs typeface="Times New Roman" pitchFamily="18" charset="0"/>
                      </a:rPr>
                      <a:t>19</a:t>
                    </a:r>
                    <a:r>
                      <a:rPr lang="en-US" altLang="zh-TW" baseline="0">
                        <a:latin typeface="Times New Roman" pitchFamily="18" charset="0"/>
                        <a:ea typeface="標楷體" pitchFamily="65" charset="-120"/>
                        <a:cs typeface="Times New Roman" pitchFamily="18" charset="0"/>
                      </a:rPr>
                      <a:t>.35%</a:t>
                    </a:r>
                  </a:p>
                </c:rich>
              </c:tx>
              <c:dLblPos val="bestFit"/>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2-D2FC-4645-9088-5AC9D5BC9BA9}"/>
                </c:ext>
              </c:extLst>
            </c:dLbl>
            <c:dLbl>
              <c:idx val="4"/>
              <c:layout>
                <c:manualLayout>
                  <c:x val="1.9069599058738347E-2"/>
                  <c:y val="-0.10896207332899661"/>
                </c:manualLayout>
              </c:layout>
              <c:tx>
                <c:rich>
                  <a:bodyPr/>
                  <a:lstStyle/>
                  <a:p>
                    <a:r>
                      <a:rPr lang="zh-TW" altLang="en-US"/>
                      <a:t>業務外收入
</a:t>
                    </a:r>
                    <a:r>
                      <a:rPr lang="en-US" altLang="zh-TW" baseline="0">
                        <a:latin typeface="Times New Roman" pitchFamily="18" charset="0"/>
                        <a:cs typeface="Times New Roman" pitchFamily="18" charset="0"/>
                      </a:rPr>
                      <a:t>0.04%</a:t>
                    </a:r>
                  </a:p>
                </c:rich>
              </c:tx>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4-B206-457B-9EAE-6F74891F050B}"/>
                </c:ext>
              </c:extLst>
            </c:dLbl>
            <c:numFmt formatCode="0.00%" sourceLinked="0"/>
            <c:spPr>
              <a:noFill/>
              <a:ln w="25400">
                <a:noFill/>
              </a:ln>
            </c:spPr>
            <c:txPr>
              <a:bodyPr/>
              <a:lstStyle/>
              <a:p>
                <a:pPr>
                  <a:defRPr sz="1000" b="0" i="0" u="none" strike="noStrike" baseline="0">
                    <a:solidFill>
                      <a:srgbClr val="000000"/>
                    </a:solidFill>
                    <a:latin typeface="標楷體"/>
                    <a:ea typeface="標楷體"/>
                    <a:cs typeface="標楷體"/>
                  </a:defRPr>
                </a:pPr>
                <a:endParaRPr lang="zh-TW"/>
              </a:p>
            </c:txPr>
            <c:showLegendKey val="0"/>
            <c:showVal val="0"/>
            <c:showCatName val="1"/>
            <c:showSerName val="0"/>
            <c:showPercent val="1"/>
            <c:showBubbleSize val="0"/>
            <c:showLeaderLines val="1"/>
            <c:extLst>
              <c:ext xmlns:c15="http://schemas.microsoft.com/office/drawing/2012/chart" uri="{CE6537A1-D6FC-4f65-9D91-7224C49458BB}"/>
            </c:extLst>
          </c:dLbls>
          <c:cat>
            <c:strRef>
              <c:f>圖1!$A$22:$A$26</c:f>
              <c:strCache>
                <c:ptCount val="5"/>
                <c:pt idx="0">
                  <c:v>  租金及權利金收入</c:v>
                </c:pt>
                <c:pt idx="1">
                  <c:v>  投融資業務收入</c:v>
                </c:pt>
                <c:pt idx="2">
                  <c:v>  保險收入</c:v>
                </c:pt>
                <c:pt idx="3">
                  <c:v>  其他業務收入</c:v>
                </c:pt>
                <c:pt idx="4">
                  <c:v>業務外收入</c:v>
                </c:pt>
              </c:strCache>
            </c:strRef>
          </c:cat>
          <c:val>
            <c:numRef>
              <c:f>圖1!$B$22:$B$26</c:f>
              <c:numCache>
                <c:formatCode>#,##0_ ;[Red]\-#,##0\ </c:formatCode>
                <c:ptCount val="5"/>
                <c:pt idx="0">
                  <c:v>274530</c:v>
                </c:pt>
                <c:pt idx="1">
                  <c:v>32289141</c:v>
                </c:pt>
                <c:pt idx="2">
                  <c:v>531071560</c:v>
                </c:pt>
                <c:pt idx="3">
                  <c:v>135267028</c:v>
                </c:pt>
                <c:pt idx="4">
                  <c:v>328255</c:v>
                </c:pt>
              </c:numCache>
            </c:numRef>
          </c:val>
          <c:extLst>
            <c:ext xmlns:c16="http://schemas.microsoft.com/office/drawing/2014/chart" uri="{C3380CC4-5D6E-409C-BE32-E72D297353CC}">
              <c16:uniqueId val="{00000005-B206-457B-9EAE-6F74891F050B}"/>
            </c:ext>
          </c:extLst>
        </c:ser>
        <c:ser>
          <c:idx val="1"/>
          <c:order val="1"/>
          <c:tx>
            <c:strRef>
              <c:f>圖1!$A$22:$A$26</c:f>
              <c:strCache>
                <c:ptCount val="5"/>
                <c:pt idx="0">
                  <c:v>  租金及權利金收入</c:v>
                </c:pt>
                <c:pt idx="1">
                  <c:v>  投融資業務收入</c:v>
                </c:pt>
                <c:pt idx="2">
                  <c:v>  保險收入</c:v>
                </c:pt>
                <c:pt idx="3">
                  <c:v>  其他業務收入</c:v>
                </c:pt>
                <c:pt idx="4">
                  <c:v>業務外收入</c:v>
                </c:pt>
              </c:strCache>
            </c:strRef>
          </c:tx>
          <c:dLbls>
            <c:spPr>
              <a:noFill/>
              <a:ln>
                <a:noFill/>
              </a:ln>
              <a:effectLst/>
            </c:spPr>
            <c:showLegendKey val="0"/>
            <c:showVal val="0"/>
            <c:showCatName val="1"/>
            <c:showSerName val="0"/>
            <c:showPercent val="1"/>
            <c:showBubbleSize val="0"/>
            <c:showLeaderLines val="1"/>
            <c:extLst>
              <c:ext xmlns:c15="http://schemas.microsoft.com/office/drawing/2012/chart" uri="{CE6537A1-D6FC-4f65-9D91-7224C49458BB}"/>
            </c:extLst>
          </c:dLbls>
          <c:val>
            <c:numRef>
              <c:f>圖1!$B$22:$B$26</c:f>
              <c:numCache>
                <c:formatCode>#,##0_ ;[Red]\-#,##0\ </c:formatCode>
                <c:ptCount val="5"/>
                <c:pt idx="0">
                  <c:v>274530</c:v>
                </c:pt>
                <c:pt idx="1">
                  <c:v>32289141</c:v>
                </c:pt>
                <c:pt idx="2">
                  <c:v>531071560</c:v>
                </c:pt>
                <c:pt idx="3">
                  <c:v>135267028</c:v>
                </c:pt>
                <c:pt idx="4">
                  <c:v>328255</c:v>
                </c:pt>
              </c:numCache>
            </c:numRef>
          </c:val>
          <c:extLst>
            <c:ext xmlns:c16="http://schemas.microsoft.com/office/drawing/2014/chart" uri="{C3380CC4-5D6E-409C-BE32-E72D297353CC}">
              <c16:uniqueId val="{00000006-B206-457B-9EAE-6F74891F050B}"/>
            </c:ext>
          </c:extLst>
        </c:ser>
        <c:dLbls>
          <c:showLegendKey val="0"/>
          <c:showVal val="0"/>
          <c:showCatName val="1"/>
          <c:showSerName val="0"/>
          <c:showPercent val="1"/>
          <c:showBubbleSize val="0"/>
          <c:showLeaderLines val="1"/>
        </c:dLbls>
      </c:pie3DChart>
      <c:spPr>
        <a:noFill/>
        <a:ln w="25400">
          <a:noFill/>
        </a:ln>
      </c:spPr>
    </c:plotArea>
    <c:plotVisOnly val="1"/>
    <c:dispBlanksAs val="zero"/>
    <c:showDLblsOverMax val="0"/>
  </c:chart>
  <c:spPr>
    <a:noFill/>
    <a:ln w="9525">
      <a:noFill/>
    </a:ln>
  </c:spPr>
  <c:txPr>
    <a:bodyPr/>
    <a:lstStyle/>
    <a:p>
      <a:pPr>
        <a:defRPr sz="1625" b="0" i="0" u="none" strike="noStrike" baseline="0">
          <a:solidFill>
            <a:srgbClr val="000000"/>
          </a:solidFill>
          <a:latin typeface="新細明體"/>
          <a:ea typeface="新細明體"/>
          <a:cs typeface="新細明體"/>
        </a:defRPr>
      </a:pPr>
      <a:endParaRPr lang="zh-TW"/>
    </a:p>
  </c:txPr>
  <c:printSettings>
    <c:headerFooter alignWithMargins="0"/>
    <c:pageMargins b="1" l="0.75000000000001432" r="0.75000000000001432" t="1" header="0.5" footer="0.5"/>
    <c:pageSetup paperSize="9" orientation="landscape"/>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2"/>
      <c:rotY val="20"/>
      <c:rAngAx val="0"/>
      <c:perspective val="0"/>
    </c:view3D>
    <c:floor>
      <c:thickness val="0"/>
    </c:floor>
    <c:sideWall>
      <c:thickness val="0"/>
    </c:sideWall>
    <c:backWall>
      <c:thickness val="0"/>
    </c:backWall>
    <c:plotArea>
      <c:layout/>
      <c:pie3DChart>
        <c:varyColors val="0"/>
        <c:dLbls>
          <c:showLegendKey val="0"/>
          <c:showVal val="0"/>
          <c:showCatName val="1"/>
          <c:showSerName val="0"/>
          <c:showPercent val="1"/>
          <c:showBubbleSize val="0"/>
          <c:showLeaderLines val="0"/>
        </c:dLbls>
      </c:pie3DChart>
      <c:spPr>
        <a:noFill/>
        <a:ln w="25400">
          <a:noFill/>
        </a:ln>
      </c:spPr>
    </c:plotArea>
    <c:plotVisOnly val="1"/>
    <c:dispBlanksAs val="zero"/>
    <c:showDLblsOverMax val="0"/>
  </c:chart>
  <c:spPr>
    <a:noFill/>
    <a:ln w="9525">
      <a:noFill/>
    </a:ln>
  </c:spPr>
  <c:txPr>
    <a:bodyPr/>
    <a:lstStyle/>
    <a:p>
      <a:pPr>
        <a:defRPr sz="425" b="0" i="0" u="none" strike="noStrike" baseline="0">
          <a:solidFill>
            <a:srgbClr val="000000"/>
          </a:solidFill>
          <a:latin typeface="新細明體"/>
          <a:ea typeface="新細明體"/>
          <a:cs typeface="新細明體"/>
        </a:defRPr>
      </a:pPr>
      <a:endParaRPr lang="zh-TW"/>
    </a:p>
  </c:txPr>
  <c:printSettings>
    <c:headerFooter alignWithMargins="0"/>
    <c:pageMargins b="1" l="0.75000000000001454" r="0.75000000000001454" t="1" header="0.5" footer="0.5"/>
    <c:pageSetup paperSize="9"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00" b="1" i="0" u="none" strike="noStrike" baseline="0">
                <a:solidFill>
                  <a:srgbClr val="000000"/>
                </a:solidFill>
                <a:latin typeface="標楷體"/>
                <a:ea typeface="標楷體"/>
                <a:cs typeface="標楷體"/>
              </a:defRPr>
            </a:pPr>
            <a:r>
              <a:rPr lang="zh-TW" altLang="en-US" sz="1600" b="1" i="0" strike="noStrike">
                <a:solidFill>
                  <a:srgbClr val="000000"/>
                </a:solidFill>
                <a:latin typeface="標楷體"/>
                <a:ea typeface="標楷體"/>
              </a:rPr>
              <a:t>最近</a:t>
            </a:r>
            <a:r>
              <a:rPr lang="en-US" altLang="zh-TW" sz="1600" b="1" i="0" strike="noStrike">
                <a:solidFill>
                  <a:srgbClr val="000000"/>
                </a:solidFill>
                <a:latin typeface="Times New Roman"/>
                <a:cs typeface="Times New Roman"/>
              </a:rPr>
              <a:t>5</a:t>
            </a:r>
            <a:r>
              <a:rPr lang="zh-TW" altLang="en-US" sz="1600" b="1" i="0" strike="noStrike">
                <a:solidFill>
                  <a:srgbClr val="000000"/>
                </a:solidFill>
                <a:latin typeface="標楷體"/>
                <a:ea typeface="標楷體"/>
              </a:rPr>
              <a:t>年收入與費用</a:t>
            </a:r>
          </a:p>
        </c:rich>
      </c:tx>
      <c:layout>
        <c:manualLayout>
          <c:xMode val="edge"/>
          <c:yMode val="edge"/>
          <c:x val="0.37777832433207797"/>
          <c:y val="1.1627920180686981E-2"/>
        </c:manualLayout>
      </c:layout>
      <c:overlay val="0"/>
      <c:spPr>
        <a:noFill/>
        <a:ln w="25400">
          <a:noFill/>
        </a:ln>
      </c:spPr>
    </c:title>
    <c:autoTitleDeleted val="0"/>
    <c:plotArea>
      <c:layout>
        <c:manualLayout>
          <c:layoutTarget val="inner"/>
          <c:xMode val="edge"/>
          <c:yMode val="edge"/>
          <c:x val="0.17185210048047345"/>
          <c:y val="0.17441880271031068"/>
          <c:w val="0.74074181241586368"/>
          <c:h val="0.61162860150416398"/>
        </c:manualLayout>
      </c:layout>
      <c:barChart>
        <c:barDir val="col"/>
        <c:grouping val="clustered"/>
        <c:varyColors val="0"/>
        <c:ser>
          <c:idx val="0"/>
          <c:order val="0"/>
          <c:tx>
            <c:strRef>
              <c:f>圖2!$A$18</c:f>
              <c:strCache>
                <c:ptCount val="1"/>
                <c:pt idx="0">
                  <c:v>收入合計</c:v>
                </c:pt>
              </c:strCache>
            </c:strRef>
          </c:tx>
          <c:spPr>
            <a:solidFill>
              <a:srgbClr val="969696"/>
            </a:solidFill>
            <a:ln w="12700">
              <a:solidFill>
                <a:srgbClr val="000000"/>
              </a:solidFill>
              <a:prstDash val="solid"/>
            </a:ln>
          </c:spPr>
          <c:invertIfNegative val="0"/>
          <c:cat>
            <c:numRef>
              <c:f>圖2!$U$14:$Y$14</c:f>
              <c:numCache>
                <c:formatCode>General</c:formatCode>
                <c:ptCount val="5"/>
                <c:pt idx="0">
                  <c:v>109</c:v>
                </c:pt>
                <c:pt idx="1">
                  <c:v>110</c:v>
                </c:pt>
                <c:pt idx="2">
                  <c:v>111</c:v>
                </c:pt>
                <c:pt idx="3">
                  <c:v>112</c:v>
                </c:pt>
                <c:pt idx="4">
                  <c:v>113</c:v>
                </c:pt>
              </c:numCache>
            </c:numRef>
          </c:cat>
          <c:val>
            <c:numRef>
              <c:f>圖2!$U$18:$Y$18</c:f>
              <c:numCache>
                <c:formatCode>#,##0</c:formatCode>
                <c:ptCount val="5"/>
                <c:pt idx="0">
                  <c:v>694763933000</c:v>
                </c:pt>
                <c:pt idx="1">
                  <c:v>685075128000</c:v>
                </c:pt>
                <c:pt idx="2">
                  <c:v>824663948000</c:v>
                </c:pt>
                <c:pt idx="3">
                  <c:v>594645725000</c:v>
                </c:pt>
                <c:pt idx="4">
                  <c:v>699230514000</c:v>
                </c:pt>
              </c:numCache>
            </c:numRef>
          </c:val>
          <c:extLst>
            <c:ext xmlns:c16="http://schemas.microsoft.com/office/drawing/2014/chart" uri="{C3380CC4-5D6E-409C-BE32-E72D297353CC}">
              <c16:uniqueId val="{00000000-29A6-40A8-BCAD-8D84D58140D9}"/>
            </c:ext>
          </c:extLst>
        </c:ser>
        <c:ser>
          <c:idx val="0"/>
          <c:order val="1"/>
          <c:tx>
            <c:strRef>
              <c:f>圖2!$A$22</c:f>
              <c:strCache>
                <c:ptCount val="1"/>
                <c:pt idx="0">
                  <c:v>費用合計</c:v>
                </c:pt>
              </c:strCache>
            </c:strRef>
          </c:tx>
          <c:spPr>
            <a:solidFill>
              <a:srgbClr val="FFCC99"/>
            </a:solidFill>
            <a:ln w="12700">
              <a:solidFill>
                <a:srgbClr val="000000"/>
              </a:solidFill>
              <a:prstDash val="solid"/>
            </a:ln>
          </c:spPr>
          <c:invertIfNegative val="0"/>
          <c:cat>
            <c:numRef>
              <c:f>圖2!$U$14:$Y$14</c:f>
              <c:numCache>
                <c:formatCode>General</c:formatCode>
                <c:ptCount val="5"/>
                <c:pt idx="0">
                  <c:v>109</c:v>
                </c:pt>
                <c:pt idx="1">
                  <c:v>110</c:v>
                </c:pt>
                <c:pt idx="2">
                  <c:v>111</c:v>
                </c:pt>
                <c:pt idx="3">
                  <c:v>112</c:v>
                </c:pt>
                <c:pt idx="4">
                  <c:v>113</c:v>
                </c:pt>
              </c:numCache>
            </c:numRef>
          </c:cat>
          <c:val>
            <c:numRef>
              <c:f>圖2!$U$22:$Y$22</c:f>
              <c:numCache>
                <c:formatCode>#,##0</c:formatCode>
                <c:ptCount val="5"/>
                <c:pt idx="0">
                  <c:v>694763933000</c:v>
                </c:pt>
                <c:pt idx="1">
                  <c:v>685075128000</c:v>
                </c:pt>
                <c:pt idx="2">
                  <c:v>824663949000</c:v>
                </c:pt>
                <c:pt idx="3">
                  <c:v>594645725000</c:v>
                </c:pt>
                <c:pt idx="4">
                  <c:v>699230514000</c:v>
                </c:pt>
              </c:numCache>
            </c:numRef>
          </c:val>
          <c:extLst>
            <c:ext xmlns:c16="http://schemas.microsoft.com/office/drawing/2014/chart" uri="{C3380CC4-5D6E-409C-BE32-E72D297353CC}">
              <c16:uniqueId val="{00000001-29A6-40A8-BCAD-8D84D58140D9}"/>
            </c:ext>
          </c:extLst>
        </c:ser>
        <c:dLbls>
          <c:showLegendKey val="0"/>
          <c:showVal val="0"/>
          <c:showCatName val="0"/>
          <c:showSerName val="0"/>
          <c:showPercent val="0"/>
          <c:showBubbleSize val="0"/>
        </c:dLbls>
        <c:gapWidth val="150"/>
        <c:axId val="280747520"/>
        <c:axId val="299867456"/>
      </c:barChart>
      <c:catAx>
        <c:axId val="280747520"/>
        <c:scaling>
          <c:orientation val="minMax"/>
        </c:scaling>
        <c:delete val="0"/>
        <c:axPos val="b"/>
        <c:title>
          <c:tx>
            <c:rich>
              <a:bodyPr/>
              <a:lstStyle/>
              <a:p>
                <a:pPr>
                  <a:defRPr sz="1200" b="0" i="0" u="none" strike="noStrike" baseline="0">
                    <a:solidFill>
                      <a:srgbClr val="000000"/>
                    </a:solidFill>
                    <a:latin typeface="標楷體" pitchFamily="65" charset="-120"/>
                    <a:ea typeface="標楷體" pitchFamily="65" charset="-120"/>
                    <a:cs typeface="標楷體"/>
                  </a:defRPr>
                </a:pPr>
                <a:r>
                  <a:rPr lang="zh-TW" altLang="en-US">
                    <a:latin typeface="標楷體" pitchFamily="65" charset="-120"/>
                    <a:ea typeface="標楷體" pitchFamily="65" charset="-120"/>
                  </a:rPr>
                  <a:t>年度</a:t>
                </a:r>
              </a:p>
            </c:rich>
          </c:tx>
          <c:layout>
            <c:manualLayout>
              <c:xMode val="edge"/>
              <c:yMode val="edge"/>
              <c:x val="0.89283966170895257"/>
              <c:y val="0.80155136421900752"/>
            </c:manualLayout>
          </c:layout>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Times New Roman" pitchFamily="18" charset="0"/>
                <a:ea typeface="新細明體"/>
                <a:cs typeface="Times New Roman" pitchFamily="18" charset="0"/>
              </a:defRPr>
            </a:pPr>
            <a:endParaRPr lang="zh-TW"/>
          </a:p>
        </c:txPr>
        <c:crossAx val="299867456"/>
        <c:crosses val="autoZero"/>
        <c:auto val="0"/>
        <c:lblAlgn val="ctr"/>
        <c:lblOffset val="100"/>
        <c:tickLblSkip val="1"/>
        <c:tickMarkSkip val="1"/>
        <c:noMultiLvlLbl val="0"/>
      </c:catAx>
      <c:valAx>
        <c:axId val="299867456"/>
        <c:scaling>
          <c:orientation val="minMax"/>
          <c:max val="850000000000"/>
          <c:min val="500000000000"/>
        </c:scaling>
        <c:delete val="0"/>
        <c:axPos val="l"/>
        <c:majorGridlines>
          <c:spPr>
            <a:ln w="3175">
              <a:solidFill>
                <a:srgbClr val="000000"/>
              </a:solidFill>
              <a:prstDash val="solid"/>
            </a:ln>
          </c:spPr>
        </c:majorGridlines>
        <c:title>
          <c:tx>
            <c:rich>
              <a:bodyPr rot="0" vert="horz"/>
              <a:lstStyle/>
              <a:p>
                <a:pPr algn="ctr">
                  <a:defRPr sz="1200" b="0" i="0" u="none" strike="noStrike" baseline="0">
                    <a:solidFill>
                      <a:srgbClr val="000000"/>
                    </a:solidFill>
                    <a:latin typeface="標楷體"/>
                    <a:ea typeface="標楷體"/>
                    <a:cs typeface="標楷體"/>
                  </a:defRPr>
                </a:pPr>
                <a:r>
                  <a:rPr lang="zh-TW" altLang="en-US"/>
                  <a:t>百萬元</a:t>
                </a:r>
              </a:p>
            </c:rich>
          </c:tx>
          <c:layout>
            <c:manualLayout>
              <c:xMode val="edge"/>
              <c:yMode val="edge"/>
              <c:x val="8.0000115740908193E-2"/>
              <c:y val="4.6511680722747924E-2"/>
            </c:manualLayout>
          </c:layout>
          <c:overlay val="0"/>
          <c:spPr>
            <a:noFill/>
            <a:ln w="25400">
              <a:noFill/>
            </a:ln>
          </c:spPr>
        </c:title>
        <c:numFmt formatCode="#,##0" sourceLinked="1"/>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Times New Roman" pitchFamily="18" charset="0"/>
                <a:ea typeface="新細明體"/>
                <a:cs typeface="Times New Roman" pitchFamily="18" charset="0"/>
              </a:defRPr>
            </a:pPr>
            <a:endParaRPr lang="zh-TW"/>
          </a:p>
        </c:txPr>
        <c:crossAx val="280747520"/>
        <c:crosses val="autoZero"/>
        <c:crossBetween val="between"/>
        <c:dispUnits>
          <c:builtInUnit val="millions"/>
        </c:dispUnits>
      </c:valAx>
      <c:spPr>
        <a:solidFill>
          <a:srgbClr val="FFFFFF"/>
        </a:solidFill>
        <a:ln w="3175">
          <a:solidFill>
            <a:srgbClr val="000000"/>
          </a:solidFill>
          <a:prstDash val="solid"/>
        </a:ln>
      </c:spPr>
    </c:plotArea>
    <c:legend>
      <c:legendPos val="t"/>
      <c:legendEntry>
        <c:idx val="0"/>
        <c:txPr>
          <a:bodyPr/>
          <a:lstStyle/>
          <a:p>
            <a:pPr>
              <a:defRPr sz="1100" b="0" i="0" u="none" strike="noStrike" baseline="0">
                <a:solidFill>
                  <a:srgbClr val="000000"/>
                </a:solidFill>
                <a:latin typeface="標楷體" pitchFamily="65" charset="-120"/>
                <a:ea typeface="標楷體" pitchFamily="65" charset="-120"/>
                <a:cs typeface="標楷體"/>
              </a:defRPr>
            </a:pPr>
            <a:endParaRPr lang="zh-TW"/>
          </a:p>
        </c:txPr>
      </c:legendEntry>
      <c:legendEntry>
        <c:idx val="1"/>
        <c:txPr>
          <a:bodyPr/>
          <a:lstStyle/>
          <a:p>
            <a:pPr>
              <a:defRPr sz="1100" b="0" i="0" u="none" strike="noStrike" baseline="0">
                <a:solidFill>
                  <a:srgbClr val="000000"/>
                </a:solidFill>
                <a:latin typeface="標楷體" pitchFamily="65" charset="-120"/>
                <a:ea typeface="標楷體" pitchFamily="65" charset="-120"/>
                <a:cs typeface="標楷體"/>
              </a:defRPr>
            </a:pPr>
            <a:endParaRPr lang="zh-TW"/>
          </a:p>
        </c:txPr>
      </c:legendEntry>
      <c:layout>
        <c:manualLayout>
          <c:xMode val="edge"/>
          <c:yMode val="edge"/>
          <c:x val="0.7674085176628056"/>
          <c:y val="1.1627920180686981E-2"/>
          <c:w val="0.13185204261001535"/>
          <c:h val="0.11860478584300722"/>
        </c:manualLayout>
      </c:layout>
      <c:overlay val="0"/>
      <c:spPr>
        <a:solidFill>
          <a:srgbClr val="FFFFFF"/>
        </a:solidFill>
        <a:ln w="25400">
          <a:noFill/>
        </a:ln>
      </c:spPr>
      <c:txPr>
        <a:bodyPr/>
        <a:lstStyle/>
        <a:p>
          <a:pPr>
            <a:defRPr sz="1100" b="0" i="0" u="none" strike="noStrike" baseline="0">
              <a:solidFill>
                <a:srgbClr val="000000"/>
              </a:solidFill>
              <a:latin typeface="標楷體" pitchFamily="65" charset="-120"/>
              <a:ea typeface="標楷體" pitchFamily="65" charset="-120"/>
              <a:cs typeface="新細明體"/>
            </a:defRPr>
          </a:pPr>
          <a:endParaRPr lang="zh-TW"/>
        </a:p>
      </c:txPr>
    </c:legend>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新細明體"/>
          <a:ea typeface="新細明體"/>
          <a:cs typeface="新細明體"/>
        </a:defRPr>
      </a:pPr>
      <a:endParaRPr lang="zh-TW"/>
    </a:p>
  </c:txPr>
  <c:printSettings>
    <c:headerFooter alignWithMargins="0">
      <c:oddHeader>&amp;A</c:oddHeader>
      <c:oddFooter>Page &amp;P</c:oddFooter>
    </c:headerFooter>
    <c:pageMargins b="1" l="0.75000000000001454" r="0.75000000000001454" t="1" header="0.5" footer="0.5"/>
    <c:pageSetup paperSize="9" orientation="landscape"/>
  </c:printSettings>
  <c:userShapes r:id="rId1"/>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2" Type="http://schemas.openxmlformats.org/officeDocument/2006/relationships/chart" Target="../charts/chart5.xml"/><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0</xdr:col>
      <xdr:colOff>0</xdr:colOff>
      <xdr:row>17</xdr:row>
      <xdr:rowOff>0</xdr:rowOff>
    </xdr:from>
    <xdr:to>
      <xdr:col>4</xdr:col>
      <xdr:colOff>0</xdr:colOff>
      <xdr:row>17</xdr:row>
      <xdr:rowOff>0</xdr:rowOff>
    </xdr:to>
    <xdr:graphicFrame macro="">
      <xdr:nvGraphicFramePr>
        <xdr:cNvPr id="2" name="Chart 1">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10</xdr:row>
      <xdr:rowOff>0</xdr:rowOff>
    </xdr:from>
    <xdr:to>
      <xdr:col>4</xdr:col>
      <xdr:colOff>0</xdr:colOff>
      <xdr:row>18</xdr:row>
      <xdr:rowOff>200025</xdr:rowOff>
    </xdr:to>
    <xdr:graphicFrame macro="">
      <xdr:nvGraphicFramePr>
        <xdr:cNvPr id="3" name="Chart 6">
          <a:extLst>
            <a:ext uri="{FF2B5EF4-FFF2-40B4-BE49-F238E27FC236}">
              <a16:creationId xmlns:a16="http://schemas.microsoft.com/office/drawing/2014/main" id="{00000000-0008-0000-0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9525</xdr:colOff>
      <xdr:row>2</xdr:row>
      <xdr:rowOff>19050</xdr:rowOff>
    </xdr:from>
    <xdr:to>
      <xdr:col>5</xdr:col>
      <xdr:colOff>9525</xdr:colOff>
      <xdr:row>10</xdr:row>
      <xdr:rowOff>57150</xdr:rowOff>
    </xdr:to>
    <xdr:graphicFrame macro="">
      <xdr:nvGraphicFramePr>
        <xdr:cNvPr id="4" name="Chart 7">
          <a:extLst>
            <a:ext uri="{FF2B5EF4-FFF2-40B4-BE49-F238E27FC236}">
              <a16:creationId xmlns:a16="http://schemas.microsoft.com/office/drawing/2014/main" id="{00000000-0008-0000-03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0.36862</cdr:x>
      <cdr:y>0.93107</cdr:y>
    </cdr:from>
    <cdr:to>
      <cdr:x>0.52322</cdr:x>
      <cdr:y>1</cdr:y>
    </cdr:to>
    <cdr:sp macro="" textlink="">
      <cdr:nvSpPr>
        <cdr:cNvPr id="20488" name="Text Box 8"/>
        <cdr:cNvSpPr txBox="1">
          <a:spLocks xmlns:a="http://schemas.openxmlformats.org/drawingml/2006/main" noChangeArrowheads="1"/>
        </cdr:cNvSpPr>
      </cdr:nvSpPr>
      <cdr:spPr bwMode="auto">
        <a:xfrm xmlns:a="http://schemas.openxmlformats.org/drawingml/2006/main" rot="20629716" flipH="1">
          <a:off x="2199374" y="2917726"/>
          <a:ext cx="922414" cy="215999"/>
        </a:xfrm>
        <a:prstGeom xmlns:a="http://schemas.openxmlformats.org/drawingml/2006/main" prst="rect">
          <a:avLst/>
        </a:prstGeom>
        <a:noFill xmlns:a="http://schemas.openxmlformats.org/drawingml/2006/main"/>
        <a:ln xmlns:a="http://schemas.openxmlformats.org/drawingml/2006/main" w="9525">
          <a:noFill/>
          <a:miter lim="800000"/>
          <a:headEnd/>
          <a:tailEnd/>
        </a:ln>
        <a:effectLst xmlns:a="http://schemas.openxmlformats.org/drawingml/2006/main"/>
      </cdr:spPr>
      <cdr:txBody>
        <a:bodyPr xmlns:a="http://schemas.openxmlformats.org/drawingml/2006/main" vertOverflow="clip" wrap="square" lIns="27432" tIns="27432" rIns="27432" bIns="0" anchor="t" upright="1"/>
        <a:lstStyle xmlns:a="http://schemas.openxmlformats.org/drawingml/2006/main"/>
        <a:p xmlns:a="http://schemas.openxmlformats.org/drawingml/2006/main">
          <a:pPr algn="ctr" rtl="0">
            <a:defRPr sz="1000"/>
          </a:pPr>
          <a:endParaRPr lang="en-US" altLang="zh-TW" sz="1000" b="0" i="0" strike="noStrike" baseline="0">
            <a:solidFill>
              <a:srgbClr val="000000"/>
            </a:solidFill>
            <a:latin typeface="Times New Roman"/>
            <a:ea typeface="標楷體" pitchFamily="65" charset="-120"/>
            <a:cs typeface="Times New Roman"/>
          </a:endParaRPr>
        </a:p>
      </cdr:txBody>
    </cdr:sp>
  </cdr:relSizeAnchor>
</c:userShapes>
</file>

<file path=xl/drawings/drawing3.xml><?xml version="1.0" encoding="utf-8"?>
<c:userShapes xmlns:c="http://schemas.openxmlformats.org/drawingml/2006/chart">
  <cdr:relSizeAnchor xmlns:cdr="http://schemas.openxmlformats.org/drawingml/2006/chartDrawing">
    <cdr:from>
      <cdr:x>0.4453</cdr:x>
      <cdr:y>0.08954</cdr:y>
    </cdr:from>
    <cdr:to>
      <cdr:x>0.45959</cdr:x>
      <cdr:y>0.20131</cdr:y>
    </cdr:to>
    <cdr:sp macro="" textlink="">
      <cdr:nvSpPr>
        <cdr:cNvPr id="53250" name="Text Box 2"/>
        <cdr:cNvSpPr txBox="1">
          <a:spLocks xmlns:a="http://schemas.openxmlformats.org/drawingml/2006/main" noChangeArrowheads="1"/>
        </cdr:cNvSpPr>
      </cdr:nvSpPr>
      <cdr:spPr bwMode="auto">
        <a:xfrm xmlns:a="http://schemas.openxmlformats.org/drawingml/2006/main">
          <a:off x="2950996" y="285465"/>
          <a:ext cx="94607" cy="352380"/>
        </a:xfrm>
        <a:prstGeom xmlns:a="http://schemas.openxmlformats.org/drawingml/2006/main" prst="rect">
          <a:avLst/>
        </a:prstGeom>
        <a:noFill xmlns:a="http://schemas.openxmlformats.org/drawingml/2006/main"/>
        <a:ln xmlns:a="http://schemas.openxmlformats.org/drawingml/2006/main" w="9525">
          <a:noFill/>
          <a:miter lim="800000"/>
          <a:headEnd/>
          <a:tailEnd/>
        </a:ln>
        <a:effectLst xmlns:a="http://schemas.openxmlformats.org/drawingml/2006/main"/>
      </cdr:spPr>
    </cdr:sp>
  </cdr:relSizeAnchor>
</c:userShapes>
</file>

<file path=xl/drawings/drawing4.xml><?xml version="1.0" encoding="utf-8"?>
<xdr:wsDr xmlns:xdr="http://schemas.openxmlformats.org/drawingml/2006/spreadsheetDrawing" xmlns:a="http://schemas.openxmlformats.org/drawingml/2006/main">
  <xdr:twoCellAnchor>
    <xdr:from>
      <xdr:col>0</xdr:col>
      <xdr:colOff>0</xdr:colOff>
      <xdr:row>11</xdr:row>
      <xdr:rowOff>0</xdr:rowOff>
    </xdr:from>
    <xdr:to>
      <xdr:col>4</xdr:col>
      <xdr:colOff>0</xdr:colOff>
      <xdr:row>11</xdr:row>
      <xdr:rowOff>0</xdr:rowOff>
    </xdr:to>
    <xdr:graphicFrame macro="">
      <xdr:nvGraphicFramePr>
        <xdr:cNvPr id="2" name="Chart 1">
          <a:extLst>
            <a:ext uri="{FF2B5EF4-FFF2-40B4-BE49-F238E27FC236}">
              <a16:creationId xmlns:a16="http://schemas.microsoft.com/office/drawing/2014/main" id="{00000000-0008-0000-04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38100</xdr:colOff>
      <xdr:row>1</xdr:row>
      <xdr:rowOff>38101</xdr:rowOff>
    </xdr:from>
    <xdr:to>
      <xdr:col>5</xdr:col>
      <xdr:colOff>990601</xdr:colOff>
      <xdr:row>11</xdr:row>
      <xdr:rowOff>742951</xdr:rowOff>
    </xdr:to>
    <xdr:graphicFrame macro="">
      <xdr:nvGraphicFramePr>
        <xdr:cNvPr id="3" name="Chart 3">
          <a:extLst>
            <a:ext uri="{FF2B5EF4-FFF2-40B4-BE49-F238E27FC236}">
              <a16:creationId xmlns:a16="http://schemas.microsoft.com/office/drawing/2014/main" id="{00000000-0008-0000-04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xml><?xml version="1.0" encoding="utf-8"?>
<c:userShapes xmlns:c="http://schemas.openxmlformats.org/drawingml/2006/chart">
  <cdr:relSizeAnchor xmlns:cdr="http://schemas.openxmlformats.org/drawingml/2006/chartDrawing">
    <cdr:from>
      <cdr:x>0.24779</cdr:x>
      <cdr:y>0.15031</cdr:y>
    </cdr:from>
    <cdr:to>
      <cdr:x>0.26257</cdr:x>
      <cdr:y>0.2199</cdr:y>
    </cdr:to>
    <cdr:sp macro="" textlink="">
      <cdr:nvSpPr>
        <cdr:cNvPr id="61441" name="Text Box 1"/>
        <cdr:cNvSpPr txBox="1">
          <a:spLocks xmlns:a="http://schemas.openxmlformats.org/drawingml/2006/main" noChangeArrowheads="1"/>
        </cdr:cNvSpPr>
      </cdr:nvSpPr>
      <cdr:spPr bwMode="auto">
        <a:xfrm xmlns:a="http://schemas.openxmlformats.org/drawingml/2006/main">
          <a:off x="1598651" y="620224"/>
          <a:ext cx="95154" cy="285714"/>
        </a:xfrm>
        <a:prstGeom xmlns:a="http://schemas.openxmlformats.org/drawingml/2006/main" prst="rect">
          <a:avLst/>
        </a:prstGeom>
        <a:noFill xmlns:a="http://schemas.openxmlformats.org/drawingml/2006/main"/>
        <a:ln xmlns:a="http://schemas.openxmlformats.org/drawingml/2006/main" w="9525">
          <a:noFill/>
          <a:miter lim="800000"/>
          <a:headEnd/>
          <a:tailEnd/>
        </a:ln>
        <a:effectLst xmlns:a="http://schemas.openxmlformats.org/drawingml/2006/main"/>
      </cdr:spPr>
    </cdr:sp>
  </cdr:relSizeAnchor>
</c:userShape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2262/&#26700;&#38754;/2262/2262/wu/&#27770;&#31639;/&#36027;&#29992;&#26126;&#32048;&#349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a15497/Local%20Settings/Temporary%20Internet%20Files/OLK2/91&#20027;&#27231;&#22686;&#31199;&#26126;&#3204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Te337\MYDOCS$\&#38928;&#31639;\(91)\91&#20027;&#27231;&#22686;&#31199;&#26126;&#3204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WINDOWS/Desktop/&#38928;&#31639;&#33287;&#22865;&#32004;/&#38928;&#31639;/(91)/(91)&#38928;&#31639;&#35336;&#3005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WINDOWS/Desktop/&#38928;&#31639;&#33287;&#22865;&#32004;/&#38928;&#31639;/(92)/(92)&#38928;&#31639;&#35336;&#3005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te337\MyDocs$\My%20Documents\&#38928;&#31639;\(91)\91&#20027;&#27231;&#22686;&#31199;&#26126;&#3204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製造成本"/>
      <sheetName val="行銷費用"/>
      <sheetName val="管理費用"/>
      <sheetName val="研究費用"/>
      <sheetName val="業務外費用"/>
      <sheetName val="費用彙計"/>
      <sheetName val="費用底稿"/>
      <sheetName val="人數"/>
      <sheetName val="稅捐"/>
      <sheetName val="折舊"/>
      <sheetName val="報廢"/>
      <sheetName val="用人費"/>
      <sheetName val="車輛"/>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 val="60個月_(公式)7"/>
      <sheetName val="24個月_(公式)7"/>
      <sheetName val="60個月_(公式)3"/>
      <sheetName val="24個月_(公式)3"/>
      <sheetName val="60個月_(公式)"/>
      <sheetName val="24個月_(公式)"/>
      <sheetName val="60個月_(公式)2"/>
      <sheetName val="24個月_(公式)2"/>
      <sheetName val="60個月_(公式)1"/>
      <sheetName val="24個月_(公式)1"/>
      <sheetName val="60個月_(公式)4"/>
      <sheetName val="24個月_(公式)4"/>
      <sheetName val="60個月_(公式)5"/>
      <sheetName val="24個月_(公式)5"/>
      <sheetName val="60個月_(公式)6"/>
      <sheetName val="24個月_(公式)6"/>
    </sheetNames>
    <sheetDataSet>
      <sheetData sheetId="0"/>
      <sheetData sheetId="1"/>
      <sheetData sheetId="2">
        <row r="3">
          <cell r="B3">
            <v>1.4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 val="60個月_(公式)"/>
      <sheetName val="24個月_(公式)"/>
      <sheetName val="60個月_(公式)1"/>
      <sheetName val="24個月_(公式)1"/>
      <sheetName val="60個月_(公式)3"/>
      <sheetName val="24個月_(公式)3"/>
      <sheetName val="60個月_(公式)2"/>
      <sheetName val="24個月_(公式)2"/>
      <sheetName val="60個月_(公式)4"/>
      <sheetName val="24個月_(公式)4"/>
      <sheetName val="60個月_(公式)7"/>
      <sheetName val="24個月_(公式)7"/>
      <sheetName val="60個月_(公式)5"/>
      <sheetName val="24個月_(公式)5"/>
      <sheetName val="60個月_(公式)6"/>
      <sheetName val="24個月_(公式)6"/>
      <sheetName val="麥寮"/>
      <sheetName val="銷貨收入"/>
      <sheetName val="60個月_(公式)11"/>
      <sheetName val="24個月_(公式)11"/>
      <sheetName val="60個月_(公式)8"/>
      <sheetName val="24個月_(公式)8"/>
      <sheetName val="60個月_(公式)10"/>
      <sheetName val="24個月_(公式)10"/>
      <sheetName val="60個月_(公式)9"/>
      <sheetName val="24個月_(公式)9"/>
      <sheetName val="60個月_(公式)12"/>
      <sheetName val="24個月_(公式)12"/>
      <sheetName val="60個月_(公式)13"/>
      <sheetName val="24個月_(公式)13"/>
      <sheetName val="60個月_(公式)15"/>
      <sheetName val="24個月_(公式)15"/>
      <sheetName val="60個月_(公式)14"/>
      <sheetName val="24個月_(公式)14"/>
      <sheetName val="稅捐"/>
      <sheetName val="W 貸出款"/>
      <sheetName val="90年度"/>
      <sheetName val="60個月_(公式)16"/>
      <sheetName val="24個月_(公式)16"/>
      <sheetName val="W_貸出款"/>
      <sheetName val="60個月_(公式)17"/>
      <sheetName val="24個月_(公式)17"/>
      <sheetName val="W_貸出款1"/>
      <sheetName val="60個月_(公式)18"/>
      <sheetName val="24個月_(公式)18"/>
      <sheetName val="W_貸出款2"/>
      <sheetName val="員工人數及給與計算表old"/>
      <sheetName val="主管明細"/>
      <sheetName val="60個月_(公式)20"/>
      <sheetName val="24個月_(公式)20"/>
      <sheetName val="W_貸出款4"/>
      <sheetName val="60個月_(公式)19"/>
      <sheetName val="24個月_(公式)19"/>
      <sheetName val="W_貸出款3"/>
      <sheetName val="60個月_(公式)21"/>
      <sheetName val="24個月_(公式)21"/>
      <sheetName val="W_貸出款5"/>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8)新主機"/>
      <sheetName val="印表頁數"/>
      <sheetName val="(89)主機增租"/>
      <sheetName val="(90)擬增租主機"/>
      <sheetName val="Rate"/>
      <sheetName val="(91)主機增租"/>
      <sheetName val="磁碟陣列(敬老)"/>
      <sheetName val="250台(契約價)"/>
      <sheetName val="(88)600台(契約價)"/>
      <sheetName val="(88)部分設備增租"/>
      <sheetName val="(88)9台SERVER增租契約價 "/>
      <sheetName val="網路監控"/>
      <sheetName val="(89)線路租金"/>
      <sheetName val="(89)增租契約價 (130)"/>
      <sheetName val="(89)增租契約價 (162)"/>
      <sheetName val="Sheet1"/>
      <sheetName val="(89)增租契約價 (78)"/>
      <sheetName val="(90)120台(報價) "/>
      <sheetName val="(91)250重新招租"/>
      <sheetName val="(91)370契約價"/>
      <sheetName val="(91)9台SERVER重新招租"/>
      <sheetName val="勞農保給付委鍵案"/>
      <sheetName val="勞農保承保委鍵案"/>
      <sheetName val="微縮軟片"/>
      <sheetName val="(90)續增租磁碟陣列(報價)"/>
      <sheetName val="(91)擬增租主機"/>
      <sheetName val="(91)擬增修軟體"/>
      <sheetName val="(91)預算"/>
      <sheetName val="會計室"/>
      <sheetName val="主計處"/>
      <sheetName val="攤銷費(會局)"/>
      <sheetName val="攤銷費(勞保局89)"/>
      <sheetName val="攤銷費(勞保局9001)"/>
      <sheetName val="攤銷費(勞保局9002) "/>
      <sheetName val="攤銷費(勞保局9003)"/>
      <sheetName val="攤銷費(勞保局9004"/>
      <sheetName val="攤銷費(勞保局9005"/>
      <sheetName val="攤銷費(勞保局9006)"/>
      <sheetName val="攤銷費(勞保局9007)"/>
      <sheetName val="攤銷費(勞保局9008)"/>
      <sheetName val="攤銷費(勞保局9009)"/>
      <sheetName val="職災業務租用30台PC及相關設備(NEC報價)"/>
      <sheetName val="職災業務租用主機(NEC報價)"/>
      <sheetName val="職災保護預算"/>
      <sheetName val="Sheet2"/>
      <sheetName val="(91)預算 (2)"/>
      <sheetName val="Sheet5"/>
      <sheetName val="Sheet3"/>
      <sheetName val="(91)預算分析 "/>
      <sheetName val="NEC費用明細"/>
      <sheetName val="NEC費用明細 (2)"/>
      <sheetName val="行契約金額"/>
      <sheetName val="經費分析"/>
      <sheetName val="經費分析 (2)"/>
      <sheetName val="預算及支用"/>
      <sheetName val="預算及支用分析"/>
      <sheetName val="攤銷費(勞保局91)"/>
      <sheetName val="(88)9台SERVER增租契約價_7"/>
      <sheetName val="(89)增租契約價_(130)7"/>
      <sheetName val="(89)增租契約價_(162)7"/>
      <sheetName val="(89)增租契約價_(78)7"/>
      <sheetName val="(90)120台(報價)_7"/>
      <sheetName val="攤銷費(勞保局9002)_7"/>
      <sheetName val="(91)預算_(2)7"/>
      <sheetName val="(91)預算分析_7"/>
      <sheetName val="NEC費用明細_(2)7"/>
      <sheetName val="經費分析_(2)7"/>
      <sheetName val="(88)9台SERVER增租契約價_3"/>
      <sheetName val="(89)增租契約價_(130)3"/>
      <sheetName val="(89)增租契約價_(162)3"/>
      <sheetName val="(89)增租契約價_(78)3"/>
      <sheetName val="(90)120台(報價)_3"/>
      <sheetName val="攤銷費(勞保局9002)_3"/>
      <sheetName val="(91)預算_(2)3"/>
      <sheetName val="(91)預算分析_3"/>
      <sheetName val="NEC費用明細_(2)3"/>
      <sheetName val="經費分析_(2)3"/>
      <sheetName val="(88)9台SERVER增租契約價_"/>
      <sheetName val="(89)增租契約價_(130)"/>
      <sheetName val="(89)增租契約價_(162)"/>
      <sheetName val="(89)增租契約價_(78)"/>
      <sheetName val="(90)120台(報價)_"/>
      <sheetName val="攤銷費(勞保局9002)_"/>
      <sheetName val="(91)預算_(2)"/>
      <sheetName val="(91)預算分析_"/>
      <sheetName val="NEC費用明細_(2)"/>
      <sheetName val="經費分析_(2)"/>
      <sheetName val="(88)9台SERVER增租契約價_2"/>
      <sheetName val="(89)增租契約價_(130)2"/>
      <sheetName val="(89)增租契約價_(162)2"/>
      <sheetName val="(89)增租契約價_(78)2"/>
      <sheetName val="(90)120台(報價)_2"/>
      <sheetName val="攤銷費(勞保局9002)_2"/>
      <sheetName val="(91)預算_(2)2"/>
      <sheetName val="(91)預算分析_2"/>
      <sheetName val="NEC費用明細_(2)2"/>
      <sheetName val="經費分析_(2)2"/>
      <sheetName val="(88)9台SERVER增租契約價_1"/>
      <sheetName val="(89)增租契約價_(130)1"/>
      <sheetName val="(89)增租契約價_(162)1"/>
      <sheetName val="(89)增租契約價_(78)1"/>
      <sheetName val="(90)120台(報價)_1"/>
      <sheetName val="攤銷費(勞保局9002)_1"/>
      <sheetName val="(91)預算_(2)1"/>
      <sheetName val="(91)預算分析_1"/>
      <sheetName val="NEC費用明細_(2)1"/>
      <sheetName val="經費分析_(2)1"/>
      <sheetName val="(88)9台SERVER增租契約價_4"/>
      <sheetName val="(89)增租契約價_(130)4"/>
      <sheetName val="(89)增租契約價_(162)4"/>
      <sheetName val="(89)增租契約價_(78)4"/>
      <sheetName val="(90)120台(報價)_4"/>
      <sheetName val="攤銷費(勞保局9002)_4"/>
      <sheetName val="(91)預算_(2)4"/>
      <sheetName val="(91)預算分析_4"/>
      <sheetName val="NEC費用明細_(2)4"/>
      <sheetName val="經費分析_(2)4"/>
      <sheetName val="(88)9台SERVER增租契約價_5"/>
      <sheetName val="(89)增租契約價_(130)5"/>
      <sheetName val="(89)增租契約價_(162)5"/>
      <sheetName val="(89)增租契約價_(78)5"/>
      <sheetName val="(90)120台(報價)_5"/>
      <sheetName val="攤銷費(勞保局9002)_5"/>
      <sheetName val="(91)預算_(2)5"/>
      <sheetName val="(91)預算分析_5"/>
      <sheetName val="NEC費用明細_(2)5"/>
      <sheetName val="經費分析_(2)5"/>
      <sheetName val="(88)9台SERVER增租契約價_6"/>
      <sheetName val="(89)增租契約價_(130)6"/>
      <sheetName val="(89)增租契約價_(162)6"/>
      <sheetName val="(89)增租契約價_(78)6"/>
      <sheetName val="(90)120台(報價)_6"/>
      <sheetName val="攤銷費(勞保局9002)_6"/>
      <sheetName val="(91)預算_(2)6"/>
      <sheetName val="(91)預算分析_6"/>
      <sheetName val="NEC費用明細_(2)6"/>
      <sheetName val="經費分析_(2)6"/>
    </sheetNames>
    <sheetDataSet>
      <sheetData sheetId="0"/>
      <sheetData sheetId="1"/>
      <sheetData sheetId="2"/>
      <sheetData sheetId="3"/>
      <sheetData sheetId="4"/>
      <sheetData sheetId="5">
        <row r="15">
          <cell r="C15">
            <v>0.8</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9)起租PX7800主機及其週邊設備 "/>
      <sheetName val="印表頁數"/>
      <sheetName val="(89)租用電腦主機週邊設備"/>
      <sheetName val="(90)年租用電腦主機週邊設備"/>
      <sheetName val="(91)租用磁碟陣列(敬老)"/>
      <sheetName val="(92)租用磁碟陣列(就保)"/>
      <sheetName val="(92)增租磁碟陣列"/>
      <sheetName val="(88)250台(契約價)"/>
      <sheetName val="(88)600台(契約價)"/>
      <sheetName val="(89)部分設備增租"/>
      <sheetName val="(88)租用伺服器主機9台(契約價) "/>
      <sheetName val="(89)增租伺服器相關設備(契約價)"/>
      <sheetName val="租用伺服器主機及相關設備(契約價) "/>
      <sheetName val="(89)增租契約價 (162)"/>
      <sheetName val="(89)增租契約價 (78)"/>
      <sheetName val="(90)汰換120台PC工作站 (報價) "/>
      <sheetName val="(90)90台PC及網路設備"/>
      <sheetName val="(89)增租契約價 (130)"/>
      <sheetName val="(92)租用磁碟陣列設備(契約價)"/>
      <sheetName val="(91)主機增租(NEC報價)"/>
      <sheetName val="光碟櫃設備二套(報價) "/>
      <sheetName val="Rate"/>
      <sheetName val="網路監控"/>
      <sheetName val="線路租金"/>
      <sheetName val="(91)370契約價"/>
      <sheetName val="(91)52(敬老)契約價"/>
      <sheetName val="(92)35(就保)契約價"/>
      <sheetName val="(92)10(行政執行處)契約價"/>
      <sheetName val="(92)9台SERVER重新招租"/>
      <sheetName val="(92)勞農保給付委鍵案"/>
      <sheetName val="(92)勞農保承保委鍵案"/>
      <sheetName val="(92)網路安全防護系統"/>
      <sheetName val="微縮軟片"/>
      <sheetName val="(92)PC移機工程"/>
      <sheetName val="(92)擬增修軟體"/>
      <sheetName val="(92)預算 "/>
      <sheetName val="(92)預算(含就保)"/>
      <sheetName val="(92)預算(含就保) 調整後"/>
      <sheetName val="預算及支用分析 (調整項目) "/>
      <sheetName val="會計室"/>
      <sheetName val="主計處"/>
      <sheetName val="攤銷費(會局)"/>
      <sheetName val="攤銷費(勞保局89)"/>
      <sheetName val="(91)擬增租主機(報主計處)"/>
      <sheetName val="報主計處(非計劃型資本支出) "/>
      <sheetName val="攤銷費(勞保局91)"/>
      <sheetName val="就業保險預算"/>
      <sheetName val="預算及支用分析"/>
      <sheetName val="主計處修正後 (含就保)"/>
      <sheetName val="報主計處調整項目"/>
      <sheetName val="(92)電腦軟體服務費"/>
      <sheetName val="調整項目統計"/>
      <sheetName val="經費分析 (NEC)"/>
      <sheetName val="目前契約(92)"/>
      <sheetName val="預算與支用分析(調整項目)"/>
      <sheetName val="預算及支用分析 (調整後)"/>
      <sheetName val="非計劃型資本支出總表"/>
      <sheetName val="(92)無形資產預定時程"/>
      <sheetName val="非計劃型資本支出預定時程"/>
      <sheetName val="電腦租金及使用費預定時程"/>
      <sheetName val="調整項目預定時程"/>
      <sheetName val="電腦租金及使用費預定時程 (新)"/>
      <sheetName val="92預定採購時程"/>
      <sheetName val="(91)新增契約"/>
      <sheetName val="Sheet1"/>
      <sheetName val="(89)起租PX7800主機及其週邊設備_7"/>
      <sheetName val="(88)租用伺服器主機9台(契約價)_7"/>
      <sheetName val="租用伺服器主機及相關設備(契約價)_7"/>
      <sheetName val="(89)增租契約價_(162)7"/>
      <sheetName val="(89)增租契約價_(78)7"/>
      <sheetName val="(90)汰換120台PC工作站_(報價)_7"/>
      <sheetName val="(89)增租契約價_(130)7"/>
      <sheetName val="光碟櫃設備二套(報價)_7"/>
      <sheetName val="(92)預算_7"/>
      <sheetName val="(92)預算(含就保)_調整後7"/>
      <sheetName val="預算及支用分析_(調整項目)_7"/>
      <sheetName val="報主計處(非計劃型資本支出)_7"/>
      <sheetName val="主計處修正後_(含就保)7"/>
      <sheetName val="經費分析_(NEC)7"/>
      <sheetName val="預算及支用分析_(調整後)7"/>
      <sheetName val="電腦租金及使用費預定時程_(新)7"/>
      <sheetName val="(89)起租PX7800主機及其週邊設備_3"/>
      <sheetName val="(88)租用伺服器主機9台(契約價)_3"/>
      <sheetName val="租用伺服器主機及相關設備(契約價)_3"/>
      <sheetName val="(89)增租契約價_(162)3"/>
      <sheetName val="(89)增租契約價_(78)3"/>
      <sheetName val="(90)汰換120台PC工作站_(報價)_3"/>
      <sheetName val="(89)增租契約價_(130)3"/>
      <sheetName val="光碟櫃設備二套(報價)_3"/>
      <sheetName val="(92)預算_3"/>
      <sheetName val="(92)預算(含就保)_調整後3"/>
      <sheetName val="預算及支用分析_(調整項目)_3"/>
      <sheetName val="報主計處(非計劃型資本支出)_3"/>
      <sheetName val="主計處修正後_(含就保)3"/>
      <sheetName val="經費分析_(NEC)3"/>
      <sheetName val="預算及支用分析_(調整後)3"/>
      <sheetName val="電腦租金及使用費預定時程_(新)3"/>
      <sheetName val="(89)起租PX7800主機及其週邊設備_"/>
      <sheetName val="(88)租用伺服器主機9台(契約價)_"/>
      <sheetName val="租用伺服器主機及相關設備(契約價)_"/>
      <sheetName val="(89)增租契約價_(162)"/>
      <sheetName val="(89)增租契約價_(78)"/>
      <sheetName val="(90)汰換120台PC工作站_(報價)_"/>
      <sheetName val="(89)增租契約價_(130)"/>
      <sheetName val="光碟櫃設備二套(報價)_"/>
      <sheetName val="(92)預算_"/>
      <sheetName val="(92)預算(含就保)_調整後"/>
      <sheetName val="預算及支用分析_(調整項目)_"/>
      <sheetName val="報主計處(非計劃型資本支出)_"/>
      <sheetName val="主計處修正後_(含就保)"/>
      <sheetName val="經費分析_(NEC)"/>
      <sheetName val="預算及支用分析_(調整後)"/>
      <sheetName val="電腦租金及使用費預定時程_(新)"/>
      <sheetName val="(89)起租PX7800主機及其週邊設備_2"/>
      <sheetName val="(88)租用伺服器主機9台(契約價)_2"/>
      <sheetName val="租用伺服器主機及相關設備(契約價)_2"/>
      <sheetName val="(89)增租契約價_(162)2"/>
      <sheetName val="(89)增租契約價_(78)2"/>
      <sheetName val="(90)汰換120台PC工作站_(報價)_2"/>
      <sheetName val="(89)增租契約價_(130)2"/>
      <sheetName val="光碟櫃設備二套(報價)_2"/>
      <sheetName val="(92)預算_2"/>
      <sheetName val="(92)預算(含就保)_調整後2"/>
      <sheetName val="預算及支用分析_(調整項目)_2"/>
      <sheetName val="報主計處(非計劃型資本支出)_2"/>
      <sheetName val="主計處修正後_(含就保)2"/>
      <sheetName val="經費分析_(NEC)2"/>
      <sheetName val="預算及支用分析_(調整後)2"/>
      <sheetName val="電腦租金及使用費預定時程_(新)2"/>
      <sheetName val="(89)起租PX7800主機及其週邊設備_1"/>
      <sheetName val="(88)租用伺服器主機9台(契約價)_1"/>
      <sheetName val="租用伺服器主機及相關設備(契約價)_1"/>
      <sheetName val="(89)增租契約價_(162)1"/>
      <sheetName val="(89)增租契約價_(78)1"/>
      <sheetName val="(90)汰換120台PC工作站_(報價)_1"/>
      <sheetName val="(89)增租契約價_(130)1"/>
      <sheetName val="光碟櫃設備二套(報價)_1"/>
      <sheetName val="(92)預算_1"/>
      <sheetName val="(92)預算(含就保)_調整後1"/>
      <sheetName val="預算及支用分析_(調整項目)_1"/>
      <sheetName val="報主計處(非計劃型資本支出)_1"/>
      <sheetName val="主計處修正後_(含就保)1"/>
      <sheetName val="經費分析_(NEC)1"/>
      <sheetName val="預算及支用分析_(調整後)1"/>
      <sheetName val="電腦租金及使用費預定時程_(新)1"/>
      <sheetName val="(89)起租PX7800主機及其週邊設備_4"/>
      <sheetName val="(88)租用伺服器主機9台(契約價)_4"/>
      <sheetName val="租用伺服器主機及相關設備(契約價)_4"/>
      <sheetName val="(89)增租契約價_(162)4"/>
      <sheetName val="(89)增租契約價_(78)4"/>
      <sheetName val="(90)汰換120台PC工作站_(報價)_4"/>
      <sheetName val="(89)增租契約價_(130)4"/>
      <sheetName val="光碟櫃設備二套(報價)_4"/>
      <sheetName val="(92)預算_4"/>
      <sheetName val="(92)預算(含就保)_調整後4"/>
      <sheetName val="預算及支用分析_(調整項目)_4"/>
      <sheetName val="報主計處(非計劃型資本支出)_4"/>
      <sheetName val="主計處修正後_(含就保)4"/>
      <sheetName val="經費分析_(NEC)4"/>
      <sheetName val="預算及支用分析_(調整後)4"/>
      <sheetName val="電腦租金及使用費預定時程_(新)4"/>
      <sheetName val="(89)起租PX7800主機及其週邊設備_5"/>
      <sheetName val="(88)租用伺服器主機9台(契約價)_5"/>
      <sheetName val="租用伺服器主機及相關設備(契約價)_5"/>
      <sheetName val="(89)增租契約價_(162)5"/>
      <sheetName val="(89)增租契約價_(78)5"/>
      <sheetName val="(90)汰換120台PC工作站_(報價)_5"/>
      <sheetName val="(89)增租契約價_(130)5"/>
      <sheetName val="光碟櫃設備二套(報價)_5"/>
      <sheetName val="(92)預算_5"/>
      <sheetName val="(92)預算(含就保)_調整後5"/>
      <sheetName val="預算及支用分析_(調整項目)_5"/>
      <sheetName val="報主計處(非計劃型資本支出)_5"/>
      <sheetName val="主計處修正後_(含就保)5"/>
      <sheetName val="經費分析_(NEC)5"/>
      <sheetName val="預算及支用分析_(調整後)5"/>
      <sheetName val="電腦租金及使用費預定時程_(新)5"/>
      <sheetName val="(89)起租PX7800主機及其週邊設備_6"/>
      <sheetName val="(88)租用伺服器主機9台(契約價)_6"/>
      <sheetName val="租用伺服器主機及相關設備(契約價)_6"/>
      <sheetName val="(89)增租契約價_(162)6"/>
      <sheetName val="(89)增租契約價_(78)6"/>
      <sheetName val="(90)汰換120台PC工作站_(報價)_6"/>
      <sheetName val="(89)增租契約價_(130)6"/>
      <sheetName val="光碟櫃設備二套(報價)_6"/>
      <sheetName val="(92)預算_6"/>
      <sheetName val="(92)預算(含就保)_調整後6"/>
      <sheetName val="預算及支用分析_(調整項目)_6"/>
      <sheetName val="報主計處(非計劃型資本支出)_6"/>
      <sheetName val="主計處修正後_(含就保)6"/>
      <sheetName val="經費分析_(NEC)6"/>
      <sheetName val="預算及支用分析_(調整後)6"/>
      <sheetName val="電腦租金及使用費預定時程_(新)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row r="15">
          <cell r="C15">
            <v>0.8</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 val="(91)主機增租"/>
      <sheetName val="60個月_(公式)"/>
      <sheetName val="24個月_(公式)"/>
      <sheetName val="(91)主機增租(NEC報價)"/>
      <sheetName val="60個月_(公式)1"/>
      <sheetName val="24個月_(公式)1"/>
      <sheetName val="60個月_(公式)3"/>
      <sheetName val="24個月_(公式)3"/>
      <sheetName val="60個月_(公式)2"/>
      <sheetName val="24個月_(公式)2"/>
      <sheetName val="60個月_(公式)4"/>
      <sheetName val="24個月_(公式)4"/>
      <sheetName val="60個月_(公式)7"/>
      <sheetName val="24個月_(公式)7"/>
      <sheetName val="60個月_(公式)5"/>
      <sheetName val="24個月_(公式)5"/>
      <sheetName val="60個月_(公式)6"/>
      <sheetName val="24個月_(公式)6"/>
      <sheetName val="麥寮"/>
      <sheetName val="機關明細"/>
      <sheetName val="銷貨收入"/>
      <sheetName val="60個月_(公式)11"/>
      <sheetName val="24個月_(公式)11"/>
      <sheetName val="60個月_(公式)8"/>
      <sheetName val="24個月_(公式)8"/>
      <sheetName val="60個月_(公式)10"/>
      <sheetName val="24個月_(公式)10"/>
      <sheetName val="60個月_(公式)9"/>
      <sheetName val="24個月_(公式)9"/>
      <sheetName val="60個月_(公式)12"/>
      <sheetName val="24個月_(公式)12"/>
      <sheetName val="60個月_(公式)13"/>
      <sheetName val="24個月_(公式)13"/>
      <sheetName val="60個月_(公式)15"/>
      <sheetName val="24個月_(公式)15"/>
      <sheetName val="60個月_(公式)14"/>
      <sheetName val="24個月_(公式)14"/>
      <sheetName val="exp彙計"/>
      <sheetName val="外幣收支彙計"/>
      <sheetName val="什項修護 "/>
      <sheetName val="機械修護"/>
      <sheetName val="60個月_(公式)16"/>
      <sheetName val="24個月_(公式)16"/>
      <sheetName val="什項修護_"/>
      <sheetName val="60個月_(公式)17"/>
      <sheetName val="24個月_(公式)17"/>
      <sheetName val="什項修護_1"/>
      <sheetName val="60個月_(公式)18"/>
      <sheetName val="24個月_(公式)18"/>
      <sheetName val="什項修護_2"/>
      <sheetName val="員額(2)"/>
      <sheetName val="單價計算"/>
      <sheetName val="cfh"/>
      <sheetName val="98預算合併明細"/>
      <sheetName val="人基表89"/>
      <sheetName val="60個月_(公式)20"/>
      <sheetName val="24個月_(公式)20"/>
      <sheetName val="什項修護_4"/>
      <sheetName val="60個月_(公式)19"/>
      <sheetName val="24個月_(公式)19"/>
      <sheetName val="什項修護_3"/>
      <sheetName val="60個月_(公式)21"/>
      <sheetName val="24個月_(公式)21"/>
      <sheetName val="什項修護_5"/>
    </sheetNames>
    <sheetDataSet>
      <sheetData sheetId="0" refreshError="1"/>
      <sheetData sheetId="1" refreshError="1"/>
      <sheetData sheetId="2" refreshError="1">
        <row r="3">
          <cell r="B3">
            <v>1.4</v>
          </cell>
        </row>
      </sheetData>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H1"/>
  <sheetViews>
    <sheetView workbookViewId="0">
      <selection activeCell="K4" sqref="K4"/>
    </sheetView>
  </sheetViews>
  <sheetFormatPr defaultColWidth="9" defaultRowHeight="80.25" customHeight="1"/>
  <cols>
    <col min="1" max="16384" width="9" style="1191"/>
  </cols>
  <sheetData>
    <row r="1" spans="1:8" ht="80.25" customHeight="1">
      <c r="A1" s="1354" t="s">
        <v>1251</v>
      </c>
      <c r="B1" s="1354"/>
      <c r="C1" s="1354"/>
      <c r="D1" s="1354"/>
      <c r="E1" s="1354"/>
      <c r="F1" s="1354"/>
      <c r="G1" s="1354"/>
      <c r="H1" s="1354"/>
    </row>
  </sheetData>
  <mergeCells count="1">
    <mergeCell ref="A1:H1"/>
  </mergeCells>
  <phoneticPr fontId="6" type="noConversion"/>
  <printOptions horizontalCentered="1" verticalCentered="1"/>
  <pageMargins left="0.98425196850393704" right="0.59055118110236227" top="0.98425196850393704" bottom="0.98425196850393704"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D2"/>
  <sheetViews>
    <sheetView workbookViewId="0">
      <selection activeCell="K4" sqref="K4"/>
    </sheetView>
  </sheetViews>
  <sheetFormatPr defaultRowHeight="16.5"/>
  <sheetData>
    <row r="1" spans="1:4">
      <c r="A1" s="1355"/>
      <c r="B1" s="1355"/>
      <c r="C1" s="1355"/>
      <c r="D1" s="1355"/>
    </row>
    <row r="2" spans="1:4">
      <c r="A2" s="1355"/>
      <c r="B2" s="1355"/>
      <c r="C2" s="1355"/>
      <c r="D2" s="1355"/>
    </row>
  </sheetData>
  <mergeCells count="1">
    <mergeCell ref="A1:D2"/>
  </mergeCells>
  <phoneticPr fontId="6"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42"/>
  <sheetViews>
    <sheetView showGridLines="0" tabSelected="1" view="pageBreakPreview" zoomScaleNormal="100" zoomScaleSheetLayoutView="100" workbookViewId="0">
      <selection activeCell="H7" sqref="H7"/>
    </sheetView>
  </sheetViews>
  <sheetFormatPr defaultColWidth="12" defaultRowHeight="20.25"/>
  <cols>
    <col min="1" max="2" width="21.125" style="469" customWidth="1"/>
    <col min="3" max="3" width="23.625" style="469" customWidth="1"/>
    <col min="4" max="4" width="21.125" style="469" customWidth="1"/>
    <col min="5" max="5" width="13.75" style="469" hidden="1" customWidth="1"/>
    <col min="6" max="16384" width="12" style="469"/>
  </cols>
  <sheetData>
    <row r="1" spans="1:2" s="468" customFormat="1" ht="30" customHeight="1">
      <c r="A1" s="466" t="s">
        <v>213</v>
      </c>
      <c r="B1" s="467" t="s">
        <v>1274</v>
      </c>
    </row>
    <row r="2" spans="1:2" s="468" customFormat="1" ht="24" customHeight="1">
      <c r="A2" s="466"/>
    </row>
    <row r="3" spans="1:2" ht="30" customHeight="1"/>
    <row r="4" spans="1:2" ht="30" customHeight="1"/>
    <row r="5" spans="1:2" ht="30" customHeight="1"/>
    <row r="6" spans="1:2" ht="30" customHeight="1"/>
    <row r="7" spans="1:2" ht="30" customHeight="1"/>
    <row r="8" spans="1:2" ht="30" customHeight="1"/>
    <row r="9" spans="1:2" ht="30" customHeight="1"/>
    <row r="10" spans="1:2" ht="30" customHeight="1"/>
    <row r="11" spans="1:2" ht="30" customHeight="1"/>
    <row r="12" spans="1:2" ht="30" customHeight="1"/>
    <row r="13" spans="1:2" ht="30" customHeight="1"/>
    <row r="14" spans="1:2" ht="30" customHeight="1"/>
    <row r="15" spans="1:2" ht="30" customHeight="1"/>
    <row r="16" spans="1:2" ht="30" customHeight="1"/>
    <row r="17" spans="1:6" ht="30" customHeight="1"/>
    <row r="19" spans="1:6">
      <c r="D19" s="470" t="s">
        <v>214</v>
      </c>
    </row>
    <row r="20" spans="1:6" ht="24" customHeight="1">
      <c r="A20" s="471" t="s">
        <v>215</v>
      </c>
      <c r="B20" s="472" t="s">
        <v>1273</v>
      </c>
      <c r="C20" s="471" t="s">
        <v>216</v>
      </c>
      <c r="D20" s="472" t="s">
        <v>1273</v>
      </c>
    </row>
    <row r="21" spans="1:6" ht="24" customHeight="1">
      <c r="A21" s="473" t="s">
        <v>16</v>
      </c>
      <c r="B21" s="474">
        <f>SUM(B22:B25)</f>
        <v>698902259</v>
      </c>
      <c r="C21" s="475" t="s">
        <v>217</v>
      </c>
      <c r="D21" s="476">
        <f>SUM(D22:D25)</f>
        <v>699228480</v>
      </c>
    </row>
    <row r="22" spans="1:6" ht="24" customHeight="1">
      <c r="A22" s="477" t="s">
        <v>312</v>
      </c>
      <c r="B22" s="478">
        <f>'收支餘絀預計表-總'!D9</f>
        <v>274530</v>
      </c>
      <c r="C22" s="479" t="s">
        <v>313</v>
      </c>
      <c r="D22" s="480">
        <f>'收支餘絀預計表-總'!D53</f>
        <v>32423</v>
      </c>
    </row>
    <row r="23" spans="1:6" ht="24" customHeight="1">
      <c r="A23" s="477" t="s">
        <v>218</v>
      </c>
      <c r="B23" s="478">
        <f>'收支餘絀預計表-總'!D12</f>
        <v>32289141</v>
      </c>
      <c r="C23" s="479" t="s">
        <v>219</v>
      </c>
      <c r="D23" s="480">
        <f>'收支餘絀預計表-總'!D56</f>
        <v>1013286</v>
      </c>
    </row>
    <row r="24" spans="1:6" ht="24" customHeight="1">
      <c r="A24" s="477" t="s">
        <v>220</v>
      </c>
      <c r="B24" s="478">
        <f>'收支餘絀預計表-總'!D31</f>
        <v>531071560</v>
      </c>
      <c r="C24" s="479" t="s">
        <v>221</v>
      </c>
      <c r="D24" s="480">
        <f>'收支餘絀預計表-總'!D66</f>
        <v>692223625</v>
      </c>
    </row>
    <row r="25" spans="1:6" ht="24" customHeight="1">
      <c r="A25" s="477" t="s">
        <v>222</v>
      </c>
      <c r="B25" s="478">
        <f>'收支餘絀預計表-總'!D43</f>
        <v>135267028</v>
      </c>
      <c r="C25" s="479" t="s">
        <v>223</v>
      </c>
      <c r="D25" s="480">
        <f>'收支餘絀預計表-總'!D83</f>
        <v>5959146</v>
      </c>
    </row>
    <row r="26" spans="1:6" ht="24" customHeight="1">
      <c r="A26" s="481" t="s">
        <v>497</v>
      </c>
      <c r="B26" s="482">
        <f>'收支餘絀預計表-總'!D89</f>
        <v>328255</v>
      </c>
      <c r="C26" s="483" t="s">
        <v>224</v>
      </c>
      <c r="D26" s="484">
        <f>'收支餘絀預計表-總'!D114</f>
        <v>2034</v>
      </c>
    </row>
    <row r="27" spans="1:6" ht="24" customHeight="1">
      <c r="A27" s="485"/>
      <c r="B27" s="486"/>
      <c r="C27" s="487" t="s">
        <v>225</v>
      </c>
      <c r="D27" s="488" t="s">
        <v>9</v>
      </c>
    </row>
    <row r="28" spans="1:6" ht="30" customHeight="1">
      <c r="A28" s="489" t="s">
        <v>226</v>
      </c>
      <c r="B28" s="490">
        <f>B21+B26</f>
        <v>699230514</v>
      </c>
      <c r="C28" s="489" t="s">
        <v>227</v>
      </c>
      <c r="D28" s="491">
        <f>D21+D26</f>
        <v>699230514</v>
      </c>
      <c r="E28" s="492">
        <f>B28-D28</f>
        <v>0</v>
      </c>
    </row>
    <row r="29" spans="1:6" ht="21" hidden="1">
      <c r="A29" s="730" t="s">
        <v>669</v>
      </c>
      <c r="B29" s="493">
        <f>B22/$B$28</f>
        <v>3.926173050279668E-4</v>
      </c>
      <c r="C29" s="494">
        <f>+B29*100</f>
        <v>3.9261730502796681E-2</v>
      </c>
      <c r="D29" s="493">
        <f>D22/$D$28</f>
        <v>4.6369543878343962E-5</v>
      </c>
      <c r="E29" s="494">
        <v>0.26</v>
      </c>
      <c r="F29" s="731">
        <f>+D29*100</f>
        <v>4.6369543878343961E-3</v>
      </c>
    </row>
    <row r="30" spans="1:6" hidden="1">
      <c r="B30" s="493">
        <f>B23/$B$28</f>
        <v>4.6178106294714708E-2</v>
      </c>
      <c r="C30" s="733">
        <f>+B30*100</f>
        <v>4.6178106294714709</v>
      </c>
      <c r="D30" s="493">
        <f>D23/$D$28</f>
        <v>1.4491444233510667E-3</v>
      </c>
      <c r="E30" s="494">
        <v>0.26</v>
      </c>
      <c r="F30" s="731">
        <f t="shared" ref="F30:F33" si="0">+D30*100</f>
        <v>0.14491444233510667</v>
      </c>
    </row>
    <row r="31" spans="1:6" hidden="1">
      <c r="B31" s="493">
        <f>B24/$B$28</f>
        <v>0.75950855886131996</v>
      </c>
      <c r="C31" s="494">
        <f>+B31*100</f>
        <v>75.95085588613199</v>
      </c>
      <c r="D31" s="493">
        <f>D24/$D$28</f>
        <v>0.98997914298688627</v>
      </c>
      <c r="E31" s="494">
        <v>99.14</v>
      </c>
      <c r="F31" s="731">
        <f t="shared" si="0"/>
        <v>98.997914298688627</v>
      </c>
    </row>
    <row r="32" spans="1:6" hidden="1">
      <c r="B32" s="493">
        <f>B25/$B$28</f>
        <v>0.19345126577242022</v>
      </c>
      <c r="C32" s="494">
        <f t="shared" ref="C32:C33" si="1">+B32*100</f>
        <v>19.345126577242024</v>
      </c>
      <c r="D32" s="493">
        <f>D25/$D$28</f>
        <v>8.522434133931403E-3</v>
      </c>
      <c r="E32" s="494">
        <v>0.6</v>
      </c>
      <c r="F32" s="731">
        <f>+D32*100</f>
        <v>0.85224341339314025</v>
      </c>
    </row>
    <row r="33" spans="1:6" hidden="1">
      <c r="B33" s="493">
        <f>B26/$B$28</f>
        <v>4.6945176651715743E-4</v>
      </c>
      <c r="C33" s="494">
        <f t="shared" si="1"/>
        <v>4.6945176651715742E-2</v>
      </c>
      <c r="D33" s="493">
        <f>D26/$D$28</f>
        <v>2.9089119528899737E-6</v>
      </c>
      <c r="E33" s="494">
        <v>0</v>
      </c>
      <c r="F33" s="731">
        <f t="shared" si="0"/>
        <v>2.9089119528899737E-4</v>
      </c>
    </row>
    <row r="34" spans="1:6" hidden="1">
      <c r="B34" s="493">
        <f>SUM(B29:B33)</f>
        <v>1</v>
      </c>
      <c r="C34" s="494">
        <f>SUM(C29:C33)</f>
        <v>100</v>
      </c>
      <c r="D34" s="493">
        <f>SUM(D29:D33)</f>
        <v>0.99999999999999989</v>
      </c>
      <c r="E34" s="494">
        <f>SUM(E30:E33)</f>
        <v>100</v>
      </c>
      <c r="F34" s="731">
        <f>SUM(F29:F33)</f>
        <v>100</v>
      </c>
    </row>
    <row r="35" spans="1:6" ht="21" hidden="1">
      <c r="C35" s="730"/>
    </row>
    <row r="36" spans="1:6" ht="21" hidden="1">
      <c r="A36" s="776" t="s">
        <v>499</v>
      </c>
      <c r="B36" s="811" t="s">
        <v>1503</v>
      </c>
      <c r="C36" s="811">
        <v>0.04</v>
      </c>
      <c r="D36" s="811" t="s">
        <v>1508</v>
      </c>
      <c r="E36" s="811"/>
      <c r="F36" s="811">
        <v>0</v>
      </c>
    </row>
    <row r="37" spans="1:6" ht="21" hidden="1">
      <c r="A37" s="811"/>
      <c r="B37" s="811" t="s">
        <v>1504</v>
      </c>
      <c r="C37" s="811">
        <v>4.62</v>
      </c>
      <c r="D37" s="811" t="s">
        <v>1509</v>
      </c>
      <c r="E37" s="811"/>
      <c r="F37" s="811">
        <v>0.15</v>
      </c>
    </row>
    <row r="38" spans="1:6" ht="21" hidden="1">
      <c r="A38" s="811"/>
      <c r="B38" s="811" t="s">
        <v>1505</v>
      </c>
      <c r="C38" s="1029">
        <v>75.95</v>
      </c>
      <c r="D38" s="811" t="s">
        <v>1510</v>
      </c>
      <c r="E38" s="811"/>
      <c r="F38" s="1193">
        <v>99</v>
      </c>
    </row>
    <row r="39" spans="1:6" ht="21" hidden="1">
      <c r="A39" s="811"/>
      <c r="B39" s="811" t="s">
        <v>1506</v>
      </c>
      <c r="C39" s="811">
        <v>19.350000000000001</v>
      </c>
      <c r="D39" s="811" t="s">
        <v>1511</v>
      </c>
      <c r="E39" s="811"/>
      <c r="F39" s="811">
        <v>0.85</v>
      </c>
    </row>
    <row r="40" spans="1:6" ht="21" hidden="1">
      <c r="A40" s="811"/>
      <c r="B40" s="1332" t="s">
        <v>1507</v>
      </c>
      <c r="C40" s="811">
        <v>0.04</v>
      </c>
      <c r="D40" s="811" t="s">
        <v>1512</v>
      </c>
      <c r="E40" s="811"/>
      <c r="F40" s="811">
        <v>0</v>
      </c>
    </row>
    <row r="41" spans="1:6" hidden="1">
      <c r="A41" s="811"/>
      <c r="B41" s="811"/>
      <c r="C41" s="1029">
        <f>SUM(C36:C40)</f>
        <v>100.00000000000001</v>
      </c>
      <c r="D41" s="811"/>
      <c r="E41" s="811"/>
      <c r="F41" s="1029">
        <f>SUM(F36:F40)</f>
        <v>100</v>
      </c>
    </row>
    <row r="42" spans="1:6" ht="21" hidden="1">
      <c r="A42" s="811"/>
      <c r="B42" s="811"/>
      <c r="C42" s="776" t="s">
        <v>498</v>
      </c>
      <c r="D42" s="811"/>
      <c r="E42" s="811"/>
      <c r="F42" s="811"/>
    </row>
  </sheetData>
  <phoneticPr fontId="6" type="noConversion"/>
  <printOptions horizontalCentered="1"/>
  <pageMargins left="0.59055118110236227" right="0.59055118110236227" top="0.59055118110236227" bottom="0.78740157480314965" header="0.51181102362204722" footer="0.51181102362204722"/>
  <pageSetup paperSize="9" firstPageNumber="7" orientation="portrait" useFirstPageNumber="1" r:id="rId1"/>
  <headerFooter alignWithMargins="0">
    <oddFooter xml:space="preserve">&amp;C&amp;"Times New Roman,標準"&amp;12 &amp;P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38"/>
  <sheetViews>
    <sheetView showGridLines="0" view="pageBreakPreview" zoomScaleNormal="100" zoomScaleSheetLayoutView="100" workbookViewId="0">
      <selection activeCell="J11" sqref="J11"/>
    </sheetView>
  </sheetViews>
  <sheetFormatPr defaultColWidth="12" defaultRowHeight="20.25"/>
  <cols>
    <col min="1" max="1" width="17.875" style="469" bestFit="1" customWidth="1"/>
    <col min="2" max="18" width="13.5" style="469" customWidth="1"/>
    <col min="19" max="20" width="12" style="469"/>
    <col min="21" max="21" width="14.5" style="469" customWidth="1"/>
    <col min="22" max="22" width="14.75" style="469" customWidth="1"/>
    <col min="23" max="23" width="14.5" style="469" customWidth="1"/>
    <col min="24" max="24" width="14.125" style="469" customWidth="1"/>
    <col min="25" max="25" width="14.875" style="469" customWidth="1"/>
    <col min="26" max="16384" width="12" style="469"/>
  </cols>
  <sheetData>
    <row r="1" spans="1:25" s="468" customFormat="1" ht="30" customHeight="1">
      <c r="A1" s="466" t="s">
        <v>228</v>
      </c>
    </row>
    <row r="2" spans="1:25" s="468" customFormat="1" ht="30" customHeight="1">
      <c r="A2" s="466"/>
      <c r="C2" s="467"/>
    </row>
    <row r="3" spans="1:25" ht="30" customHeight="1"/>
    <row r="4" spans="1:25" ht="30" customHeight="1"/>
    <row r="5" spans="1:25" ht="30" customHeight="1"/>
    <row r="6" spans="1:25" ht="30" customHeight="1"/>
    <row r="7" spans="1:25" ht="30" customHeight="1"/>
    <row r="8" spans="1:25" ht="30" customHeight="1"/>
    <row r="9" spans="1:25" ht="30" customHeight="1"/>
    <row r="10" spans="1:25" ht="30" customHeight="1"/>
    <row r="11" spans="1:25" ht="30" customHeight="1"/>
    <row r="12" spans="1:25" ht="59.45" customHeight="1"/>
    <row r="13" spans="1:25" ht="21" thickBot="1">
      <c r="F13" s="495" t="s">
        <v>229</v>
      </c>
      <c r="G13" s="495"/>
      <c r="H13" s="495"/>
      <c r="I13" s="495"/>
      <c r="J13" s="495"/>
      <c r="K13" s="495"/>
      <c r="L13" s="495"/>
      <c r="M13" s="495"/>
      <c r="N13" s="495"/>
      <c r="O13" s="495"/>
      <c r="P13" s="495"/>
      <c r="Q13" s="495"/>
      <c r="R13" s="495"/>
    </row>
    <row r="14" spans="1:25" s="497" customFormat="1" ht="41.25" customHeight="1">
      <c r="A14" s="496" t="s">
        <v>230</v>
      </c>
      <c r="B14" s="1335" t="s">
        <v>1526</v>
      </c>
      <c r="C14" s="1335" t="s">
        <v>1527</v>
      </c>
      <c r="D14" s="1335" t="s">
        <v>1528</v>
      </c>
      <c r="E14" s="1335" t="s">
        <v>1529</v>
      </c>
      <c r="F14" s="1335" t="s">
        <v>1530</v>
      </c>
      <c r="G14" s="1349"/>
      <c r="H14" s="1349"/>
      <c r="I14" s="1349"/>
      <c r="J14" s="1349"/>
      <c r="K14" s="1349"/>
      <c r="L14" s="1349"/>
      <c r="M14" s="1349"/>
      <c r="N14" s="1349"/>
      <c r="O14" s="1349"/>
      <c r="P14" s="1349"/>
      <c r="Q14" s="1349"/>
      <c r="R14" s="1349"/>
      <c r="S14" s="734" t="s">
        <v>500</v>
      </c>
      <c r="T14" s="511" t="s">
        <v>240</v>
      </c>
      <c r="U14" s="512">
        <v>109</v>
      </c>
      <c r="V14" s="512">
        <v>110</v>
      </c>
      <c r="W14" s="512">
        <v>111</v>
      </c>
      <c r="X14" s="512">
        <v>112</v>
      </c>
      <c r="Y14" s="1333">
        <v>113</v>
      </c>
    </row>
    <row r="15" spans="1:25" s="500" customFormat="1" ht="30" customHeight="1">
      <c r="A15" s="498" t="s">
        <v>231</v>
      </c>
      <c r="B15" s="499"/>
      <c r="C15" s="499"/>
      <c r="D15" s="499"/>
      <c r="E15" s="499"/>
      <c r="F15" s="499"/>
      <c r="G15" s="1350"/>
      <c r="H15" s="1350"/>
      <c r="I15" s="1350"/>
      <c r="J15" s="1350"/>
      <c r="K15" s="1350"/>
      <c r="L15" s="1350"/>
      <c r="M15" s="1350"/>
      <c r="N15" s="1350"/>
      <c r="O15" s="1350"/>
      <c r="P15" s="1350"/>
      <c r="Q15" s="1350"/>
      <c r="R15" s="1350"/>
      <c r="T15" s="513" t="s">
        <v>241</v>
      </c>
      <c r="U15" s="514"/>
      <c r="V15" s="514"/>
      <c r="W15" s="514"/>
      <c r="X15" s="514"/>
      <c r="Y15" s="695"/>
    </row>
    <row r="16" spans="1:25" s="503" customFormat="1" ht="30" customHeight="1">
      <c r="A16" s="501" t="s">
        <v>232</v>
      </c>
      <c r="B16" s="502">
        <v>694431339</v>
      </c>
      <c r="C16" s="502">
        <v>684752004</v>
      </c>
      <c r="D16" s="1032">
        <v>824288103</v>
      </c>
      <c r="E16" s="502">
        <f>593356838+1000000-2000</f>
        <v>594354838</v>
      </c>
      <c r="F16" s="502">
        <f>圖1!B21</f>
        <v>698902259</v>
      </c>
      <c r="G16" s="1351"/>
      <c r="H16" s="1351"/>
      <c r="I16" s="1351"/>
      <c r="J16" s="1351"/>
      <c r="K16" s="1351"/>
      <c r="L16" s="1351"/>
      <c r="M16" s="1351"/>
      <c r="N16" s="1351"/>
      <c r="O16" s="1351"/>
      <c r="P16" s="1351"/>
      <c r="Q16" s="1351"/>
      <c r="R16" s="1351"/>
      <c r="T16" s="515" t="s">
        <v>242</v>
      </c>
      <c r="U16" s="516">
        <f>+B16*1000</f>
        <v>694431339000</v>
      </c>
      <c r="V16" s="516">
        <f>+C16*1000</f>
        <v>684752004000</v>
      </c>
      <c r="W16" s="516">
        <f t="shared" ref="U16:X17" si="0">+D16*1000</f>
        <v>824288103000</v>
      </c>
      <c r="X16" s="516">
        <f>+E16*1000</f>
        <v>594354838000</v>
      </c>
      <c r="Y16" s="696">
        <f>+F16*1000</f>
        <v>698902259000</v>
      </c>
    </row>
    <row r="17" spans="1:25" s="503" customFormat="1" ht="30" customHeight="1">
      <c r="A17" s="501" t="s">
        <v>233</v>
      </c>
      <c r="B17" s="502">
        <v>332594</v>
      </c>
      <c r="C17" s="502">
        <v>323124</v>
      </c>
      <c r="D17" s="1032">
        <v>375845</v>
      </c>
      <c r="E17" s="502">
        <v>290887</v>
      </c>
      <c r="F17" s="502">
        <f>圖1!B26</f>
        <v>328255</v>
      </c>
      <c r="G17" s="1351"/>
      <c r="H17" s="1351"/>
      <c r="I17" s="1351"/>
      <c r="J17" s="1351"/>
      <c r="K17" s="1351"/>
      <c r="L17" s="1351"/>
      <c r="M17" s="1351"/>
      <c r="N17" s="1351"/>
      <c r="O17" s="1351"/>
      <c r="P17" s="1351"/>
      <c r="Q17" s="1351"/>
      <c r="R17" s="1351"/>
      <c r="T17" s="515" t="s">
        <v>243</v>
      </c>
      <c r="U17" s="516">
        <f t="shared" si="0"/>
        <v>332594000</v>
      </c>
      <c r="V17" s="516">
        <f t="shared" si="0"/>
        <v>323124000</v>
      </c>
      <c r="W17" s="516">
        <f t="shared" si="0"/>
        <v>375845000</v>
      </c>
      <c r="X17" s="516">
        <f t="shared" si="0"/>
        <v>290887000</v>
      </c>
      <c r="Y17" s="696">
        <f>+F17*1000</f>
        <v>328255000</v>
      </c>
    </row>
    <row r="18" spans="1:25" s="506" customFormat="1" ht="30" customHeight="1">
      <c r="A18" s="504" t="s">
        <v>234</v>
      </c>
      <c r="B18" s="505">
        <f>SUM(B16:B17)</f>
        <v>694763933</v>
      </c>
      <c r="C18" s="505">
        <f>SUM(C16:C17)</f>
        <v>685075128</v>
      </c>
      <c r="D18" s="1030">
        <f>SUM(D16:D17)</f>
        <v>824663948</v>
      </c>
      <c r="E18" s="505">
        <f t="shared" ref="E18:F18" si="1">SUM(E16:E17)</f>
        <v>594645725</v>
      </c>
      <c r="F18" s="505">
        <f t="shared" si="1"/>
        <v>699230514</v>
      </c>
      <c r="G18" s="1350"/>
      <c r="H18" s="1350"/>
      <c r="I18" s="1350"/>
      <c r="J18" s="1350"/>
      <c r="K18" s="1350"/>
      <c r="L18" s="1350"/>
      <c r="M18" s="1350"/>
      <c r="N18" s="1350"/>
      <c r="O18" s="1350"/>
      <c r="P18" s="1350"/>
      <c r="Q18" s="1350"/>
      <c r="R18" s="1350"/>
      <c r="T18" s="517" t="s">
        <v>244</v>
      </c>
      <c r="U18" s="518">
        <f>SUM(U16:U17)</f>
        <v>694763933000</v>
      </c>
      <c r="V18" s="518">
        <f>SUM(V16:V17)</f>
        <v>685075128000</v>
      </c>
      <c r="W18" s="518">
        <f>SUM(W16:W17)</f>
        <v>824663948000</v>
      </c>
      <c r="X18" s="518">
        <f>SUM(X16:X17)</f>
        <v>594645725000</v>
      </c>
      <c r="Y18" s="697">
        <f>SUM(Y16:Y17)</f>
        <v>699230514000</v>
      </c>
    </row>
    <row r="19" spans="1:25" s="506" customFormat="1" ht="30" customHeight="1">
      <c r="A19" s="507" t="s">
        <v>235</v>
      </c>
      <c r="B19" s="508"/>
      <c r="C19" s="508"/>
      <c r="D19" s="1031"/>
      <c r="E19" s="508"/>
      <c r="F19" s="508"/>
      <c r="G19" s="1350"/>
      <c r="H19" s="1350"/>
      <c r="I19" s="1350"/>
      <c r="J19" s="1350"/>
      <c r="K19" s="1350"/>
      <c r="L19" s="1350"/>
      <c r="M19" s="1350"/>
      <c r="N19" s="1350"/>
      <c r="O19" s="1350"/>
      <c r="P19" s="1350"/>
      <c r="Q19" s="1350"/>
      <c r="R19" s="1350"/>
      <c r="T19" s="519" t="str">
        <f>A19</f>
        <v>費用</v>
      </c>
      <c r="U19" s="520"/>
      <c r="V19" s="520"/>
      <c r="W19" s="520"/>
      <c r="X19" s="520"/>
      <c r="Y19" s="698"/>
    </row>
    <row r="20" spans="1:25" s="503" customFormat="1" ht="30" customHeight="1">
      <c r="A20" s="501" t="s">
        <v>236</v>
      </c>
      <c r="B20" s="502">
        <v>694763793</v>
      </c>
      <c r="C20" s="502">
        <v>685074680</v>
      </c>
      <c r="D20" s="1040">
        <v>824663226</v>
      </c>
      <c r="E20" s="502">
        <f>593647570+1000000-2000</f>
        <v>594645570</v>
      </c>
      <c r="F20" s="502">
        <f>圖1!D21</f>
        <v>699228480</v>
      </c>
      <c r="G20" s="1351"/>
      <c r="H20" s="1351"/>
      <c r="I20" s="1351"/>
      <c r="J20" s="1351"/>
      <c r="K20" s="1351"/>
      <c r="L20" s="1351"/>
      <c r="M20" s="1351"/>
      <c r="N20" s="1351"/>
      <c r="O20" s="1351"/>
      <c r="P20" s="1351"/>
      <c r="Q20" s="1351"/>
      <c r="R20" s="1351"/>
      <c r="T20" s="515" t="s">
        <v>245</v>
      </c>
      <c r="U20" s="516">
        <f t="shared" ref="U20:X21" si="2">+B20*1000</f>
        <v>694763793000</v>
      </c>
      <c r="V20" s="516">
        <f t="shared" si="2"/>
        <v>685074680000</v>
      </c>
      <c r="W20" s="516">
        <f t="shared" si="2"/>
        <v>824663226000</v>
      </c>
      <c r="X20" s="516">
        <f t="shared" si="2"/>
        <v>594645570000</v>
      </c>
      <c r="Y20" s="696">
        <f>+F20*1000</f>
        <v>699228480000</v>
      </c>
    </row>
    <row r="21" spans="1:25" s="503" customFormat="1" ht="30" customHeight="1">
      <c r="A21" s="501" t="s">
        <v>237</v>
      </c>
      <c r="B21" s="502">
        <v>140</v>
      </c>
      <c r="C21" s="502">
        <v>449</v>
      </c>
      <c r="D21" s="1040">
        <v>723</v>
      </c>
      <c r="E21" s="502">
        <v>155</v>
      </c>
      <c r="F21" s="502">
        <f>圖1!D26</f>
        <v>2034</v>
      </c>
      <c r="G21" s="1351"/>
      <c r="H21" s="1351"/>
      <c r="I21" s="1351"/>
      <c r="J21" s="1351"/>
      <c r="K21" s="1351"/>
      <c r="L21" s="1351"/>
      <c r="M21" s="1351"/>
      <c r="N21" s="1351"/>
      <c r="O21" s="1351"/>
      <c r="P21" s="1351"/>
      <c r="Q21" s="1351"/>
      <c r="R21" s="1351"/>
      <c r="T21" s="515" t="s">
        <v>246</v>
      </c>
      <c r="U21" s="516">
        <f t="shared" si="2"/>
        <v>140000</v>
      </c>
      <c r="V21" s="516">
        <f t="shared" si="2"/>
        <v>449000</v>
      </c>
      <c r="W21" s="516">
        <f t="shared" si="2"/>
        <v>723000</v>
      </c>
      <c r="X21" s="516">
        <f t="shared" si="2"/>
        <v>155000</v>
      </c>
      <c r="Y21" s="696">
        <f>+F21*1000</f>
        <v>2034000</v>
      </c>
    </row>
    <row r="22" spans="1:25" s="500" customFormat="1" ht="30" customHeight="1">
      <c r="A22" s="504" t="s">
        <v>238</v>
      </c>
      <c r="B22" s="505">
        <f>SUM(B20:B21)</f>
        <v>694763933</v>
      </c>
      <c r="C22" s="505">
        <f>SUM(C20:C21)-1</f>
        <v>685075128</v>
      </c>
      <c r="D22" s="1030">
        <f>SUM(D20:D21)-1</f>
        <v>824663948</v>
      </c>
      <c r="E22" s="505">
        <f t="shared" ref="E22:F22" si="3">SUM(E20:E21)</f>
        <v>594645725</v>
      </c>
      <c r="F22" s="505">
        <f t="shared" si="3"/>
        <v>699230514</v>
      </c>
      <c r="G22" s="1350"/>
      <c r="H22" s="1350"/>
      <c r="I22" s="1350"/>
      <c r="J22" s="1350"/>
      <c r="K22" s="1350"/>
      <c r="L22" s="1350"/>
      <c r="M22" s="1350"/>
      <c r="N22" s="1350"/>
      <c r="O22" s="1350"/>
      <c r="P22" s="1350"/>
      <c r="Q22" s="1350"/>
      <c r="R22" s="1350"/>
      <c r="T22" s="517" t="str">
        <f>A22</f>
        <v>費用合計</v>
      </c>
      <c r="U22" s="518">
        <f>SUM(U20:U21)</f>
        <v>694763933000</v>
      </c>
      <c r="V22" s="518">
        <f>+C22*1000</f>
        <v>685075128000</v>
      </c>
      <c r="W22" s="518">
        <f>SUM(W20:W21)</f>
        <v>824663949000</v>
      </c>
      <c r="X22" s="518">
        <f>SUM(X20:X21)</f>
        <v>594645725000</v>
      </c>
      <c r="Y22" s="697">
        <f>SUM(Y20:Y21)</f>
        <v>699230514000</v>
      </c>
    </row>
    <row r="23" spans="1:25" s="500" customFormat="1" ht="30" customHeight="1" thickBot="1">
      <c r="A23" s="509" t="s">
        <v>239</v>
      </c>
      <c r="B23" s="510">
        <f>B18-B22</f>
        <v>0</v>
      </c>
      <c r="C23" s="510">
        <f>C18-C22</f>
        <v>0</v>
      </c>
      <c r="D23" s="510">
        <f>D18-D22</f>
        <v>0</v>
      </c>
      <c r="E23" s="510">
        <f>E18-E22</f>
        <v>0</v>
      </c>
      <c r="F23" s="510">
        <f>F18-F22</f>
        <v>0</v>
      </c>
      <c r="G23" s="1352"/>
      <c r="H23" s="1352"/>
      <c r="I23" s="1352"/>
      <c r="J23" s="1352"/>
      <c r="K23" s="1352"/>
      <c r="L23" s="1352"/>
      <c r="M23" s="1352"/>
      <c r="N23" s="1352"/>
      <c r="O23" s="1352"/>
      <c r="P23" s="1352"/>
      <c r="Q23" s="1352"/>
      <c r="R23" s="1352"/>
      <c r="T23" s="521" t="s">
        <v>247</v>
      </c>
      <c r="U23" s="522">
        <f>U18-U22</f>
        <v>0</v>
      </c>
      <c r="V23" s="522">
        <f>V18-V22</f>
        <v>0</v>
      </c>
      <c r="W23" s="522">
        <f>W18-W22</f>
        <v>-1000</v>
      </c>
      <c r="X23" s="523">
        <f>X18-X22</f>
        <v>0</v>
      </c>
      <c r="Y23" s="524">
        <f>Y18-Y22</f>
        <v>0</v>
      </c>
    </row>
    <row r="24" spans="1:25" s="500" customFormat="1" ht="49.35" customHeight="1">
      <c r="A24" s="1356" t="s">
        <v>1521</v>
      </c>
      <c r="B24" s="1357"/>
      <c r="C24" s="1357"/>
      <c r="D24" s="1357"/>
      <c r="E24" s="1357"/>
      <c r="F24" s="1357"/>
      <c r="G24" s="1353"/>
      <c r="H24" s="1353"/>
      <c r="I24" s="1353"/>
      <c r="J24" s="1353"/>
      <c r="K24" s="1353"/>
      <c r="L24" s="1353"/>
      <c r="M24" s="1353"/>
      <c r="N24" s="1353"/>
      <c r="O24" s="1353"/>
      <c r="P24" s="1353"/>
      <c r="Q24" s="1353"/>
      <c r="R24" s="1353"/>
      <c r="S24" s="736"/>
    </row>
    <row r="25" spans="1:25" ht="30" customHeight="1"/>
    <row r="26" spans="1:25" ht="30" customHeight="1"/>
    <row r="27" spans="1:25" ht="30" customHeight="1"/>
    <row r="28" spans="1:25" ht="30" customHeight="1"/>
    <row r="29" spans="1:25" ht="30" customHeight="1"/>
    <row r="30" spans="1:25" ht="30" customHeight="1"/>
    <row r="31" spans="1:25" ht="30" customHeight="1"/>
    <row r="32" spans="1:25" ht="30" customHeight="1"/>
    <row r="33" ht="30" customHeight="1"/>
    <row r="34" ht="30" customHeight="1"/>
    <row r="35" ht="30" customHeight="1"/>
    <row r="36" ht="30" customHeight="1"/>
    <row r="37" ht="30" customHeight="1"/>
    <row r="38" ht="30" customHeight="1"/>
  </sheetData>
  <mergeCells count="1">
    <mergeCell ref="A24:F24"/>
  </mergeCells>
  <phoneticPr fontId="6" type="noConversion"/>
  <printOptions horizontalCentered="1"/>
  <pageMargins left="0.59055118110236227" right="0.59055118110236227" top="0.59055118110236227" bottom="0.78740157480314965" header="0.51181102362204722" footer="0.51181102362204722"/>
  <pageSetup paperSize="9" firstPageNumber="8" orientation="portrait" useFirstPageNumber="1" r:id="rId1"/>
  <headerFooter alignWithMargins="0">
    <oddFooter xml:space="preserve">&amp;C&amp;"Times New Roman,標準"&amp;12 &amp;P </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152"/>
  <sheetViews>
    <sheetView view="pageBreakPreview" topLeftCell="A27" zoomScale="120" zoomScaleNormal="100" zoomScaleSheetLayoutView="120" workbookViewId="0">
      <selection activeCell="G28" sqref="G28"/>
    </sheetView>
  </sheetViews>
  <sheetFormatPr defaultColWidth="9" defaultRowHeight="16.5"/>
  <cols>
    <col min="1" max="1" width="10.5" customWidth="1"/>
    <col min="2" max="2" width="6.5" customWidth="1"/>
    <col min="3" max="3" width="20.125" customWidth="1"/>
    <col min="4" max="4" width="10.5" customWidth="1"/>
    <col min="5" max="5" width="6.5" customWidth="1"/>
    <col min="6" max="6" width="10.5" customWidth="1"/>
    <col min="7" max="7" width="6.5" customWidth="1"/>
    <col min="8" max="8" width="10.625" customWidth="1"/>
    <col min="9" max="9" width="8.375" customWidth="1"/>
    <col min="10" max="10" width="9.5" customWidth="1"/>
    <col min="11" max="11" width="11.75" hidden="1" customWidth="1"/>
    <col min="12" max="12" width="13.625" hidden="1" customWidth="1"/>
    <col min="13" max="13" width="10.875" hidden="1" customWidth="1"/>
    <col min="14" max="14" width="9.75" customWidth="1"/>
  </cols>
  <sheetData>
    <row r="1" spans="1:13" ht="21" customHeight="1">
      <c r="A1" s="1368" t="s">
        <v>599</v>
      </c>
      <c r="B1" s="1369"/>
      <c r="C1" s="1369"/>
      <c r="D1" s="1369"/>
      <c r="E1" s="1369"/>
      <c r="F1" s="1369"/>
      <c r="G1" s="1369"/>
      <c r="H1" s="1369"/>
      <c r="I1" s="1369"/>
      <c r="J1" s="2"/>
      <c r="K1" s="2"/>
      <c r="L1" s="2"/>
      <c r="M1" s="2"/>
    </row>
    <row r="2" spans="1:13" ht="21" customHeight="1">
      <c r="A2" s="1368" t="s">
        <v>600</v>
      </c>
      <c r="B2" s="1369"/>
      <c r="C2" s="1369"/>
      <c r="D2" s="1369"/>
      <c r="E2" s="1369"/>
      <c r="F2" s="1369"/>
      <c r="G2" s="1369"/>
      <c r="H2" s="1369"/>
      <c r="I2" s="1369"/>
      <c r="J2" s="2"/>
      <c r="K2" s="2"/>
      <c r="L2" s="2"/>
      <c r="M2" s="2"/>
    </row>
    <row r="3" spans="1:13" ht="24.95" customHeight="1">
      <c r="A3" s="1370" t="s">
        <v>601</v>
      </c>
      <c r="B3" s="1371"/>
      <c r="C3" s="1371"/>
      <c r="D3" s="1371"/>
      <c r="E3" s="1371"/>
      <c r="F3" s="1371"/>
      <c r="G3" s="1371"/>
      <c r="H3" s="1371"/>
      <c r="I3" s="1371"/>
      <c r="J3" s="2"/>
      <c r="K3" s="2"/>
      <c r="L3" s="2"/>
      <c r="M3" s="2"/>
    </row>
    <row r="4" spans="1:13" ht="24.95" customHeight="1" thickBot="1">
      <c r="A4" s="1372" t="s">
        <v>1269</v>
      </c>
      <c r="B4" s="1373"/>
      <c r="C4" s="1373"/>
      <c r="D4" s="1373"/>
      <c r="E4" s="1373"/>
      <c r="F4" s="1373"/>
      <c r="G4" s="1373"/>
      <c r="H4" s="1373"/>
      <c r="I4" s="1373"/>
      <c r="J4" s="2"/>
      <c r="K4" s="2"/>
      <c r="L4" s="2"/>
      <c r="M4" s="2"/>
    </row>
    <row r="5" spans="1:13" ht="21" customHeight="1">
      <c r="A5" s="1374" t="s">
        <v>602</v>
      </c>
      <c r="B5" s="1375"/>
      <c r="C5" s="1376" t="s">
        <v>15</v>
      </c>
      <c r="D5" s="1378" t="s">
        <v>603</v>
      </c>
      <c r="E5" s="1379"/>
      <c r="F5" s="1376" t="s">
        <v>604</v>
      </c>
      <c r="G5" s="1375"/>
      <c r="H5" s="1378" t="s">
        <v>1106</v>
      </c>
      <c r="I5" s="1380"/>
      <c r="J5" s="2"/>
      <c r="K5" s="2"/>
      <c r="L5" s="2"/>
      <c r="M5" s="2"/>
    </row>
    <row r="6" spans="1:13" ht="19.5" customHeight="1">
      <c r="A6" s="154" t="s">
        <v>606</v>
      </c>
      <c r="B6" s="859" t="s">
        <v>8</v>
      </c>
      <c r="C6" s="1377"/>
      <c r="D6" s="274" t="s">
        <v>606</v>
      </c>
      <c r="E6" s="275" t="s">
        <v>8</v>
      </c>
      <c r="F6" s="859" t="s">
        <v>606</v>
      </c>
      <c r="G6" s="859" t="s">
        <v>8</v>
      </c>
      <c r="H6" s="859" t="s">
        <v>606</v>
      </c>
      <c r="I6" s="276" t="s">
        <v>8</v>
      </c>
      <c r="J6" s="2"/>
      <c r="K6" s="2"/>
      <c r="L6" s="2"/>
      <c r="M6" s="2"/>
    </row>
    <row r="7" spans="1:13" ht="9" customHeight="1">
      <c r="A7" s="163"/>
      <c r="B7" s="164"/>
      <c r="C7" s="165"/>
      <c r="D7" s="166"/>
      <c r="E7" s="277"/>
      <c r="F7" s="164"/>
      <c r="G7" s="164"/>
      <c r="H7" s="849"/>
      <c r="I7" s="850"/>
      <c r="J7" s="2"/>
      <c r="K7" s="2"/>
      <c r="L7" s="2"/>
      <c r="M7" s="2"/>
    </row>
    <row r="8" spans="1:13" s="30" customFormat="1" ht="26.25" customHeight="1">
      <c r="A8" s="293">
        <v>824288103</v>
      </c>
      <c r="B8" s="294">
        <v>100</v>
      </c>
      <c r="C8" s="258" t="s">
        <v>16</v>
      </c>
      <c r="D8" s="304">
        <f>SUM(D9,D12,D31,D43)</f>
        <v>698902259</v>
      </c>
      <c r="E8" s="305">
        <v>100</v>
      </c>
      <c r="F8" s="304">
        <f>SUM(F9,F12,F31,F43)</f>
        <v>594354838</v>
      </c>
      <c r="G8" s="294">
        <v>100</v>
      </c>
      <c r="H8" s="314">
        <f t="shared" ref="H8:H66" si="0">D8-F8</f>
        <v>104547421</v>
      </c>
      <c r="I8" s="315">
        <f t="shared" ref="I8:I66" si="1">ROUND(H8/F8*100,2)</f>
        <v>17.59</v>
      </c>
      <c r="K8" s="214">
        <f t="shared" ref="K8:K67" si="2">ROUND(A8/$A$8*100,5)</f>
        <v>100</v>
      </c>
      <c r="L8" s="214">
        <f t="shared" ref="L8:L67" si="3">ROUND(D8/$D$8*100,5)</f>
        <v>100</v>
      </c>
      <c r="M8" s="214">
        <f>ROUND(F8/$F$8*100,5)</f>
        <v>100</v>
      </c>
    </row>
    <row r="9" spans="1:13" s="30" customFormat="1" ht="25.15" customHeight="1">
      <c r="A9" s="293">
        <v>274738</v>
      </c>
      <c r="B9" s="294">
        <f t="shared" ref="B9:B68" si="4">ROUND(A9/$A$8*100,2)</f>
        <v>0.03</v>
      </c>
      <c r="C9" s="258" t="s">
        <v>607</v>
      </c>
      <c r="D9" s="1269">
        <f>+D10</f>
        <v>274530</v>
      </c>
      <c r="E9" s="305">
        <f t="shared" ref="E9" si="5">ROUND(D9/$D$8*100,2)</f>
        <v>0.04</v>
      </c>
      <c r="F9" s="304">
        <f>+F10</f>
        <v>281803</v>
      </c>
      <c r="G9" s="294">
        <f t="shared" ref="G9" si="6">ROUND(F9/$F$8*100,2)</f>
        <v>0.05</v>
      </c>
      <c r="H9" s="314">
        <f>D9-F9</f>
        <v>-7273</v>
      </c>
      <c r="I9" s="315">
        <f>ROUND(H9/F9*100,2)</f>
        <v>-2.58</v>
      </c>
      <c r="K9" s="214">
        <f t="shared" si="2"/>
        <v>3.3329999999999999E-2</v>
      </c>
      <c r="L9" s="214">
        <f t="shared" si="3"/>
        <v>3.9280000000000002E-2</v>
      </c>
      <c r="M9" s="214">
        <f t="shared" ref="M9" si="7">ROUND(F9/$F$8*100,5)</f>
        <v>4.7410000000000001E-2</v>
      </c>
    </row>
    <row r="10" spans="1:13" s="858" customFormat="1" ht="25.15" customHeight="1">
      <c r="A10" s="295">
        <v>274738</v>
      </c>
      <c r="B10" s="296">
        <f t="shared" si="4"/>
        <v>0.03</v>
      </c>
      <c r="C10" s="259" t="s">
        <v>608</v>
      </c>
      <c r="D10" s="307">
        <f>D11</f>
        <v>274530</v>
      </c>
      <c r="E10" s="308">
        <f>ROUND(D10/$D$8*100,2)</f>
        <v>0.04</v>
      </c>
      <c r="F10" s="307">
        <f>F11</f>
        <v>281803</v>
      </c>
      <c r="G10" s="296">
        <f>ROUND(F10/$F$8*100,2)</f>
        <v>0.05</v>
      </c>
      <c r="H10" s="310">
        <f t="shared" si="0"/>
        <v>-7273</v>
      </c>
      <c r="I10" s="311">
        <f t="shared" si="1"/>
        <v>-2.58</v>
      </c>
      <c r="K10" s="215">
        <f t="shared" si="2"/>
        <v>3.3329999999999999E-2</v>
      </c>
      <c r="L10" s="215">
        <f t="shared" si="3"/>
        <v>3.9280000000000002E-2</v>
      </c>
      <c r="M10" s="215">
        <f>ROUND(F10/$F$8*100,5)</f>
        <v>4.7410000000000001E-2</v>
      </c>
    </row>
    <row r="11" spans="1:13" s="858" customFormat="1" ht="25.15" customHeight="1">
      <c r="A11" s="295">
        <v>274738</v>
      </c>
      <c r="B11" s="296">
        <f t="shared" si="4"/>
        <v>0.03</v>
      </c>
      <c r="C11" s="259" t="s">
        <v>1206</v>
      </c>
      <c r="D11" s="307">
        <v>274530</v>
      </c>
      <c r="E11" s="308">
        <f>ROUND(D11/$D$8*100,2)</f>
        <v>0.04</v>
      </c>
      <c r="F11" s="307">
        <v>281803</v>
      </c>
      <c r="G11" s="296">
        <f>ROUND(F11/$F$8*100,2)</f>
        <v>0.05</v>
      </c>
      <c r="H11" s="310">
        <f t="shared" si="0"/>
        <v>-7273</v>
      </c>
      <c r="I11" s="311">
        <f t="shared" si="1"/>
        <v>-2.58</v>
      </c>
      <c r="K11" s="215">
        <f t="shared" si="2"/>
        <v>3.3329999999999999E-2</v>
      </c>
      <c r="L11" s="215">
        <f t="shared" si="3"/>
        <v>3.9280000000000002E-2</v>
      </c>
      <c r="M11" s="215">
        <f>ROUND(F11/$F$8*100,5)</f>
        <v>4.7410000000000001E-2</v>
      </c>
    </row>
    <row r="12" spans="1:13" s="30" customFormat="1" ht="25.15" customHeight="1">
      <c r="A12" s="293">
        <v>236073394</v>
      </c>
      <c r="B12" s="294">
        <f t="shared" si="4"/>
        <v>28.64</v>
      </c>
      <c r="C12" s="258" t="s">
        <v>609</v>
      </c>
      <c r="D12" s="1269">
        <f>D13+D17+D20+D23+D25</f>
        <v>32289141</v>
      </c>
      <c r="E12" s="305">
        <f t="shared" ref="E12" si="8">ROUND(D12/$D$8*100,2)</f>
        <v>4.62</v>
      </c>
      <c r="F12" s="304">
        <f>F13+F17+F20+F23+F25</f>
        <v>33656887</v>
      </c>
      <c r="G12" s="294">
        <f t="shared" ref="G12:G71" si="9">ROUND(F12/$F$8*100,2)</f>
        <v>5.66</v>
      </c>
      <c r="H12" s="314">
        <f t="shared" si="0"/>
        <v>-1367746</v>
      </c>
      <c r="I12" s="315">
        <f t="shared" si="1"/>
        <v>-4.0599999999999996</v>
      </c>
      <c r="K12" s="214">
        <f t="shared" si="2"/>
        <v>28.639669999999999</v>
      </c>
      <c r="L12" s="214">
        <f t="shared" si="3"/>
        <v>4.61998</v>
      </c>
      <c r="M12" s="214">
        <f t="shared" ref="M12:M120" si="10">ROUND(F12/$F$8*100,5)</f>
        <v>5.6627599999999996</v>
      </c>
    </row>
    <row r="13" spans="1:13" s="858" customFormat="1" ht="25.15" customHeight="1">
      <c r="A13" s="295">
        <v>156945286</v>
      </c>
      <c r="B13" s="296">
        <f t="shared" si="4"/>
        <v>19.04</v>
      </c>
      <c r="C13" s="259" t="s">
        <v>610</v>
      </c>
      <c r="D13" s="307">
        <f>SUM(D14:D16)</f>
        <v>29893159</v>
      </c>
      <c r="E13" s="308">
        <f>ROUND(D13/$D$8*100,2)</f>
        <v>4.28</v>
      </c>
      <c r="F13" s="307">
        <f>SUM(F14:F16)</f>
        <v>32208366</v>
      </c>
      <c r="G13" s="296">
        <f>ROUND(F13/$F$8*100,2)</f>
        <v>5.42</v>
      </c>
      <c r="H13" s="310">
        <f>D13-F13</f>
        <v>-2315207</v>
      </c>
      <c r="I13" s="311">
        <f t="shared" si="1"/>
        <v>-7.19</v>
      </c>
      <c r="K13" s="215">
        <f t="shared" si="2"/>
        <v>19.040099999999999</v>
      </c>
      <c r="L13" s="215">
        <f t="shared" si="3"/>
        <v>4.2771600000000003</v>
      </c>
      <c r="M13" s="215">
        <f>ROUND(F13/$F$8*100,5)</f>
        <v>5.4190500000000004</v>
      </c>
    </row>
    <row r="14" spans="1:13" s="858" customFormat="1" ht="25.15" customHeight="1">
      <c r="A14" s="295">
        <v>154822344</v>
      </c>
      <c r="B14" s="296">
        <f t="shared" si="4"/>
        <v>18.78</v>
      </c>
      <c r="C14" s="259" t="s">
        <v>1206</v>
      </c>
      <c r="D14" s="307">
        <f>26118743+1764559</f>
        <v>27883302</v>
      </c>
      <c r="E14" s="308">
        <f>ROUND(D14/$D$8*100,2)</f>
        <v>3.99</v>
      </c>
      <c r="F14" s="1268">
        <f>29730742+1000000</f>
        <v>30730742</v>
      </c>
      <c r="G14" s="296">
        <f>ROUND(F14/$F$8*100,2)</f>
        <v>5.17</v>
      </c>
      <c r="H14" s="310">
        <f t="shared" si="0"/>
        <v>-2847440</v>
      </c>
      <c r="I14" s="311">
        <f t="shared" si="1"/>
        <v>-9.27</v>
      </c>
      <c r="K14" s="215">
        <f t="shared" si="2"/>
        <v>18.782550000000001</v>
      </c>
      <c r="L14" s="215">
        <f t="shared" si="3"/>
        <v>3.9895900000000002</v>
      </c>
      <c r="M14" s="215">
        <f>ROUND(F14/$F$8*100,5)</f>
        <v>5.1704400000000001</v>
      </c>
    </row>
    <row r="15" spans="1:13" s="858" customFormat="1" ht="25.15" customHeight="1">
      <c r="A15" s="295">
        <v>2039280</v>
      </c>
      <c r="B15" s="344">
        <f t="shared" si="4"/>
        <v>0.25</v>
      </c>
      <c r="C15" s="259" t="s">
        <v>611</v>
      </c>
      <c r="D15" s="307">
        <f>1885175-2427</f>
        <v>1882748</v>
      </c>
      <c r="E15" s="308">
        <f>ROUND(D15/$D$8*100,2)</f>
        <v>0.27</v>
      </c>
      <c r="F15" s="307">
        <v>1373700</v>
      </c>
      <c r="G15" s="296">
        <f>ROUND(F15/$F$8*100,2)</f>
        <v>0.23</v>
      </c>
      <c r="H15" s="310">
        <f t="shared" si="0"/>
        <v>509048</v>
      </c>
      <c r="I15" s="311">
        <f t="shared" si="1"/>
        <v>37.06</v>
      </c>
      <c r="K15" s="215">
        <f t="shared" si="2"/>
        <v>0.24740000000000001</v>
      </c>
      <c r="L15" s="215">
        <f t="shared" si="3"/>
        <v>0.26939000000000002</v>
      </c>
      <c r="M15" s="215">
        <f>ROUND(F15/$F$8*100,5)</f>
        <v>0.23111999999999999</v>
      </c>
    </row>
    <row r="16" spans="1:13" s="884" customFormat="1" ht="25.15" customHeight="1">
      <c r="A16" s="295">
        <v>83662</v>
      </c>
      <c r="B16" s="296">
        <f t="shared" ref="B16" si="11">ROUND(A16/$A$8*100,2)</f>
        <v>0.01</v>
      </c>
      <c r="C16" s="259" t="s">
        <v>707</v>
      </c>
      <c r="D16" s="307">
        <v>127109</v>
      </c>
      <c r="E16" s="308">
        <f>ROUND(D16/$D$8*100,2)</f>
        <v>0.02</v>
      </c>
      <c r="F16" s="307">
        <v>103924</v>
      </c>
      <c r="G16" s="296">
        <f>ROUND(F16/$F$8*100,2)</f>
        <v>0.02</v>
      </c>
      <c r="H16" s="310">
        <f t="shared" ref="H16" si="12">D16-F16</f>
        <v>23185</v>
      </c>
      <c r="I16" s="311">
        <f t="shared" si="1"/>
        <v>22.31</v>
      </c>
      <c r="K16" s="215">
        <f t="shared" si="2"/>
        <v>1.0149999999999999E-2</v>
      </c>
      <c r="L16" s="215">
        <f t="shared" si="3"/>
        <v>1.8190000000000001E-2</v>
      </c>
      <c r="M16" s="215">
        <f>ROUND(F16/$F$8*100,5)</f>
        <v>1.7489999999999999E-2</v>
      </c>
    </row>
    <row r="17" spans="1:13" s="858" customFormat="1" ht="25.15" customHeight="1">
      <c r="A17" s="295">
        <v>554942</v>
      </c>
      <c r="B17" s="296">
        <f t="shared" si="4"/>
        <v>7.0000000000000007E-2</v>
      </c>
      <c r="C17" s="259" t="s">
        <v>612</v>
      </c>
      <c r="D17" s="307">
        <f>D18</f>
        <v>622948</v>
      </c>
      <c r="E17" s="308">
        <f t="shared" ref="E17:E74" si="13">ROUND(D17/$D$8*100,2)</f>
        <v>0.09</v>
      </c>
      <c r="F17" s="307">
        <f>F18</f>
        <v>536665</v>
      </c>
      <c r="G17" s="296">
        <f t="shared" si="9"/>
        <v>0.09</v>
      </c>
      <c r="H17" s="310">
        <f t="shared" si="0"/>
        <v>86283</v>
      </c>
      <c r="I17" s="311">
        <f t="shared" si="1"/>
        <v>16.079999999999998</v>
      </c>
      <c r="K17" s="215">
        <f t="shared" si="2"/>
        <v>6.7320000000000005E-2</v>
      </c>
      <c r="L17" s="215">
        <f t="shared" si="3"/>
        <v>8.9130000000000001E-2</v>
      </c>
      <c r="M17" s="215">
        <f t="shared" si="10"/>
        <v>9.0289999999999995E-2</v>
      </c>
    </row>
    <row r="18" spans="1:13" s="858" customFormat="1" ht="25.15" customHeight="1">
      <c r="A18" s="295">
        <v>550586</v>
      </c>
      <c r="B18" s="296">
        <f t="shared" si="4"/>
        <v>7.0000000000000007E-2</v>
      </c>
      <c r="C18" s="259" t="s">
        <v>1206</v>
      </c>
      <c r="D18" s="307">
        <f>618695+4253</f>
        <v>622948</v>
      </c>
      <c r="E18" s="308">
        <f t="shared" si="13"/>
        <v>0.09</v>
      </c>
      <c r="F18" s="307">
        <f>512400+23864+401</f>
        <v>536665</v>
      </c>
      <c r="G18" s="296">
        <f t="shared" si="9"/>
        <v>0.09</v>
      </c>
      <c r="H18" s="310">
        <f t="shared" si="0"/>
        <v>86283</v>
      </c>
      <c r="I18" s="311">
        <f t="shared" si="1"/>
        <v>16.079999999999998</v>
      </c>
      <c r="K18" s="215">
        <f t="shared" si="2"/>
        <v>6.6799999999999998E-2</v>
      </c>
      <c r="L18" s="215">
        <f>ROUND(D18/$D$8*100,5)</f>
        <v>8.9130000000000001E-2</v>
      </c>
      <c r="M18" s="215">
        <f>ROUND(F18/$F$8*100,5)</f>
        <v>9.0289999999999995E-2</v>
      </c>
    </row>
    <row r="19" spans="1:13" s="1148" customFormat="1" ht="25.15" customHeight="1">
      <c r="A19" s="295">
        <v>4355</v>
      </c>
      <c r="B19" s="296">
        <f t="shared" si="4"/>
        <v>0</v>
      </c>
      <c r="C19" s="259" t="s">
        <v>611</v>
      </c>
      <c r="D19" s="307">
        <v>0</v>
      </c>
      <c r="E19" s="308">
        <f t="shared" ref="E19" si="14">ROUND(D19/$D$8*100,2)</f>
        <v>0</v>
      </c>
      <c r="F19" s="307">
        <v>0</v>
      </c>
      <c r="G19" s="296">
        <f t="shared" ref="G19" si="15">ROUND(F19/$F$8*100,2)</f>
        <v>0</v>
      </c>
      <c r="H19" s="307">
        <v>0</v>
      </c>
      <c r="I19" s="309">
        <v>0</v>
      </c>
      <c r="K19" s="215">
        <f t="shared" si="2"/>
        <v>5.2999999999999998E-4</v>
      </c>
      <c r="L19" s="215"/>
      <c r="M19" s="215"/>
    </row>
    <row r="20" spans="1:13" s="858" customFormat="1" ht="25.15" customHeight="1">
      <c r="A20" s="295">
        <v>76966191</v>
      </c>
      <c r="B20" s="296">
        <f t="shared" si="4"/>
        <v>9.34</v>
      </c>
      <c r="C20" s="259" t="s">
        <v>1522</v>
      </c>
      <c r="D20" s="307">
        <f>SUM(D21:D22)</f>
        <v>0</v>
      </c>
      <c r="E20" s="308">
        <f t="shared" si="13"/>
        <v>0</v>
      </c>
      <c r="F20" s="307">
        <f>SUM(F21:F22)</f>
        <v>0</v>
      </c>
      <c r="G20" s="296">
        <f t="shared" si="9"/>
        <v>0</v>
      </c>
      <c r="H20" s="307">
        <f>H21</f>
        <v>0</v>
      </c>
      <c r="I20" s="309">
        <v>0</v>
      </c>
      <c r="K20" s="215">
        <f t="shared" si="2"/>
        <v>9.3372899999999994</v>
      </c>
      <c r="L20" s="215">
        <f t="shared" si="3"/>
        <v>0</v>
      </c>
      <c r="M20" s="215">
        <f t="shared" si="10"/>
        <v>0</v>
      </c>
    </row>
    <row r="21" spans="1:13" s="858" customFormat="1" ht="25.15" customHeight="1">
      <c r="A21" s="295">
        <v>72353932</v>
      </c>
      <c r="B21" s="296">
        <f t="shared" si="4"/>
        <v>8.7799999999999994</v>
      </c>
      <c r="C21" s="259" t="s">
        <v>1206</v>
      </c>
      <c r="D21" s="307">
        <f>2911000-2911000</f>
        <v>0</v>
      </c>
      <c r="E21" s="308">
        <f t="shared" si="13"/>
        <v>0</v>
      </c>
      <c r="F21" s="307">
        <v>0</v>
      </c>
      <c r="G21" s="296">
        <f t="shared" si="9"/>
        <v>0</v>
      </c>
      <c r="H21" s="307">
        <v>0</v>
      </c>
      <c r="I21" s="309">
        <v>0</v>
      </c>
      <c r="K21" s="215">
        <f t="shared" si="2"/>
        <v>8.7777499999999993</v>
      </c>
      <c r="L21" s="215">
        <f t="shared" si="3"/>
        <v>0</v>
      </c>
      <c r="M21" s="215">
        <f t="shared" si="10"/>
        <v>0</v>
      </c>
    </row>
    <row r="22" spans="1:13" s="858" customFormat="1" ht="25.15" customHeight="1">
      <c r="A22" s="295">
        <v>4612259</v>
      </c>
      <c r="B22" s="296">
        <f t="shared" si="4"/>
        <v>0.56000000000000005</v>
      </c>
      <c r="C22" s="259" t="s">
        <v>613</v>
      </c>
      <c r="D22" s="307">
        <f>227000-227000</f>
        <v>0</v>
      </c>
      <c r="E22" s="308">
        <f t="shared" si="13"/>
        <v>0</v>
      </c>
      <c r="F22" s="307">
        <v>0</v>
      </c>
      <c r="G22" s="296">
        <f t="shared" si="9"/>
        <v>0</v>
      </c>
      <c r="H22" s="307">
        <v>0</v>
      </c>
      <c r="I22" s="309">
        <v>0</v>
      </c>
      <c r="K22" s="215">
        <f t="shared" si="2"/>
        <v>0.55954000000000004</v>
      </c>
      <c r="L22" s="215">
        <f t="shared" si="3"/>
        <v>0</v>
      </c>
      <c r="M22" s="215">
        <f t="shared" si="10"/>
        <v>0</v>
      </c>
    </row>
    <row r="23" spans="1:13" s="858" customFormat="1" ht="25.15" customHeight="1">
      <c r="A23" s="295">
        <v>277284</v>
      </c>
      <c r="B23" s="296">
        <f t="shared" si="4"/>
        <v>0.03</v>
      </c>
      <c r="C23" s="259" t="s">
        <v>614</v>
      </c>
      <c r="D23" s="307">
        <f>D24</f>
        <v>0</v>
      </c>
      <c r="E23" s="308">
        <f t="shared" si="13"/>
        <v>0</v>
      </c>
      <c r="F23" s="307">
        <f>F24</f>
        <v>0</v>
      </c>
      <c r="G23" s="296">
        <f t="shared" si="9"/>
        <v>0</v>
      </c>
      <c r="H23" s="307">
        <f t="shared" ref="H23:H24" si="16">D23-F23</f>
        <v>0</v>
      </c>
      <c r="I23" s="309">
        <v>0</v>
      </c>
      <c r="K23" s="215">
        <f t="shared" si="2"/>
        <v>3.3640000000000003E-2</v>
      </c>
      <c r="L23" s="215">
        <f t="shared" si="3"/>
        <v>0</v>
      </c>
      <c r="M23" s="215">
        <f t="shared" si="10"/>
        <v>0</v>
      </c>
    </row>
    <row r="24" spans="1:13" s="858" customFormat="1" ht="25.15" customHeight="1">
      <c r="A24" s="295">
        <v>277284</v>
      </c>
      <c r="B24" s="296">
        <f>ROUND(A24/$A$8*100,2)</f>
        <v>0.03</v>
      </c>
      <c r="C24" s="259" t="s">
        <v>1206</v>
      </c>
      <c r="D24" s="307">
        <v>0</v>
      </c>
      <c r="E24" s="308">
        <f t="shared" si="13"/>
        <v>0</v>
      </c>
      <c r="F24" s="307">
        <v>0</v>
      </c>
      <c r="G24" s="296">
        <f t="shared" si="9"/>
        <v>0</v>
      </c>
      <c r="H24" s="307">
        <f t="shared" si="16"/>
        <v>0</v>
      </c>
      <c r="I24" s="309">
        <v>0</v>
      </c>
      <c r="K24" s="215">
        <f t="shared" si="2"/>
        <v>3.3640000000000003E-2</v>
      </c>
      <c r="L24" s="215">
        <f t="shared" si="3"/>
        <v>0</v>
      </c>
      <c r="M24" s="215">
        <f t="shared" si="10"/>
        <v>0</v>
      </c>
    </row>
    <row r="25" spans="1:13" s="858" customFormat="1" ht="25.15" customHeight="1">
      <c r="A25" s="295">
        <v>1329691</v>
      </c>
      <c r="B25" s="296">
        <f t="shared" si="4"/>
        <v>0.16</v>
      </c>
      <c r="C25" s="259" t="s">
        <v>615</v>
      </c>
      <c r="D25" s="307">
        <f>SUM(D26:D30)</f>
        <v>1773034</v>
      </c>
      <c r="E25" s="308">
        <f t="shared" si="13"/>
        <v>0.25</v>
      </c>
      <c r="F25" s="307">
        <f>SUM(F26:F30)</f>
        <v>911856</v>
      </c>
      <c r="G25" s="296">
        <f t="shared" si="9"/>
        <v>0.15</v>
      </c>
      <c r="H25" s="310">
        <f t="shared" si="0"/>
        <v>861178</v>
      </c>
      <c r="I25" s="311">
        <f t="shared" si="1"/>
        <v>94.44</v>
      </c>
      <c r="K25" s="215">
        <f t="shared" si="2"/>
        <v>0.16131000000000001</v>
      </c>
      <c r="L25" s="215">
        <f t="shared" si="3"/>
        <v>0.25369000000000003</v>
      </c>
      <c r="M25" s="215">
        <f t="shared" si="10"/>
        <v>0.15342</v>
      </c>
    </row>
    <row r="26" spans="1:13" s="858" customFormat="1" ht="25.15" customHeight="1">
      <c r="A26" s="295">
        <v>751188</v>
      </c>
      <c r="B26" s="296">
        <f t="shared" si="4"/>
        <v>0.09</v>
      </c>
      <c r="C26" s="259" t="s">
        <v>1206</v>
      </c>
      <c r="D26" s="307">
        <f>919847+81571</f>
        <v>1001418</v>
      </c>
      <c r="E26" s="308">
        <f t="shared" si="13"/>
        <v>0.14000000000000001</v>
      </c>
      <c r="F26" s="307">
        <v>576503</v>
      </c>
      <c r="G26" s="296">
        <f t="shared" si="9"/>
        <v>0.1</v>
      </c>
      <c r="H26" s="310">
        <f t="shared" si="0"/>
        <v>424915</v>
      </c>
      <c r="I26" s="311">
        <f t="shared" si="1"/>
        <v>73.709999999999994</v>
      </c>
      <c r="K26" s="215">
        <f t="shared" si="2"/>
        <v>9.1130000000000003E-2</v>
      </c>
      <c r="L26" s="215">
        <f t="shared" si="3"/>
        <v>0.14327999999999999</v>
      </c>
      <c r="M26" s="215">
        <f t="shared" si="10"/>
        <v>9.7000000000000003E-2</v>
      </c>
    </row>
    <row r="27" spans="1:13" s="858" customFormat="1" ht="25.15" customHeight="1">
      <c r="A27" s="295">
        <v>362641</v>
      </c>
      <c r="B27" s="296">
        <f t="shared" si="4"/>
        <v>0.04</v>
      </c>
      <c r="C27" s="259" t="s">
        <v>613</v>
      </c>
      <c r="D27" s="307">
        <f>483522-639</f>
        <v>482883</v>
      </c>
      <c r="E27" s="308">
        <f t="shared" si="13"/>
        <v>7.0000000000000007E-2</v>
      </c>
      <c r="F27" s="307">
        <v>190342</v>
      </c>
      <c r="G27" s="296">
        <f t="shared" si="9"/>
        <v>0.03</v>
      </c>
      <c r="H27" s="310">
        <f t="shared" si="0"/>
        <v>292541</v>
      </c>
      <c r="I27" s="311">
        <f t="shared" si="1"/>
        <v>153.69</v>
      </c>
      <c r="K27" s="215">
        <f t="shared" si="2"/>
        <v>4.3990000000000001E-2</v>
      </c>
      <c r="L27" s="215">
        <f t="shared" si="3"/>
        <v>6.9089999999999999E-2</v>
      </c>
      <c r="M27" s="215">
        <f t="shared" si="10"/>
        <v>3.202E-2</v>
      </c>
    </row>
    <row r="28" spans="1:13" s="858" customFormat="1" ht="25.15" customHeight="1">
      <c r="A28" s="295">
        <v>901</v>
      </c>
      <c r="B28" s="296">
        <f>ROUND(A28/$A$8*100,2)</f>
        <v>0</v>
      </c>
      <c r="C28" s="259" t="s">
        <v>616</v>
      </c>
      <c r="D28" s="307">
        <v>1380</v>
      </c>
      <c r="E28" s="308">
        <f>ROUND(D28/$D$8*100,2)</f>
        <v>0</v>
      </c>
      <c r="F28" s="307">
        <v>92</v>
      </c>
      <c r="G28" s="296">
        <f>ROUND(F28/$F$8*100,2)</f>
        <v>0</v>
      </c>
      <c r="H28" s="307">
        <f t="shared" si="0"/>
        <v>1288</v>
      </c>
      <c r="I28" s="309">
        <f t="shared" si="1"/>
        <v>1400</v>
      </c>
      <c r="K28" s="215">
        <f t="shared" si="2"/>
        <v>1.1E-4</v>
      </c>
      <c r="L28" s="215">
        <f t="shared" si="3"/>
        <v>2.0000000000000001E-4</v>
      </c>
      <c r="M28" s="215">
        <f t="shared" si="10"/>
        <v>2.0000000000000002E-5</v>
      </c>
    </row>
    <row r="29" spans="1:13" s="858" customFormat="1" ht="25.15" customHeight="1">
      <c r="A29" s="295">
        <v>450</v>
      </c>
      <c r="B29" s="296">
        <f>ROUND(A29/$A$8*100,2)</f>
        <v>0</v>
      </c>
      <c r="C29" s="259" t="s">
        <v>617</v>
      </c>
      <c r="D29" s="307">
        <v>1380</v>
      </c>
      <c r="E29" s="308">
        <f>ROUND(D29/$D$8*100,2)</f>
        <v>0</v>
      </c>
      <c r="F29" s="307">
        <v>92</v>
      </c>
      <c r="G29" s="296">
        <f>ROUND(F29/$F$8*100,2)</f>
        <v>0</v>
      </c>
      <c r="H29" s="307">
        <f t="shared" si="0"/>
        <v>1288</v>
      </c>
      <c r="I29" s="309">
        <f t="shared" si="1"/>
        <v>1400</v>
      </c>
      <c r="K29" s="215">
        <f t="shared" si="2"/>
        <v>5.0000000000000002E-5</v>
      </c>
      <c r="L29" s="215">
        <f t="shared" si="3"/>
        <v>2.0000000000000001E-4</v>
      </c>
      <c r="M29" s="215">
        <f t="shared" si="10"/>
        <v>2.0000000000000002E-5</v>
      </c>
    </row>
    <row r="30" spans="1:13" s="884" customFormat="1" ht="25.15" customHeight="1">
      <c r="A30" s="295">
        <v>214510</v>
      </c>
      <c r="B30" s="296">
        <f t="shared" si="4"/>
        <v>0.03</v>
      </c>
      <c r="C30" s="259" t="s">
        <v>707</v>
      </c>
      <c r="D30" s="307">
        <v>285973</v>
      </c>
      <c r="E30" s="308">
        <f t="shared" si="13"/>
        <v>0.04</v>
      </c>
      <c r="F30" s="307">
        <v>144827</v>
      </c>
      <c r="G30" s="296">
        <f t="shared" si="9"/>
        <v>0.02</v>
      </c>
      <c r="H30" s="310">
        <f t="shared" ref="H30" si="17">D30-F30</f>
        <v>141146</v>
      </c>
      <c r="I30" s="311">
        <f t="shared" si="1"/>
        <v>97.46</v>
      </c>
      <c r="K30" s="215">
        <f t="shared" si="2"/>
        <v>2.6020000000000001E-2</v>
      </c>
      <c r="L30" s="215">
        <f t="shared" si="3"/>
        <v>4.0919999999999998E-2</v>
      </c>
      <c r="M30" s="215">
        <f t="shared" si="10"/>
        <v>2.4369999999999999E-2</v>
      </c>
    </row>
    <row r="31" spans="1:13" s="30" customFormat="1" ht="25.15" customHeight="1">
      <c r="A31" s="293">
        <v>553862377</v>
      </c>
      <c r="B31" s="294">
        <f t="shared" si="4"/>
        <v>67.19</v>
      </c>
      <c r="C31" s="258" t="s">
        <v>618</v>
      </c>
      <c r="D31" s="304">
        <f>D32+D38</f>
        <v>531071560</v>
      </c>
      <c r="E31" s="305">
        <f t="shared" si="13"/>
        <v>75.989999999999995</v>
      </c>
      <c r="F31" s="304">
        <f>F32+F38</f>
        <v>511560393</v>
      </c>
      <c r="G31" s="294">
        <f t="shared" si="9"/>
        <v>86.07</v>
      </c>
      <c r="H31" s="314">
        <f t="shared" si="0"/>
        <v>19511167</v>
      </c>
      <c r="I31" s="315">
        <f t="shared" si="1"/>
        <v>3.81</v>
      </c>
      <c r="K31" s="214">
        <f t="shared" si="2"/>
        <v>67.192809999999994</v>
      </c>
      <c r="L31" s="214">
        <f t="shared" si="3"/>
        <v>75.986530000000002</v>
      </c>
      <c r="M31" s="214">
        <f t="shared" si="10"/>
        <v>86.069860000000006</v>
      </c>
    </row>
    <row r="32" spans="1:13" s="858" customFormat="1" ht="36.75" customHeight="1" thickBot="1">
      <c r="A32" s="297">
        <v>486200684</v>
      </c>
      <c r="B32" s="298">
        <f t="shared" si="4"/>
        <v>58.98</v>
      </c>
      <c r="C32" s="264" t="s">
        <v>619</v>
      </c>
      <c r="D32" s="312">
        <f>SUM(D33:D37)</f>
        <v>530997778</v>
      </c>
      <c r="E32" s="313">
        <f t="shared" si="13"/>
        <v>75.98</v>
      </c>
      <c r="F32" s="312">
        <f>SUM(F33:F37)</f>
        <v>511462929</v>
      </c>
      <c r="G32" s="298">
        <f t="shared" si="9"/>
        <v>86.05</v>
      </c>
      <c r="H32" s="326">
        <f t="shared" si="0"/>
        <v>19534849</v>
      </c>
      <c r="I32" s="327">
        <f t="shared" si="1"/>
        <v>3.82</v>
      </c>
      <c r="K32" s="215">
        <f t="shared" si="2"/>
        <v>58.984310000000001</v>
      </c>
      <c r="L32" s="215">
        <f t="shared" si="3"/>
        <v>75.975970000000004</v>
      </c>
      <c r="M32" s="215">
        <f t="shared" si="10"/>
        <v>86.053460000000001</v>
      </c>
    </row>
    <row r="33" spans="1:13" s="858" customFormat="1" ht="25.15" customHeight="1">
      <c r="A33" s="295">
        <v>443257143</v>
      </c>
      <c r="B33" s="296">
        <f t="shared" si="4"/>
        <v>53.77</v>
      </c>
      <c r="C33" s="259" t="s">
        <v>1206</v>
      </c>
      <c r="D33" s="307">
        <v>482778342</v>
      </c>
      <c r="E33" s="308">
        <f t="shared" si="13"/>
        <v>69.08</v>
      </c>
      <c r="F33" s="307">
        <v>466762743</v>
      </c>
      <c r="G33" s="296">
        <f t="shared" si="9"/>
        <v>78.53</v>
      </c>
      <c r="H33" s="307">
        <f t="shared" si="0"/>
        <v>16015599</v>
      </c>
      <c r="I33" s="309">
        <f t="shared" si="1"/>
        <v>3.43</v>
      </c>
      <c r="K33" s="215">
        <f t="shared" si="2"/>
        <v>53.774540000000002</v>
      </c>
      <c r="L33" s="215">
        <f t="shared" si="3"/>
        <v>69.076660000000004</v>
      </c>
      <c r="M33" s="215">
        <f t="shared" si="10"/>
        <v>78.532669999999996</v>
      </c>
    </row>
    <row r="34" spans="1:13" s="858" customFormat="1" ht="25.15" customHeight="1">
      <c r="A34" s="295">
        <v>30834136</v>
      </c>
      <c r="B34" s="296">
        <f t="shared" si="4"/>
        <v>3.74</v>
      </c>
      <c r="C34" s="259" t="s">
        <v>611</v>
      </c>
      <c r="D34" s="307">
        <v>32081213</v>
      </c>
      <c r="E34" s="308">
        <f t="shared" si="13"/>
        <v>4.59</v>
      </c>
      <c r="F34" s="307">
        <v>30950020</v>
      </c>
      <c r="G34" s="296">
        <f t="shared" si="9"/>
        <v>5.21</v>
      </c>
      <c r="H34" s="307">
        <f t="shared" si="0"/>
        <v>1131193</v>
      </c>
      <c r="I34" s="309">
        <f t="shared" si="1"/>
        <v>3.65</v>
      </c>
      <c r="K34" s="215">
        <f t="shared" si="2"/>
        <v>3.7406999999999999</v>
      </c>
      <c r="L34" s="215">
        <f t="shared" si="3"/>
        <v>4.59023</v>
      </c>
      <c r="M34" s="215">
        <f t="shared" si="10"/>
        <v>5.2073299999999998</v>
      </c>
    </row>
    <row r="35" spans="1:13" s="858" customFormat="1" ht="25.15" customHeight="1">
      <c r="A35" s="295">
        <v>3060059</v>
      </c>
      <c r="B35" s="296">
        <f t="shared" si="4"/>
        <v>0.37</v>
      </c>
      <c r="C35" s="259" t="s">
        <v>524</v>
      </c>
      <c r="D35" s="307">
        <v>5780525</v>
      </c>
      <c r="E35" s="308">
        <f t="shared" si="13"/>
        <v>0.83</v>
      </c>
      <c r="F35" s="307">
        <v>3068797</v>
      </c>
      <c r="G35" s="296">
        <f t="shared" si="9"/>
        <v>0.52</v>
      </c>
      <c r="H35" s="310">
        <f t="shared" si="0"/>
        <v>2711728</v>
      </c>
      <c r="I35" s="311">
        <f t="shared" si="1"/>
        <v>88.36</v>
      </c>
      <c r="K35" s="215">
        <f t="shared" si="2"/>
        <v>0.37124000000000001</v>
      </c>
      <c r="L35" s="215">
        <f t="shared" si="3"/>
        <v>0.82708999999999999</v>
      </c>
      <c r="M35" s="215">
        <f t="shared" si="10"/>
        <v>0.51632</v>
      </c>
    </row>
    <row r="36" spans="1:13" s="858" customFormat="1" ht="25.15" customHeight="1">
      <c r="A36" s="295">
        <v>96298</v>
      </c>
      <c r="B36" s="296">
        <f t="shared" si="4"/>
        <v>0.01</v>
      </c>
      <c r="C36" s="259" t="s">
        <v>526</v>
      </c>
      <c r="D36" s="307">
        <v>163332</v>
      </c>
      <c r="E36" s="308">
        <f t="shared" si="13"/>
        <v>0.02</v>
      </c>
      <c r="F36" s="307">
        <v>114770</v>
      </c>
      <c r="G36" s="296">
        <f t="shared" si="9"/>
        <v>0.02</v>
      </c>
      <c r="H36" s="310">
        <f t="shared" si="0"/>
        <v>48562</v>
      </c>
      <c r="I36" s="311">
        <f t="shared" si="1"/>
        <v>42.31</v>
      </c>
      <c r="K36" s="215">
        <f t="shared" si="2"/>
        <v>1.1679999999999999E-2</v>
      </c>
      <c r="L36" s="215">
        <f t="shared" si="3"/>
        <v>2.3369999999999998E-2</v>
      </c>
      <c r="M36" s="215">
        <f t="shared" si="10"/>
        <v>1.9310000000000001E-2</v>
      </c>
    </row>
    <row r="37" spans="1:13" s="884" customFormat="1" ht="25.15" customHeight="1">
      <c r="A37" s="295">
        <v>8953048</v>
      </c>
      <c r="B37" s="296">
        <f t="shared" ref="B37" si="18">ROUND(A37/$A$8*100,2)</f>
        <v>1.0900000000000001</v>
      </c>
      <c r="C37" s="259" t="s">
        <v>707</v>
      </c>
      <c r="D37" s="307">
        <v>10194366</v>
      </c>
      <c r="E37" s="308">
        <f>ROUND(D37/$D$8*100,2)</f>
        <v>1.46</v>
      </c>
      <c r="F37" s="307">
        <v>10566599</v>
      </c>
      <c r="G37" s="296">
        <f t="shared" ref="G37" si="19">ROUND(F37/$F$8*100,2)</f>
        <v>1.78</v>
      </c>
      <c r="H37" s="310">
        <f>D37-F37</f>
        <v>-372233</v>
      </c>
      <c r="I37" s="311">
        <f t="shared" si="1"/>
        <v>-3.52</v>
      </c>
      <c r="K37" s="215"/>
      <c r="L37" s="215">
        <f t="shared" si="3"/>
        <v>1.4586300000000001</v>
      </c>
      <c r="M37" s="215"/>
    </row>
    <row r="38" spans="1:13" s="858" customFormat="1" ht="25.15" customHeight="1">
      <c r="A38" s="295">
        <v>67661694</v>
      </c>
      <c r="B38" s="296">
        <f t="shared" si="4"/>
        <v>8.2100000000000009</v>
      </c>
      <c r="C38" s="260" t="s">
        <v>620</v>
      </c>
      <c r="D38" s="1268">
        <f>SUM(D39:D42)</f>
        <v>73782</v>
      </c>
      <c r="E38" s="308">
        <f t="shared" si="13"/>
        <v>0.01</v>
      </c>
      <c r="F38" s="307">
        <f>SUM(F39:F42)</f>
        <v>97464</v>
      </c>
      <c r="G38" s="296">
        <f t="shared" si="9"/>
        <v>0.02</v>
      </c>
      <c r="H38" s="310">
        <f>D38-F38</f>
        <v>-23682</v>
      </c>
      <c r="I38" s="311">
        <f>ROUND(H38/F38*100,2)</f>
        <v>-24.3</v>
      </c>
      <c r="K38" s="215">
        <f t="shared" si="2"/>
        <v>8.2085000000000008</v>
      </c>
      <c r="L38" s="215">
        <f t="shared" si="3"/>
        <v>1.056E-2</v>
      </c>
      <c r="M38" s="215">
        <f t="shared" si="10"/>
        <v>1.6400000000000001E-2</v>
      </c>
    </row>
    <row r="39" spans="1:13" s="858" customFormat="1" ht="25.15" customHeight="1">
      <c r="A39" s="295">
        <v>67562662</v>
      </c>
      <c r="B39" s="296">
        <f t="shared" si="4"/>
        <v>8.1999999999999993</v>
      </c>
      <c r="C39" s="259" t="s">
        <v>1206</v>
      </c>
      <c r="D39" s="307">
        <f>23860987-23860987</f>
        <v>0</v>
      </c>
      <c r="E39" s="308">
        <f t="shared" si="13"/>
        <v>0</v>
      </c>
      <c r="F39" s="307">
        <v>0</v>
      </c>
      <c r="G39" s="296">
        <f t="shared" si="9"/>
        <v>0</v>
      </c>
      <c r="H39" s="307">
        <f>D39-F39</f>
        <v>0</v>
      </c>
      <c r="I39" s="311" t="s">
        <v>1377</v>
      </c>
      <c r="K39" s="215">
        <f t="shared" si="2"/>
        <v>8.1964900000000007</v>
      </c>
      <c r="L39" s="215">
        <f t="shared" si="3"/>
        <v>0</v>
      </c>
      <c r="M39" s="215">
        <f t="shared" si="10"/>
        <v>0</v>
      </c>
    </row>
    <row r="40" spans="1:13" s="858" customFormat="1" ht="25.15" hidden="1" customHeight="1">
      <c r="A40" s="295">
        <v>0</v>
      </c>
      <c r="B40" s="296">
        <f t="shared" si="4"/>
        <v>0</v>
      </c>
      <c r="C40" s="259" t="s">
        <v>611</v>
      </c>
      <c r="D40" s="307">
        <v>0</v>
      </c>
      <c r="E40" s="308">
        <f t="shared" si="13"/>
        <v>0</v>
      </c>
      <c r="F40" s="307">
        <v>0</v>
      </c>
      <c r="G40" s="296">
        <f t="shared" si="9"/>
        <v>0</v>
      </c>
      <c r="H40" s="307">
        <v>0</v>
      </c>
      <c r="I40" s="311" t="e">
        <f t="shared" ref="I40:I42" si="20">ROUND(H40/F40*100,2)</f>
        <v>#DIV/0!</v>
      </c>
      <c r="K40" s="215">
        <f t="shared" si="2"/>
        <v>0</v>
      </c>
      <c r="L40" s="215">
        <f t="shared" si="3"/>
        <v>0</v>
      </c>
      <c r="M40" s="215">
        <f t="shared" si="10"/>
        <v>0</v>
      </c>
    </row>
    <row r="41" spans="1:13" s="873" customFormat="1" ht="25.15" customHeight="1">
      <c r="A41" s="295">
        <v>0</v>
      </c>
      <c r="B41" s="296">
        <f t="shared" si="4"/>
        <v>0</v>
      </c>
      <c r="C41" s="259" t="s">
        <v>526</v>
      </c>
      <c r="D41" s="307">
        <v>73782</v>
      </c>
      <c r="E41" s="308">
        <f>ROUND(D41/$D$8*100,2)</f>
        <v>0.01</v>
      </c>
      <c r="F41" s="307">
        <v>57612</v>
      </c>
      <c r="G41" s="296">
        <f t="shared" si="9"/>
        <v>0.01</v>
      </c>
      <c r="H41" s="307">
        <f t="shared" ref="H41" si="21">D41-F41</f>
        <v>16170</v>
      </c>
      <c r="I41" s="311">
        <f t="shared" si="20"/>
        <v>28.07</v>
      </c>
      <c r="K41" s="215"/>
      <c r="L41" s="215"/>
      <c r="M41" s="215"/>
    </row>
    <row r="42" spans="1:13" s="920" customFormat="1" ht="25.15" customHeight="1">
      <c r="A42" s="295">
        <v>99032</v>
      </c>
      <c r="B42" s="296">
        <f t="shared" ref="B42" si="22">ROUND(A42/$A$8*100,2)</f>
        <v>0.01</v>
      </c>
      <c r="C42" s="259" t="s">
        <v>707</v>
      </c>
      <c r="D42" s="1268">
        <v>0</v>
      </c>
      <c r="E42" s="308">
        <f>ROUND(D42/$D$8*100,2)</f>
        <v>0</v>
      </c>
      <c r="F42" s="307">
        <f>41852-2000</f>
        <v>39852</v>
      </c>
      <c r="G42" s="296">
        <f t="shared" ref="G42" si="23">ROUND(F42/$F$8*100,2)</f>
        <v>0.01</v>
      </c>
      <c r="H42" s="310">
        <f t="shared" si="0"/>
        <v>-39852</v>
      </c>
      <c r="I42" s="311">
        <f t="shared" si="20"/>
        <v>-100</v>
      </c>
      <c r="K42" s="215"/>
      <c r="L42" s="215">
        <f t="shared" si="3"/>
        <v>0</v>
      </c>
      <c r="M42" s="215"/>
    </row>
    <row r="43" spans="1:13" s="30" customFormat="1" ht="25.15" customHeight="1">
      <c r="A43" s="293">
        <v>34077594</v>
      </c>
      <c r="B43" s="294">
        <f t="shared" si="4"/>
        <v>4.13</v>
      </c>
      <c r="C43" s="258" t="s">
        <v>621</v>
      </c>
      <c r="D43" s="304">
        <f>D44+D49</f>
        <v>135267028</v>
      </c>
      <c r="E43" s="305">
        <f t="shared" si="13"/>
        <v>19.350000000000001</v>
      </c>
      <c r="F43" s="304">
        <f>F44+F49</f>
        <v>48855755</v>
      </c>
      <c r="G43" s="294">
        <f t="shared" si="9"/>
        <v>8.2200000000000006</v>
      </c>
      <c r="H43" s="314">
        <f t="shared" si="0"/>
        <v>86411273</v>
      </c>
      <c r="I43" s="315">
        <f t="shared" si="1"/>
        <v>176.87</v>
      </c>
      <c r="K43" s="214">
        <f t="shared" si="2"/>
        <v>4.1341799999999997</v>
      </c>
      <c r="L43" s="214">
        <f t="shared" si="3"/>
        <v>19.354209999999998</v>
      </c>
      <c r="M43" s="214">
        <f t="shared" si="10"/>
        <v>8.2199600000000004</v>
      </c>
    </row>
    <row r="44" spans="1:13" s="858" customFormat="1" ht="25.15" customHeight="1">
      <c r="A44" s="295">
        <v>33994438</v>
      </c>
      <c r="B44" s="296">
        <f t="shared" si="4"/>
        <v>4.12</v>
      </c>
      <c r="C44" s="261" t="s">
        <v>622</v>
      </c>
      <c r="D44" s="307">
        <f>SUM(D45:D48)</f>
        <v>135209157</v>
      </c>
      <c r="E44" s="308">
        <f t="shared" si="13"/>
        <v>19.350000000000001</v>
      </c>
      <c r="F44" s="307">
        <f>SUM(F45:F48)</f>
        <v>48712087</v>
      </c>
      <c r="G44" s="296">
        <f t="shared" si="9"/>
        <v>8.1999999999999993</v>
      </c>
      <c r="H44" s="310">
        <f>D44-F44</f>
        <v>86497070</v>
      </c>
      <c r="I44" s="311">
        <f t="shared" si="1"/>
        <v>177.57</v>
      </c>
      <c r="K44" s="215">
        <f t="shared" si="2"/>
        <v>4.1241000000000003</v>
      </c>
      <c r="L44" s="215">
        <f t="shared" si="3"/>
        <v>19.345929999999999</v>
      </c>
      <c r="M44" s="215">
        <f t="shared" si="10"/>
        <v>8.1957900000000006</v>
      </c>
    </row>
    <row r="45" spans="1:13" s="858" customFormat="1" ht="25.15" customHeight="1">
      <c r="A45" s="295">
        <v>30000000</v>
      </c>
      <c r="B45" s="296">
        <f t="shared" si="4"/>
        <v>3.64</v>
      </c>
      <c r="C45" s="259" t="s">
        <v>1206</v>
      </c>
      <c r="D45" s="307">
        <f>10000000+100000000+20000000</f>
        <v>130000000</v>
      </c>
      <c r="E45" s="308">
        <f t="shared" si="13"/>
        <v>18.600000000000001</v>
      </c>
      <c r="F45" s="307">
        <v>45000000</v>
      </c>
      <c r="G45" s="296">
        <f t="shared" si="9"/>
        <v>7.57</v>
      </c>
      <c r="H45" s="310">
        <f t="shared" ref="H45" si="24">D45-F45</f>
        <v>85000000</v>
      </c>
      <c r="I45" s="311">
        <f t="shared" si="1"/>
        <v>188.89</v>
      </c>
      <c r="K45" s="215">
        <f t="shared" si="2"/>
        <v>3.6395</v>
      </c>
      <c r="L45" s="215">
        <f t="shared" si="3"/>
        <v>18.6006</v>
      </c>
      <c r="M45" s="215">
        <f t="shared" si="10"/>
        <v>7.5712299999999999</v>
      </c>
    </row>
    <row r="46" spans="1:13" s="858" customFormat="1" ht="25.15" customHeight="1">
      <c r="A46" s="295">
        <v>3963438</v>
      </c>
      <c r="B46" s="296">
        <f t="shared" si="4"/>
        <v>0.48</v>
      </c>
      <c r="C46" s="259" t="s">
        <v>524</v>
      </c>
      <c r="D46" s="307">
        <f>5204904+4253</f>
        <v>5209157</v>
      </c>
      <c r="E46" s="308">
        <f t="shared" si="13"/>
        <v>0.75</v>
      </c>
      <c r="F46" s="307">
        <v>3712087</v>
      </c>
      <c r="G46" s="296">
        <f t="shared" si="9"/>
        <v>0.62</v>
      </c>
      <c r="H46" s="310">
        <f t="shared" si="0"/>
        <v>1497070</v>
      </c>
      <c r="I46" s="311">
        <f>ROUND(H46/F46*100,2)</f>
        <v>40.33</v>
      </c>
      <c r="K46" s="215">
        <f t="shared" si="2"/>
        <v>0.48082999999999998</v>
      </c>
      <c r="L46" s="215">
        <f t="shared" si="3"/>
        <v>0.74533000000000005</v>
      </c>
      <c r="M46" s="215">
        <f t="shared" si="10"/>
        <v>0.62456</v>
      </c>
    </row>
    <row r="47" spans="1:13" s="858" customFormat="1" ht="25.15" hidden="1" customHeight="1">
      <c r="A47" s="295">
        <v>0</v>
      </c>
      <c r="B47" s="296">
        <f t="shared" si="4"/>
        <v>0</v>
      </c>
      <c r="C47" s="259" t="s">
        <v>526</v>
      </c>
      <c r="D47" s="307">
        <v>0</v>
      </c>
      <c r="E47" s="308">
        <f t="shared" si="13"/>
        <v>0</v>
      </c>
      <c r="F47" s="307">
        <v>0</v>
      </c>
      <c r="G47" s="296">
        <f t="shared" si="9"/>
        <v>0</v>
      </c>
      <c r="H47" s="310">
        <f t="shared" si="0"/>
        <v>0</v>
      </c>
      <c r="I47" s="1112" t="e">
        <f t="shared" si="1"/>
        <v>#DIV/0!</v>
      </c>
      <c r="K47" s="215">
        <f t="shared" si="2"/>
        <v>0</v>
      </c>
      <c r="L47" s="215">
        <f t="shared" si="3"/>
        <v>0</v>
      </c>
      <c r="M47" s="215">
        <f t="shared" si="10"/>
        <v>0</v>
      </c>
    </row>
    <row r="48" spans="1:13" s="858" customFormat="1" ht="25.15" customHeight="1">
      <c r="A48" s="295">
        <v>31000</v>
      </c>
      <c r="B48" s="296">
        <f t="shared" si="4"/>
        <v>0</v>
      </c>
      <c r="C48" s="259" t="s">
        <v>707</v>
      </c>
      <c r="D48" s="307">
        <v>0</v>
      </c>
      <c r="E48" s="308">
        <f t="shared" si="13"/>
        <v>0</v>
      </c>
      <c r="F48" s="307">
        <v>0</v>
      </c>
      <c r="G48" s="296">
        <f t="shared" si="9"/>
        <v>0</v>
      </c>
      <c r="H48" s="296">
        <f t="shared" si="0"/>
        <v>0</v>
      </c>
      <c r="I48" s="311" t="s">
        <v>1376</v>
      </c>
      <c r="K48" s="215">
        <f t="shared" si="2"/>
        <v>3.7599999999999999E-3</v>
      </c>
      <c r="L48" s="215">
        <f t="shared" si="3"/>
        <v>0</v>
      </c>
      <c r="M48" s="215">
        <f t="shared" si="10"/>
        <v>0</v>
      </c>
    </row>
    <row r="49" spans="1:13" s="858" customFormat="1" ht="25.15" customHeight="1">
      <c r="A49" s="295">
        <v>83157</v>
      </c>
      <c r="B49" s="296">
        <f t="shared" si="4"/>
        <v>0.01</v>
      </c>
      <c r="C49" s="261" t="s">
        <v>623</v>
      </c>
      <c r="D49" s="307">
        <f>SUM(D50:D51)</f>
        <v>57871</v>
      </c>
      <c r="E49" s="308">
        <f t="shared" si="13"/>
        <v>0.01</v>
      </c>
      <c r="F49" s="307">
        <f>SUM(F50:F51)</f>
        <v>143668</v>
      </c>
      <c r="G49" s="296">
        <f t="shared" si="9"/>
        <v>0.02</v>
      </c>
      <c r="H49" s="310">
        <f t="shared" si="0"/>
        <v>-85797</v>
      </c>
      <c r="I49" s="311">
        <f t="shared" si="1"/>
        <v>-59.72</v>
      </c>
      <c r="K49" s="215">
        <f t="shared" si="2"/>
        <v>1.009E-2</v>
      </c>
      <c r="L49" s="215">
        <f t="shared" si="3"/>
        <v>8.2799999999999992E-3</v>
      </c>
      <c r="M49" s="215">
        <f t="shared" si="10"/>
        <v>2.4170000000000001E-2</v>
      </c>
    </row>
    <row r="50" spans="1:13" s="858" customFormat="1" ht="25.15" customHeight="1">
      <c r="A50" s="295">
        <v>69329</v>
      </c>
      <c r="B50" s="296">
        <f t="shared" si="4"/>
        <v>0.01</v>
      </c>
      <c r="C50" s="259" t="s">
        <v>1206</v>
      </c>
      <c r="D50" s="307">
        <v>0</v>
      </c>
      <c r="E50" s="308">
        <f t="shared" si="13"/>
        <v>0</v>
      </c>
      <c r="F50" s="307">
        <v>0</v>
      </c>
      <c r="G50" s="296">
        <f t="shared" si="9"/>
        <v>0</v>
      </c>
      <c r="H50" s="296">
        <f t="shared" si="0"/>
        <v>0</v>
      </c>
      <c r="I50" s="309" t="s">
        <v>624</v>
      </c>
      <c r="K50" s="215">
        <f t="shared" si="2"/>
        <v>8.4100000000000008E-3</v>
      </c>
      <c r="L50" s="215">
        <f t="shared" si="3"/>
        <v>0</v>
      </c>
      <c r="M50" s="215">
        <f t="shared" si="10"/>
        <v>0</v>
      </c>
    </row>
    <row r="51" spans="1:13" s="858" customFormat="1" ht="25.15" customHeight="1">
      <c r="A51" s="295">
        <v>13828</v>
      </c>
      <c r="B51" s="296">
        <f t="shared" si="4"/>
        <v>0</v>
      </c>
      <c r="C51" s="259" t="s">
        <v>707</v>
      </c>
      <c r="D51" s="307">
        <v>57871</v>
      </c>
      <c r="E51" s="308">
        <f t="shared" si="13"/>
        <v>0.01</v>
      </c>
      <c r="F51" s="307">
        <v>143668</v>
      </c>
      <c r="G51" s="296">
        <f t="shared" si="9"/>
        <v>0.02</v>
      </c>
      <c r="H51" s="310">
        <f t="shared" si="0"/>
        <v>-85797</v>
      </c>
      <c r="I51" s="311">
        <f t="shared" si="1"/>
        <v>-59.72</v>
      </c>
      <c r="K51" s="215">
        <f t="shared" si="2"/>
        <v>1.6800000000000001E-3</v>
      </c>
      <c r="L51" s="215">
        <f t="shared" si="3"/>
        <v>8.2799999999999992E-3</v>
      </c>
      <c r="M51" s="215">
        <f t="shared" si="10"/>
        <v>2.4170000000000001E-2</v>
      </c>
    </row>
    <row r="52" spans="1:13" s="30" customFormat="1" ht="26.85" customHeight="1">
      <c r="A52" s="293">
        <v>824663226</v>
      </c>
      <c r="B52" s="294">
        <f t="shared" si="4"/>
        <v>100.05</v>
      </c>
      <c r="C52" s="258" t="s">
        <v>625</v>
      </c>
      <c r="D52" s="304">
        <f>D53+D56+D66+D83</f>
        <v>699228480</v>
      </c>
      <c r="E52" s="305">
        <f t="shared" si="13"/>
        <v>100.05</v>
      </c>
      <c r="F52" s="304">
        <f>F53+F56+F66+F83</f>
        <v>594645570</v>
      </c>
      <c r="G52" s="294">
        <f t="shared" si="9"/>
        <v>100.05</v>
      </c>
      <c r="H52" s="304">
        <f t="shared" si="0"/>
        <v>104582910</v>
      </c>
      <c r="I52" s="315">
        <f t="shared" si="1"/>
        <v>17.59</v>
      </c>
      <c r="K52" s="214">
        <f t="shared" si="2"/>
        <v>100.04550999999999</v>
      </c>
      <c r="L52" s="214">
        <f t="shared" si="3"/>
        <v>100.04667999999999</v>
      </c>
      <c r="M52" s="214">
        <f t="shared" si="10"/>
        <v>100.04892</v>
      </c>
    </row>
    <row r="53" spans="1:13" s="30" customFormat="1" ht="25.15" customHeight="1">
      <c r="A53" s="293">
        <v>28956</v>
      </c>
      <c r="B53" s="294">
        <f t="shared" si="4"/>
        <v>0</v>
      </c>
      <c r="C53" s="258" t="s">
        <v>626</v>
      </c>
      <c r="D53" s="1269">
        <f>+D54</f>
        <v>32423</v>
      </c>
      <c r="E53" s="305">
        <f t="shared" si="13"/>
        <v>0</v>
      </c>
      <c r="F53" s="304">
        <f>+F54</f>
        <v>31573</v>
      </c>
      <c r="G53" s="294">
        <f t="shared" si="9"/>
        <v>0.01</v>
      </c>
      <c r="H53" s="314">
        <f t="shared" si="0"/>
        <v>850</v>
      </c>
      <c r="I53" s="315">
        <f t="shared" si="1"/>
        <v>2.69</v>
      </c>
      <c r="K53" s="214">
        <f t="shared" si="2"/>
        <v>3.5100000000000001E-3</v>
      </c>
      <c r="L53" s="214">
        <f t="shared" si="3"/>
        <v>4.64E-3</v>
      </c>
      <c r="M53" s="214">
        <f t="shared" si="10"/>
        <v>5.3099999999999996E-3</v>
      </c>
    </row>
    <row r="54" spans="1:13" s="858" customFormat="1" ht="25.15" customHeight="1">
      <c r="A54" s="295">
        <v>28956</v>
      </c>
      <c r="B54" s="296">
        <f>ROUND(A54/$A$8*100,2)</f>
        <v>0</v>
      </c>
      <c r="C54" s="259" t="s">
        <v>627</v>
      </c>
      <c r="D54" s="307">
        <f>D55</f>
        <v>32423</v>
      </c>
      <c r="E54" s="308">
        <f>ROUND(D54/$D$8*100,2)</f>
        <v>0</v>
      </c>
      <c r="F54" s="307">
        <f>F55</f>
        <v>31573</v>
      </c>
      <c r="G54" s="296">
        <f>ROUND(F54/$F$8*100,2)</f>
        <v>0.01</v>
      </c>
      <c r="H54" s="310">
        <f>D54-F54</f>
        <v>850</v>
      </c>
      <c r="I54" s="311">
        <f>ROUND(H54/F54*100,2)</f>
        <v>2.69</v>
      </c>
      <c r="K54" s="215">
        <f>ROUND(A54/$A$8*100,5)</f>
        <v>3.5100000000000001E-3</v>
      </c>
      <c r="L54" s="215">
        <f>ROUND(D54/$D$8*100,5)</f>
        <v>4.64E-3</v>
      </c>
      <c r="M54" s="215">
        <f>ROUND(F54/$F$8*100,5)</f>
        <v>5.3099999999999996E-3</v>
      </c>
    </row>
    <row r="55" spans="1:13" s="858" customFormat="1" ht="25.15" customHeight="1">
      <c r="A55" s="295">
        <v>28956</v>
      </c>
      <c r="B55" s="296">
        <f>ROUND(A55/$A$8*100,2)</f>
        <v>0</v>
      </c>
      <c r="C55" s="259" t="s">
        <v>1206</v>
      </c>
      <c r="D55" s="307">
        <v>32423</v>
      </c>
      <c r="E55" s="308">
        <f>ROUND(D55/$D$8*100,2)</f>
        <v>0</v>
      </c>
      <c r="F55" s="307">
        <v>31573</v>
      </c>
      <c r="G55" s="296">
        <f>ROUND(F55/$F$8*100,2)</f>
        <v>0.01</v>
      </c>
      <c r="H55" s="310">
        <f>D55-F55</f>
        <v>850</v>
      </c>
      <c r="I55" s="311">
        <f>ROUND(H55/F55*100,2)</f>
        <v>2.69</v>
      </c>
      <c r="K55" s="215">
        <f>ROUND(A55/$A$8*100,5)</f>
        <v>3.5100000000000001E-3</v>
      </c>
      <c r="L55" s="215">
        <f>ROUND(D55/$D$8*100,5)</f>
        <v>4.64E-3</v>
      </c>
      <c r="M55" s="215">
        <f>ROUND(F55/$F$8*100,5)</f>
        <v>5.3099999999999996E-3</v>
      </c>
    </row>
    <row r="56" spans="1:13" s="30" customFormat="1" ht="25.15" customHeight="1">
      <c r="A56" s="293">
        <v>290105884</v>
      </c>
      <c r="B56" s="294">
        <f t="shared" si="4"/>
        <v>35.19</v>
      </c>
      <c r="C56" s="258" t="s">
        <v>628</v>
      </c>
      <c r="D56" s="1269">
        <f>D57+D61+D63</f>
        <v>1013286</v>
      </c>
      <c r="E56" s="305">
        <f t="shared" si="13"/>
        <v>0.14000000000000001</v>
      </c>
      <c r="F56" s="304">
        <f>F57+F61+F63</f>
        <v>1003763</v>
      </c>
      <c r="G56" s="294">
        <f t="shared" si="9"/>
        <v>0.17</v>
      </c>
      <c r="H56" s="314">
        <f t="shared" si="0"/>
        <v>9523</v>
      </c>
      <c r="I56" s="315">
        <f t="shared" si="1"/>
        <v>0.95</v>
      </c>
      <c r="K56" s="214">
        <f t="shared" si="2"/>
        <v>35.194719999999997</v>
      </c>
      <c r="L56" s="214">
        <f t="shared" si="3"/>
        <v>0.14498</v>
      </c>
      <c r="M56" s="214">
        <f t="shared" si="10"/>
        <v>0.16888</v>
      </c>
    </row>
    <row r="57" spans="1:13" s="858" customFormat="1" ht="25.15" customHeight="1">
      <c r="A57" s="295">
        <v>250069139</v>
      </c>
      <c r="B57" s="296">
        <f>ROUND(A57/$A$8*100,2)</f>
        <v>30.34</v>
      </c>
      <c r="C57" s="259" t="s">
        <v>629</v>
      </c>
      <c r="D57" s="307">
        <f>SUM(D58:D60)</f>
        <v>945286</v>
      </c>
      <c r="E57" s="308">
        <f>ROUND(D57/$D$8*100,2)</f>
        <v>0.14000000000000001</v>
      </c>
      <c r="F57" s="307">
        <f>SUM(F58:F60)</f>
        <v>935763</v>
      </c>
      <c r="G57" s="296">
        <f>ROUND(F57/$F$8*100,2)</f>
        <v>0.16</v>
      </c>
      <c r="H57" s="310">
        <f>D57-F57</f>
        <v>9523</v>
      </c>
      <c r="I57" s="311">
        <f>ROUND(H57/F57*100,2)</f>
        <v>1.02</v>
      </c>
      <c r="K57" s="215">
        <f>ROUND(A57/$A$8*100,5)</f>
        <v>30.337589999999999</v>
      </c>
      <c r="L57" s="215">
        <f>ROUND(D57/$D$8*100,5)</f>
        <v>0.13525000000000001</v>
      </c>
      <c r="M57" s="215">
        <f>ROUND(F57/$F$8*100,5)</f>
        <v>0.15744</v>
      </c>
    </row>
    <row r="58" spans="1:13" s="858" customFormat="1" ht="25.15" customHeight="1">
      <c r="A58" s="295">
        <v>250023188</v>
      </c>
      <c r="B58" s="296">
        <f>ROUND(A58/$A$8*100,2)</f>
        <v>30.33</v>
      </c>
      <c r="C58" s="259" t="s">
        <v>1206</v>
      </c>
      <c r="D58" s="307">
        <f>887197+57499</f>
        <v>944696</v>
      </c>
      <c r="E58" s="308">
        <f>ROUND(D58/$D$8*100,2)</f>
        <v>0.14000000000000001</v>
      </c>
      <c r="F58" s="307">
        <v>935200</v>
      </c>
      <c r="G58" s="296">
        <f>ROUND(F58/$F$8*100,2)</f>
        <v>0.16</v>
      </c>
      <c r="H58" s="310">
        <f>D58-F58</f>
        <v>9496</v>
      </c>
      <c r="I58" s="311">
        <f>ROUND(H58/F58*100,2)</f>
        <v>1.02</v>
      </c>
      <c r="K58" s="215">
        <f>ROUND(A58/$A$8*100,5)</f>
        <v>30.33201</v>
      </c>
      <c r="L58" s="215">
        <f>ROUND(D58/$D$8*100,5)</f>
        <v>0.13517000000000001</v>
      </c>
      <c r="M58" s="215">
        <f>ROUND(F58/$F$8*100,5)</f>
        <v>0.15734999999999999</v>
      </c>
    </row>
    <row r="59" spans="1:13" s="858" customFormat="1" ht="37.5" customHeight="1" thickBot="1">
      <c r="A59" s="297">
        <v>45893</v>
      </c>
      <c r="B59" s="298">
        <f>ROUND(A59/$A$8*100,2)</f>
        <v>0.01</v>
      </c>
      <c r="C59" s="264" t="s">
        <v>611</v>
      </c>
      <c r="D59" s="312">
        <v>581</v>
      </c>
      <c r="E59" s="313">
        <f>ROUND(D59/$D$8*100,2)</f>
        <v>0</v>
      </c>
      <c r="F59" s="312">
        <v>556</v>
      </c>
      <c r="G59" s="298">
        <f>ROUND(F59/$F$8*100,2)</f>
        <v>0</v>
      </c>
      <c r="H59" s="326">
        <f>D59-F59</f>
        <v>25</v>
      </c>
      <c r="I59" s="327">
        <f>ROUND(H59/F59*100,2)</f>
        <v>4.5</v>
      </c>
      <c r="K59" s="215">
        <f>ROUND(A59/$A$8*100,5)</f>
        <v>5.5700000000000003E-3</v>
      </c>
      <c r="L59" s="215">
        <f>ROUND(D59/$D$8*100,5)</f>
        <v>8.0000000000000007E-5</v>
      </c>
      <c r="M59" s="215">
        <f>ROUND(F59/$F$8*100,5)</f>
        <v>9.0000000000000006E-5</v>
      </c>
    </row>
    <row r="60" spans="1:13" s="884" customFormat="1" ht="25.15" customHeight="1">
      <c r="A60" s="295">
        <v>58</v>
      </c>
      <c r="B60" s="296">
        <f t="shared" ref="B60" si="25">ROUND(A60/$A$8*100,2)</f>
        <v>0</v>
      </c>
      <c r="C60" s="259" t="s">
        <v>707</v>
      </c>
      <c r="D60" s="307">
        <v>9</v>
      </c>
      <c r="E60" s="308">
        <f>ROUND(D60/$D$8*100,2)</f>
        <v>0</v>
      </c>
      <c r="F60" s="307">
        <v>7</v>
      </c>
      <c r="G60" s="296">
        <f t="shared" ref="G60" si="26">ROUND(F60/$F$8*100,2)</f>
        <v>0</v>
      </c>
      <c r="H60" s="307">
        <f>D60-F60</f>
        <v>2</v>
      </c>
      <c r="I60" s="309">
        <f>ROUND(H60/F60*100,2)</f>
        <v>28.57</v>
      </c>
      <c r="K60" s="215"/>
      <c r="L60" s="215">
        <f t="shared" ref="L60" si="27">ROUND(D60/$D$8*100,5)</f>
        <v>0</v>
      </c>
      <c r="M60" s="215"/>
    </row>
    <row r="61" spans="1:13" s="858" customFormat="1" ht="25.15" customHeight="1">
      <c r="A61" s="295">
        <v>64594</v>
      </c>
      <c r="B61" s="296">
        <f t="shared" si="4"/>
        <v>0.01</v>
      </c>
      <c r="C61" s="259" t="s">
        <v>630</v>
      </c>
      <c r="D61" s="307">
        <f>D62</f>
        <v>68000</v>
      </c>
      <c r="E61" s="308">
        <f t="shared" si="13"/>
        <v>0.01</v>
      </c>
      <c r="F61" s="307">
        <f>F62</f>
        <v>68000</v>
      </c>
      <c r="G61" s="296">
        <f t="shared" si="9"/>
        <v>0.01</v>
      </c>
      <c r="H61" s="307">
        <f t="shared" si="0"/>
        <v>0</v>
      </c>
      <c r="I61" s="309">
        <f t="shared" si="1"/>
        <v>0</v>
      </c>
      <c r="K61" s="215">
        <f t="shared" si="2"/>
        <v>7.8399999999999997E-3</v>
      </c>
      <c r="L61" s="215">
        <f t="shared" si="3"/>
        <v>9.7300000000000008E-3</v>
      </c>
      <c r="M61" s="215">
        <f t="shared" si="10"/>
        <v>1.1440000000000001E-2</v>
      </c>
    </row>
    <row r="62" spans="1:13" s="858" customFormat="1" ht="25.15" customHeight="1">
      <c r="A62" s="295">
        <v>64594</v>
      </c>
      <c r="B62" s="344">
        <f t="shared" si="4"/>
        <v>0.01</v>
      </c>
      <c r="C62" s="259" t="s">
        <v>1206</v>
      </c>
      <c r="D62" s="307">
        <v>68000</v>
      </c>
      <c r="E62" s="308">
        <f t="shared" si="13"/>
        <v>0.01</v>
      </c>
      <c r="F62" s="307">
        <v>68000</v>
      </c>
      <c r="G62" s="296">
        <f t="shared" si="9"/>
        <v>0.01</v>
      </c>
      <c r="H62" s="307">
        <f t="shared" si="0"/>
        <v>0</v>
      </c>
      <c r="I62" s="309">
        <f t="shared" si="1"/>
        <v>0</v>
      </c>
      <c r="K62" s="215">
        <f t="shared" si="2"/>
        <v>7.8399999999999997E-3</v>
      </c>
      <c r="L62" s="215">
        <f t="shared" si="3"/>
        <v>9.7300000000000008E-3</v>
      </c>
      <c r="M62" s="215">
        <f t="shared" si="10"/>
        <v>1.1440000000000001E-2</v>
      </c>
    </row>
    <row r="63" spans="1:13" s="858" customFormat="1" ht="25.15" customHeight="1">
      <c r="A63" s="295">
        <v>39972151</v>
      </c>
      <c r="B63" s="296">
        <f t="shared" si="4"/>
        <v>4.8499999999999996</v>
      </c>
      <c r="C63" s="259" t="s">
        <v>631</v>
      </c>
      <c r="D63" s="307">
        <f>D64+D65</f>
        <v>0</v>
      </c>
      <c r="E63" s="308">
        <f t="shared" si="13"/>
        <v>0</v>
      </c>
      <c r="F63" s="307">
        <f>F64+F65</f>
        <v>0</v>
      </c>
      <c r="G63" s="296">
        <f t="shared" si="9"/>
        <v>0</v>
      </c>
      <c r="H63" s="307">
        <f>H64</f>
        <v>0</v>
      </c>
      <c r="I63" s="309">
        <v>0</v>
      </c>
      <c r="K63" s="215">
        <f t="shared" si="2"/>
        <v>4.8492899999999999</v>
      </c>
      <c r="L63" s="215">
        <f t="shared" si="3"/>
        <v>0</v>
      </c>
      <c r="M63" s="215">
        <f t="shared" si="10"/>
        <v>0</v>
      </c>
    </row>
    <row r="64" spans="1:13" s="858" customFormat="1" ht="25.15" customHeight="1">
      <c r="A64" s="295">
        <v>37973414</v>
      </c>
      <c r="B64" s="296">
        <f t="shared" si="4"/>
        <v>4.6100000000000003</v>
      </c>
      <c r="C64" s="259" t="s">
        <v>1206</v>
      </c>
      <c r="D64" s="307">
        <f>2911000-2911000</f>
        <v>0</v>
      </c>
      <c r="E64" s="308">
        <f t="shared" si="13"/>
        <v>0</v>
      </c>
      <c r="F64" s="307">
        <v>0</v>
      </c>
      <c r="G64" s="296">
        <f t="shared" si="9"/>
        <v>0</v>
      </c>
      <c r="H64" s="307">
        <v>0</v>
      </c>
      <c r="I64" s="309">
        <v>0</v>
      </c>
      <c r="K64" s="215">
        <f t="shared" si="2"/>
        <v>4.6068100000000003</v>
      </c>
      <c r="L64" s="215">
        <f t="shared" si="3"/>
        <v>0</v>
      </c>
      <c r="M64" s="215">
        <f t="shared" si="10"/>
        <v>0</v>
      </c>
    </row>
    <row r="65" spans="1:13" s="858" customFormat="1" ht="25.15" customHeight="1">
      <c r="A65" s="295">
        <v>1998737</v>
      </c>
      <c r="B65" s="296">
        <f t="shared" si="4"/>
        <v>0.24</v>
      </c>
      <c r="C65" s="259" t="s">
        <v>632</v>
      </c>
      <c r="D65" s="307">
        <f>227000-227000</f>
        <v>0</v>
      </c>
      <c r="E65" s="308">
        <f t="shared" si="13"/>
        <v>0</v>
      </c>
      <c r="F65" s="307">
        <v>0</v>
      </c>
      <c r="G65" s="296">
        <f t="shared" si="9"/>
        <v>0</v>
      </c>
      <c r="H65" s="307">
        <v>0</v>
      </c>
      <c r="I65" s="309">
        <v>0</v>
      </c>
      <c r="K65" s="215">
        <f t="shared" si="2"/>
        <v>0.24248</v>
      </c>
      <c r="L65" s="215">
        <f t="shared" si="3"/>
        <v>0</v>
      </c>
      <c r="M65" s="215">
        <f t="shared" si="10"/>
        <v>0</v>
      </c>
    </row>
    <row r="66" spans="1:13" s="30" customFormat="1" ht="25.15" customHeight="1">
      <c r="A66" s="293">
        <v>530555494</v>
      </c>
      <c r="B66" s="294">
        <f t="shared" si="4"/>
        <v>64.37</v>
      </c>
      <c r="C66" s="258" t="s">
        <v>633</v>
      </c>
      <c r="D66" s="304">
        <f>D67+D73+D78</f>
        <v>692223625</v>
      </c>
      <c r="E66" s="305">
        <f t="shared" si="13"/>
        <v>99.04</v>
      </c>
      <c r="F66" s="304">
        <f>F67+F73+F78</f>
        <v>588382016</v>
      </c>
      <c r="G66" s="294">
        <f t="shared" si="9"/>
        <v>99</v>
      </c>
      <c r="H66" s="314">
        <f t="shared" si="0"/>
        <v>103841609</v>
      </c>
      <c r="I66" s="315">
        <f t="shared" si="1"/>
        <v>17.649999999999999</v>
      </c>
      <c r="K66" s="214">
        <f t="shared" si="2"/>
        <v>64.365300000000005</v>
      </c>
      <c r="L66" s="214">
        <f t="shared" si="3"/>
        <v>99.044409999999999</v>
      </c>
      <c r="M66" s="214">
        <f t="shared" si="10"/>
        <v>98.995069999999998</v>
      </c>
    </row>
    <row r="67" spans="1:13" s="858" customFormat="1" ht="25.15" customHeight="1">
      <c r="A67" s="295">
        <v>516438493</v>
      </c>
      <c r="B67" s="296">
        <f t="shared" si="4"/>
        <v>62.65</v>
      </c>
      <c r="C67" s="259" t="s">
        <v>634</v>
      </c>
      <c r="D67" s="307">
        <f>SUM(D68:D72)</f>
        <v>586951800</v>
      </c>
      <c r="E67" s="308">
        <f t="shared" si="13"/>
        <v>83.98</v>
      </c>
      <c r="F67" s="307">
        <f>SUM(F68:F72)</f>
        <v>578746464</v>
      </c>
      <c r="G67" s="296">
        <f t="shared" si="9"/>
        <v>97.37</v>
      </c>
      <c r="H67" s="310">
        <f>D67-F67</f>
        <v>8205336</v>
      </c>
      <c r="I67" s="311">
        <f>ROUND(H67/F67*100,2)</f>
        <v>1.42</v>
      </c>
      <c r="K67" s="215">
        <f t="shared" si="2"/>
        <v>62.652670000000001</v>
      </c>
      <c r="L67" s="215">
        <f t="shared" si="3"/>
        <v>83.981960000000001</v>
      </c>
      <c r="M67" s="215">
        <f t="shared" si="10"/>
        <v>97.373900000000006</v>
      </c>
    </row>
    <row r="68" spans="1:13" s="858" customFormat="1" ht="25.15" customHeight="1">
      <c r="A68" s="295">
        <v>481427175</v>
      </c>
      <c r="B68" s="296">
        <f t="shared" si="4"/>
        <v>58.41</v>
      </c>
      <c r="C68" s="259" t="s">
        <v>1206</v>
      </c>
      <c r="D68" s="307">
        <v>543211117</v>
      </c>
      <c r="E68" s="308">
        <f t="shared" si="13"/>
        <v>77.72</v>
      </c>
      <c r="F68" s="307">
        <v>536712433</v>
      </c>
      <c r="G68" s="296">
        <f t="shared" si="9"/>
        <v>90.3</v>
      </c>
      <c r="H68" s="307">
        <f t="shared" ref="H68:H120" si="28">D68-F68</f>
        <v>6498684</v>
      </c>
      <c r="I68" s="309">
        <f t="shared" ref="I68:I120" si="29">ROUND(H68/F68*100,2)</f>
        <v>1.21</v>
      </c>
      <c r="K68" s="215">
        <f t="shared" ref="K68:K121" si="30">ROUND(A68/$A$8*100,5)</f>
        <v>58.405209999999997</v>
      </c>
      <c r="L68" s="215">
        <f t="shared" ref="L68:L121" si="31">ROUND(D68/$D$8*100,5)</f>
        <v>77.723470000000006</v>
      </c>
      <c r="M68" s="215">
        <f t="shared" si="10"/>
        <v>90.301680000000005</v>
      </c>
    </row>
    <row r="69" spans="1:13" s="858" customFormat="1" ht="25.15" customHeight="1">
      <c r="A69" s="295">
        <v>20840606</v>
      </c>
      <c r="B69" s="296">
        <f t="shared" ref="B69:B121" si="32">ROUND(A69/$A$8*100,2)</f>
        <v>2.5299999999999998</v>
      </c>
      <c r="C69" s="259" t="s">
        <v>632</v>
      </c>
      <c r="D69" s="307">
        <v>24949551</v>
      </c>
      <c r="E69" s="308">
        <f t="shared" si="13"/>
        <v>3.57</v>
      </c>
      <c r="F69" s="307">
        <v>25351364</v>
      </c>
      <c r="G69" s="296">
        <f t="shared" si="9"/>
        <v>4.2699999999999996</v>
      </c>
      <c r="H69" s="310">
        <f t="shared" si="28"/>
        <v>-401813</v>
      </c>
      <c r="I69" s="311">
        <f t="shared" si="29"/>
        <v>-1.58</v>
      </c>
      <c r="K69" s="215">
        <f t="shared" si="30"/>
        <v>2.5283199999999999</v>
      </c>
      <c r="L69" s="215">
        <f t="shared" si="31"/>
        <v>3.56982</v>
      </c>
      <c r="M69" s="215">
        <f t="shared" si="10"/>
        <v>4.2653600000000003</v>
      </c>
    </row>
    <row r="70" spans="1:13" s="858" customFormat="1" ht="25.15" customHeight="1">
      <c r="A70" s="295">
        <v>6997444</v>
      </c>
      <c r="B70" s="296">
        <f t="shared" si="32"/>
        <v>0.85</v>
      </c>
      <c r="C70" s="259" t="s">
        <v>524</v>
      </c>
      <c r="D70" s="307">
        <v>10888472</v>
      </c>
      <c r="E70" s="308">
        <f t="shared" si="13"/>
        <v>1.56</v>
      </c>
      <c r="F70" s="307">
        <v>6755991</v>
      </c>
      <c r="G70" s="296">
        <f t="shared" si="9"/>
        <v>1.1399999999999999</v>
      </c>
      <c r="H70" s="310">
        <f t="shared" si="28"/>
        <v>4132481</v>
      </c>
      <c r="I70" s="311">
        <f t="shared" si="29"/>
        <v>61.17</v>
      </c>
      <c r="K70" s="215">
        <f t="shared" si="30"/>
        <v>0.84891000000000005</v>
      </c>
      <c r="L70" s="215">
        <f t="shared" si="31"/>
        <v>1.5579400000000001</v>
      </c>
      <c r="M70" s="215">
        <f t="shared" si="10"/>
        <v>1.13669</v>
      </c>
    </row>
    <row r="71" spans="1:13" s="858" customFormat="1" ht="25.15" customHeight="1">
      <c r="A71" s="295">
        <v>77889</v>
      </c>
      <c r="B71" s="296">
        <f t="shared" si="32"/>
        <v>0.01</v>
      </c>
      <c r="C71" s="259" t="s">
        <v>526</v>
      </c>
      <c r="D71" s="307">
        <v>238494</v>
      </c>
      <c r="E71" s="308">
        <f t="shared" si="13"/>
        <v>0.03</v>
      </c>
      <c r="F71" s="307">
        <v>172474</v>
      </c>
      <c r="G71" s="296">
        <f t="shared" si="9"/>
        <v>0.03</v>
      </c>
      <c r="H71" s="310">
        <f t="shared" si="28"/>
        <v>66020</v>
      </c>
      <c r="I71" s="311">
        <f t="shared" si="29"/>
        <v>38.28</v>
      </c>
      <c r="K71" s="215">
        <f t="shared" si="30"/>
        <v>9.4500000000000001E-3</v>
      </c>
      <c r="L71" s="215">
        <f t="shared" si="31"/>
        <v>3.4119999999999998E-2</v>
      </c>
      <c r="M71" s="215">
        <f t="shared" si="10"/>
        <v>2.9020000000000001E-2</v>
      </c>
    </row>
    <row r="72" spans="1:13" s="884" customFormat="1" ht="25.15" customHeight="1">
      <c r="A72" s="295">
        <v>7095379</v>
      </c>
      <c r="B72" s="296">
        <f t="shared" si="32"/>
        <v>0.86</v>
      </c>
      <c r="C72" s="259" t="s">
        <v>707</v>
      </c>
      <c r="D72" s="307">
        <v>7664166</v>
      </c>
      <c r="E72" s="308">
        <f>ROUND(D72/$D$8*100,2)</f>
        <v>1.1000000000000001</v>
      </c>
      <c r="F72" s="307">
        <f>9502061+252141</f>
        <v>9754202</v>
      </c>
      <c r="G72" s="296">
        <f t="shared" ref="G72" si="33">ROUND(F72/$F$8*100,2)</f>
        <v>1.64</v>
      </c>
      <c r="H72" s="310">
        <f>D72-F72</f>
        <v>-2090036</v>
      </c>
      <c r="I72" s="311">
        <f t="shared" si="29"/>
        <v>-21.43</v>
      </c>
      <c r="K72" s="215"/>
      <c r="L72" s="215">
        <f>ROUND(D72/$D$8*100,5)</f>
        <v>1.0966</v>
      </c>
      <c r="M72" s="215"/>
    </row>
    <row r="73" spans="1:13" s="858" customFormat="1" ht="25.15" customHeight="1">
      <c r="A73" s="295">
        <v>13311535</v>
      </c>
      <c r="B73" s="296">
        <f t="shared" si="32"/>
        <v>1.61</v>
      </c>
      <c r="C73" s="259" t="s">
        <v>635</v>
      </c>
      <c r="D73" s="1268">
        <f>SUM(D74:D77)</f>
        <v>104526278</v>
      </c>
      <c r="E73" s="308">
        <f t="shared" si="13"/>
        <v>14.96</v>
      </c>
      <c r="F73" s="307">
        <f>SUM(F74:F77)</f>
        <v>8724835</v>
      </c>
      <c r="G73" s="296">
        <f t="shared" ref="G73:G121" si="34">ROUND(F73/$F$8*100,2)</f>
        <v>1.47</v>
      </c>
      <c r="H73" s="310">
        <f t="shared" si="28"/>
        <v>95801443</v>
      </c>
      <c r="I73" s="311">
        <f>ROUND(H73/F73*100,2)</f>
        <v>1098.03</v>
      </c>
      <c r="K73" s="215">
        <f t="shared" si="30"/>
        <v>1.6149100000000001</v>
      </c>
      <c r="L73" s="215">
        <f t="shared" si="31"/>
        <v>14.955780000000001</v>
      </c>
      <c r="M73" s="215">
        <f t="shared" si="10"/>
        <v>1.4679500000000001</v>
      </c>
    </row>
    <row r="74" spans="1:13" s="858" customFormat="1" ht="25.15" customHeight="1">
      <c r="A74" s="295">
        <v>0</v>
      </c>
      <c r="B74" s="296">
        <f t="shared" si="32"/>
        <v>0</v>
      </c>
      <c r="C74" s="259" t="s">
        <v>1206</v>
      </c>
      <c r="D74" s="307">
        <f>77931897+20000000</f>
        <v>97931897</v>
      </c>
      <c r="E74" s="308">
        <f t="shared" si="13"/>
        <v>14.01</v>
      </c>
      <c r="F74" s="307">
        <f>4641046+1000000</f>
        <v>5641046</v>
      </c>
      <c r="G74" s="296">
        <f t="shared" si="34"/>
        <v>0.95</v>
      </c>
      <c r="H74" s="310">
        <f t="shared" si="28"/>
        <v>92290851</v>
      </c>
      <c r="I74" s="311">
        <f t="shared" si="29"/>
        <v>1636.06</v>
      </c>
      <c r="K74" s="215">
        <f t="shared" si="30"/>
        <v>0</v>
      </c>
      <c r="L74" s="215">
        <f t="shared" si="31"/>
        <v>14.01225</v>
      </c>
      <c r="M74" s="215">
        <f t="shared" si="10"/>
        <v>0.94910000000000005</v>
      </c>
    </row>
    <row r="75" spans="1:13" s="858" customFormat="1" ht="25.15" customHeight="1">
      <c r="A75" s="295">
        <v>11838931</v>
      </c>
      <c r="B75" s="296">
        <f t="shared" si="32"/>
        <v>1.44</v>
      </c>
      <c r="C75" s="259" t="s">
        <v>611</v>
      </c>
      <c r="D75" s="307">
        <f>4998246+15000-3066</f>
        <v>5010180</v>
      </c>
      <c r="E75" s="308">
        <f t="shared" ref="E75:E119" si="35">ROUND(D75/$D$8*100,2)</f>
        <v>0.72</v>
      </c>
      <c r="F75" s="307">
        <f>3077004+6785</f>
        <v>3083789</v>
      </c>
      <c r="G75" s="296">
        <f t="shared" si="34"/>
        <v>0.52</v>
      </c>
      <c r="H75" s="310">
        <f t="shared" si="28"/>
        <v>1926391</v>
      </c>
      <c r="I75" s="311">
        <f t="shared" si="29"/>
        <v>62.47</v>
      </c>
      <c r="K75" s="215">
        <f t="shared" si="30"/>
        <v>1.4362600000000001</v>
      </c>
      <c r="L75" s="215">
        <f t="shared" si="31"/>
        <v>0.71686000000000005</v>
      </c>
      <c r="M75" s="215">
        <f t="shared" si="10"/>
        <v>0.51885000000000003</v>
      </c>
    </row>
    <row r="76" spans="1:13" s="858" customFormat="1" ht="25.15" customHeight="1">
      <c r="A76" s="295">
        <v>18859</v>
      </c>
      <c r="B76" s="344">
        <f t="shared" si="32"/>
        <v>0</v>
      </c>
      <c r="C76" s="259" t="s">
        <v>526</v>
      </c>
      <c r="D76" s="307">
        <v>0</v>
      </c>
      <c r="E76" s="308">
        <f t="shared" si="35"/>
        <v>0</v>
      </c>
      <c r="F76" s="307">
        <v>0</v>
      </c>
      <c r="G76" s="296">
        <f t="shared" si="34"/>
        <v>0</v>
      </c>
      <c r="H76" s="307">
        <f t="shared" si="28"/>
        <v>0</v>
      </c>
      <c r="I76" s="309">
        <v>0</v>
      </c>
      <c r="K76" s="215">
        <f t="shared" si="30"/>
        <v>2.2899999999999999E-3</v>
      </c>
      <c r="L76" s="215">
        <f t="shared" si="31"/>
        <v>0</v>
      </c>
      <c r="M76" s="215">
        <f t="shared" si="10"/>
        <v>0</v>
      </c>
    </row>
    <row r="77" spans="1:13" s="884" customFormat="1" ht="25.15" customHeight="1">
      <c r="A77" s="295">
        <v>1453745</v>
      </c>
      <c r="B77" s="296">
        <f t="shared" ref="B77" si="36">ROUND(A77/$A$8*100,2)</f>
        <v>0.18</v>
      </c>
      <c r="C77" s="259" t="s">
        <v>707</v>
      </c>
      <c r="D77" s="307">
        <f>1578402+5799</f>
        <v>1584201</v>
      </c>
      <c r="E77" s="308">
        <f>ROUND(D77/$D$8*100,2)</f>
        <v>0.23</v>
      </c>
      <c r="F77" s="307">
        <v>0</v>
      </c>
      <c r="G77" s="296">
        <f t="shared" si="34"/>
        <v>0</v>
      </c>
      <c r="H77" s="310">
        <f>D77-F77</f>
        <v>1584201</v>
      </c>
      <c r="I77" s="311" t="s">
        <v>1377</v>
      </c>
      <c r="K77" s="215"/>
      <c r="L77" s="215">
        <f t="shared" si="31"/>
        <v>0.22667000000000001</v>
      </c>
      <c r="M77" s="215"/>
    </row>
    <row r="78" spans="1:13" s="858" customFormat="1" ht="25.15" customHeight="1">
      <c r="A78" s="295">
        <v>805467</v>
      </c>
      <c r="B78" s="296">
        <f t="shared" si="32"/>
        <v>0.1</v>
      </c>
      <c r="C78" s="259" t="s">
        <v>636</v>
      </c>
      <c r="D78" s="307">
        <f>SUM(D79:D82)</f>
        <v>745547</v>
      </c>
      <c r="E78" s="308">
        <f t="shared" si="35"/>
        <v>0.11</v>
      </c>
      <c r="F78" s="307">
        <f>SUM(F79:F82)</f>
        <v>910717</v>
      </c>
      <c r="G78" s="296">
        <f t="shared" si="34"/>
        <v>0.15</v>
      </c>
      <c r="H78" s="310">
        <f t="shared" si="28"/>
        <v>-165170</v>
      </c>
      <c r="I78" s="311">
        <f t="shared" si="29"/>
        <v>-18.14</v>
      </c>
      <c r="K78" s="215">
        <f t="shared" si="30"/>
        <v>9.7720000000000001E-2</v>
      </c>
      <c r="L78" s="215">
        <f t="shared" si="31"/>
        <v>0.10667</v>
      </c>
      <c r="M78" s="215">
        <f t="shared" si="10"/>
        <v>0.15323000000000001</v>
      </c>
    </row>
    <row r="79" spans="1:13" s="858" customFormat="1" ht="25.15" customHeight="1">
      <c r="A79" s="295">
        <v>733741</v>
      </c>
      <c r="B79" s="296">
        <f t="shared" si="32"/>
        <v>0.09</v>
      </c>
      <c r="C79" s="259" t="s">
        <v>1206</v>
      </c>
      <c r="D79" s="307">
        <v>671794</v>
      </c>
      <c r="E79" s="308">
        <f t="shared" si="35"/>
        <v>0.1</v>
      </c>
      <c r="F79" s="307">
        <v>764741</v>
      </c>
      <c r="G79" s="296">
        <f t="shared" si="34"/>
        <v>0.13</v>
      </c>
      <c r="H79" s="310">
        <f t="shared" si="28"/>
        <v>-92947</v>
      </c>
      <c r="I79" s="311">
        <f t="shared" si="29"/>
        <v>-12.15</v>
      </c>
      <c r="K79" s="215">
        <f t="shared" si="30"/>
        <v>8.9020000000000002E-2</v>
      </c>
      <c r="L79" s="215">
        <f t="shared" si="31"/>
        <v>9.6119999999999997E-2</v>
      </c>
      <c r="M79" s="215">
        <f t="shared" si="10"/>
        <v>0.12867000000000001</v>
      </c>
    </row>
    <row r="80" spans="1:13" s="858" customFormat="1" ht="25.15" customHeight="1">
      <c r="A80" s="295">
        <v>42731</v>
      </c>
      <c r="B80" s="296">
        <f t="shared" si="32"/>
        <v>0.01</v>
      </c>
      <c r="C80" s="259" t="s">
        <v>637</v>
      </c>
      <c r="D80" s="307">
        <v>35853</v>
      </c>
      <c r="E80" s="308">
        <f t="shared" si="35"/>
        <v>0.01</v>
      </c>
      <c r="F80" s="307">
        <v>45166</v>
      </c>
      <c r="G80" s="296">
        <f t="shared" si="34"/>
        <v>0.01</v>
      </c>
      <c r="H80" s="310">
        <f t="shared" si="28"/>
        <v>-9313</v>
      </c>
      <c r="I80" s="311">
        <f t="shared" si="29"/>
        <v>-20.62</v>
      </c>
      <c r="K80" s="215">
        <f t="shared" si="30"/>
        <v>5.1799999999999997E-3</v>
      </c>
      <c r="L80" s="215">
        <f t="shared" si="31"/>
        <v>5.13E-3</v>
      </c>
      <c r="M80" s="215">
        <f t="shared" si="10"/>
        <v>7.6E-3</v>
      </c>
    </row>
    <row r="81" spans="1:16" s="858" customFormat="1" ht="25.15" customHeight="1">
      <c r="A81" s="295">
        <v>4949</v>
      </c>
      <c r="B81" s="296">
        <f t="shared" si="32"/>
        <v>0</v>
      </c>
      <c r="C81" s="259" t="s">
        <v>524</v>
      </c>
      <c r="D81" s="307">
        <v>5280</v>
      </c>
      <c r="E81" s="308">
        <f t="shared" si="35"/>
        <v>0</v>
      </c>
      <c r="F81" s="307">
        <v>6570</v>
      </c>
      <c r="G81" s="296">
        <f t="shared" si="34"/>
        <v>0</v>
      </c>
      <c r="H81" s="310">
        <f t="shared" si="28"/>
        <v>-1290</v>
      </c>
      <c r="I81" s="311">
        <f t="shared" si="29"/>
        <v>-19.63</v>
      </c>
      <c r="K81" s="215">
        <f t="shared" si="30"/>
        <v>5.9999999999999995E-4</v>
      </c>
      <c r="L81" s="215">
        <f t="shared" si="31"/>
        <v>7.6000000000000004E-4</v>
      </c>
      <c r="M81" s="215">
        <f t="shared" si="10"/>
        <v>1.1100000000000001E-3</v>
      </c>
    </row>
    <row r="82" spans="1:16" s="884" customFormat="1" ht="25.15" customHeight="1">
      <c r="A82" s="295">
        <v>24046</v>
      </c>
      <c r="B82" s="296">
        <f t="shared" ref="B82" si="37">ROUND(A82/$A$8*100,2)</f>
        <v>0</v>
      </c>
      <c r="C82" s="259" t="s">
        <v>707</v>
      </c>
      <c r="D82" s="307">
        <v>32620</v>
      </c>
      <c r="E82" s="308">
        <f>ROUND(D82/$D$8*100,2)</f>
        <v>0</v>
      </c>
      <c r="F82" s="307">
        <v>94240</v>
      </c>
      <c r="G82" s="296">
        <f t="shared" ref="G82" si="38">ROUND(F82/$F$8*100,2)</f>
        <v>0.02</v>
      </c>
      <c r="H82" s="310">
        <f>D82-F82</f>
        <v>-61620</v>
      </c>
      <c r="I82" s="311">
        <f t="shared" si="29"/>
        <v>-65.39</v>
      </c>
      <c r="K82" s="215"/>
      <c r="L82" s="215">
        <f t="shared" si="31"/>
        <v>4.6699999999999997E-3</v>
      </c>
      <c r="M82" s="215"/>
    </row>
    <row r="83" spans="1:16" s="30" customFormat="1" ht="25.15" customHeight="1">
      <c r="A83" s="293">
        <v>3972891</v>
      </c>
      <c r="B83" s="294">
        <f t="shared" si="32"/>
        <v>0.48</v>
      </c>
      <c r="C83" s="258" t="s">
        <v>638</v>
      </c>
      <c r="D83" s="304">
        <f>SUM(D84:D84)</f>
        <v>5959146</v>
      </c>
      <c r="E83" s="305">
        <f t="shared" si="35"/>
        <v>0.85</v>
      </c>
      <c r="F83" s="304">
        <f>SUM(F84:F84)</f>
        <v>5228218</v>
      </c>
      <c r="G83" s="294">
        <f t="shared" si="34"/>
        <v>0.88</v>
      </c>
      <c r="H83" s="314">
        <f t="shared" si="28"/>
        <v>730928</v>
      </c>
      <c r="I83" s="315">
        <f t="shared" si="29"/>
        <v>13.98</v>
      </c>
      <c r="K83" s="214">
        <f t="shared" si="30"/>
        <v>0.48198000000000002</v>
      </c>
      <c r="L83" s="214">
        <f t="shared" si="31"/>
        <v>0.85263999999999995</v>
      </c>
      <c r="M83" s="214">
        <f t="shared" si="10"/>
        <v>0.87965000000000004</v>
      </c>
    </row>
    <row r="84" spans="1:16" s="858" customFormat="1" ht="39" customHeight="1" thickBot="1">
      <c r="A84" s="297">
        <v>3972891</v>
      </c>
      <c r="B84" s="298">
        <f t="shared" si="32"/>
        <v>0.48</v>
      </c>
      <c r="C84" s="264" t="s">
        <v>639</v>
      </c>
      <c r="D84" s="312">
        <f>SUM(D85:D87)</f>
        <v>5959146</v>
      </c>
      <c r="E84" s="313">
        <f t="shared" si="35"/>
        <v>0.85</v>
      </c>
      <c r="F84" s="312">
        <f>SUM(F85:F87)</f>
        <v>5228218</v>
      </c>
      <c r="G84" s="298">
        <f t="shared" si="34"/>
        <v>0.88</v>
      </c>
      <c r="H84" s="326">
        <f>D84-F84</f>
        <v>730928</v>
      </c>
      <c r="I84" s="327">
        <f t="shared" si="29"/>
        <v>13.98</v>
      </c>
      <c r="K84" s="215">
        <f t="shared" si="30"/>
        <v>0.48198000000000002</v>
      </c>
      <c r="L84" s="215">
        <f t="shared" si="31"/>
        <v>0.85263999999999995</v>
      </c>
      <c r="M84" s="215">
        <f t="shared" si="10"/>
        <v>0.87965000000000004</v>
      </c>
    </row>
    <row r="85" spans="1:16" s="858" customFormat="1" ht="25.15" customHeight="1">
      <c r="A85" s="295">
        <v>3104765</v>
      </c>
      <c r="B85" s="296">
        <f t="shared" si="32"/>
        <v>0.38</v>
      </c>
      <c r="C85" s="259" t="s">
        <v>637</v>
      </c>
      <c r="D85" s="307">
        <f>4474467-15000</f>
        <v>4459467</v>
      </c>
      <c r="E85" s="308">
        <f t="shared" si="35"/>
        <v>0.64</v>
      </c>
      <c r="F85" s="307">
        <f>4048216-6785</f>
        <v>4041431</v>
      </c>
      <c r="G85" s="296">
        <f t="shared" si="34"/>
        <v>0.68</v>
      </c>
      <c r="H85" s="310">
        <f t="shared" si="28"/>
        <v>418036</v>
      </c>
      <c r="I85" s="311">
        <f t="shared" si="29"/>
        <v>10.34</v>
      </c>
      <c r="K85" s="215">
        <f t="shared" si="30"/>
        <v>0.37665999999999999</v>
      </c>
      <c r="L85" s="215">
        <f t="shared" si="31"/>
        <v>0.63807000000000003</v>
      </c>
      <c r="M85" s="215">
        <f t="shared" si="10"/>
        <v>0.67996999999999996</v>
      </c>
      <c r="P85" s="778"/>
    </row>
    <row r="86" spans="1:16" s="858" customFormat="1" ht="25.15" customHeight="1">
      <c r="A86" s="295">
        <v>26213</v>
      </c>
      <c r="B86" s="296">
        <f t="shared" si="32"/>
        <v>0</v>
      </c>
      <c r="C86" s="259" t="s">
        <v>640</v>
      </c>
      <c r="D86" s="307">
        <f>97145+4253</f>
        <v>101398</v>
      </c>
      <c r="E86" s="308">
        <f t="shared" si="35"/>
        <v>0.01</v>
      </c>
      <c r="F86" s="307">
        <v>24265</v>
      </c>
      <c r="G86" s="296">
        <f t="shared" si="34"/>
        <v>0</v>
      </c>
      <c r="H86" s="307">
        <f t="shared" si="28"/>
        <v>77133</v>
      </c>
      <c r="I86" s="309">
        <f t="shared" si="29"/>
        <v>317.88</v>
      </c>
      <c r="K86" s="215">
        <f t="shared" si="30"/>
        <v>3.1800000000000001E-3</v>
      </c>
      <c r="L86" s="215">
        <f t="shared" si="31"/>
        <v>1.451E-2</v>
      </c>
      <c r="M86" s="215">
        <f t="shared" si="10"/>
        <v>4.0800000000000003E-3</v>
      </c>
    </row>
    <row r="87" spans="1:16" s="884" customFormat="1" ht="25.15" customHeight="1">
      <c r="A87" s="295">
        <v>841912</v>
      </c>
      <c r="B87" s="296">
        <f t="shared" ref="B87" si="39">ROUND(A87/$A$8*100,2)</f>
        <v>0.1</v>
      </c>
      <c r="C87" s="259" t="s">
        <v>707</v>
      </c>
      <c r="D87" s="307">
        <f>1404080-5799</f>
        <v>1398281</v>
      </c>
      <c r="E87" s="308">
        <f>ROUND(D87/$D$8*100,2)</f>
        <v>0.2</v>
      </c>
      <c r="F87" s="307">
        <f>1164522-2000</f>
        <v>1162522</v>
      </c>
      <c r="G87" s="296">
        <f t="shared" ref="G87" si="40">ROUND(F87/$F$8*100,2)</f>
        <v>0.2</v>
      </c>
      <c r="H87" s="310">
        <f>D87-F87</f>
        <v>235759</v>
      </c>
      <c r="I87" s="311">
        <f t="shared" si="29"/>
        <v>20.28</v>
      </c>
      <c r="K87" s="215"/>
      <c r="L87" s="215">
        <f t="shared" si="31"/>
        <v>0.20007</v>
      </c>
      <c r="M87" s="215"/>
    </row>
    <row r="88" spans="1:16" s="30" customFormat="1" ht="25.15" customHeight="1">
      <c r="A88" s="300">
        <v>-375122</v>
      </c>
      <c r="B88" s="301">
        <f t="shared" si="32"/>
        <v>-0.05</v>
      </c>
      <c r="C88" s="258" t="s">
        <v>641</v>
      </c>
      <c r="D88" s="314">
        <f>+D8-D52</f>
        <v>-326221</v>
      </c>
      <c r="E88" s="301">
        <f t="shared" si="35"/>
        <v>-0.05</v>
      </c>
      <c r="F88" s="314">
        <f>+F8-F52</f>
        <v>-290732</v>
      </c>
      <c r="G88" s="301">
        <f t="shared" si="34"/>
        <v>-0.05</v>
      </c>
      <c r="H88" s="314">
        <f t="shared" si="28"/>
        <v>-35489</v>
      </c>
      <c r="I88" s="315">
        <f t="shared" si="29"/>
        <v>12.21</v>
      </c>
      <c r="K88" s="214">
        <f t="shared" si="30"/>
        <v>-4.5510000000000002E-2</v>
      </c>
      <c r="L88" s="214">
        <f t="shared" si="31"/>
        <v>-4.6679999999999999E-2</v>
      </c>
      <c r="M88" s="214">
        <f t="shared" si="10"/>
        <v>-4.8919999999999998E-2</v>
      </c>
    </row>
    <row r="89" spans="1:16" s="30" customFormat="1" ht="25.15" customHeight="1">
      <c r="A89" s="302">
        <v>375845</v>
      </c>
      <c r="B89" s="294">
        <f t="shared" si="32"/>
        <v>0.05</v>
      </c>
      <c r="C89" s="258" t="s">
        <v>642</v>
      </c>
      <c r="D89" s="318">
        <f>D90+D96</f>
        <v>328255</v>
      </c>
      <c r="E89" s="305">
        <f t="shared" si="35"/>
        <v>0.05</v>
      </c>
      <c r="F89" s="318">
        <f>F90+F96</f>
        <v>290887</v>
      </c>
      <c r="G89" s="294">
        <f t="shared" si="34"/>
        <v>0.05</v>
      </c>
      <c r="H89" s="314">
        <f t="shared" si="28"/>
        <v>37368</v>
      </c>
      <c r="I89" s="315">
        <f t="shared" si="29"/>
        <v>12.85</v>
      </c>
      <c r="K89" s="214">
        <f t="shared" si="30"/>
        <v>4.5600000000000002E-2</v>
      </c>
      <c r="L89" s="214">
        <f t="shared" si="31"/>
        <v>4.6969999999999998E-2</v>
      </c>
      <c r="M89" s="214">
        <f t="shared" si="10"/>
        <v>4.8939999999999997E-2</v>
      </c>
    </row>
    <row r="90" spans="1:16" s="30" customFormat="1" ht="25.15" customHeight="1">
      <c r="A90" s="293">
        <v>524</v>
      </c>
      <c r="B90" s="296">
        <f t="shared" si="32"/>
        <v>0</v>
      </c>
      <c r="C90" s="258" t="s">
        <v>643</v>
      </c>
      <c r="D90" s="304">
        <f>D91</f>
        <v>394</v>
      </c>
      <c r="E90" s="308">
        <f t="shared" si="35"/>
        <v>0</v>
      </c>
      <c r="F90" s="304">
        <f>F91</f>
        <v>382</v>
      </c>
      <c r="G90" s="296">
        <f t="shared" si="34"/>
        <v>0</v>
      </c>
      <c r="H90" s="314">
        <f t="shared" si="28"/>
        <v>12</v>
      </c>
      <c r="I90" s="315">
        <f t="shared" si="29"/>
        <v>3.14</v>
      </c>
      <c r="K90" s="214">
        <f t="shared" si="30"/>
        <v>6.0000000000000002E-5</v>
      </c>
      <c r="L90" s="214">
        <f t="shared" si="31"/>
        <v>6.0000000000000002E-5</v>
      </c>
      <c r="M90" s="214">
        <f t="shared" si="10"/>
        <v>6.0000000000000002E-5</v>
      </c>
    </row>
    <row r="91" spans="1:16" s="858" customFormat="1" ht="25.15" customHeight="1">
      <c r="A91" s="295">
        <v>524</v>
      </c>
      <c r="B91" s="296">
        <f t="shared" si="32"/>
        <v>0</v>
      </c>
      <c r="C91" s="259" t="s">
        <v>644</v>
      </c>
      <c r="D91" s="307">
        <f>SUM(D92:D95)</f>
        <v>394</v>
      </c>
      <c r="E91" s="308">
        <f t="shared" si="35"/>
        <v>0</v>
      </c>
      <c r="F91" s="307">
        <f>SUM(F92:F95)</f>
        <v>382</v>
      </c>
      <c r="G91" s="296">
        <f t="shared" si="34"/>
        <v>0</v>
      </c>
      <c r="H91" s="310">
        <f>D91-F91</f>
        <v>12</v>
      </c>
      <c r="I91" s="311">
        <f t="shared" si="29"/>
        <v>3.14</v>
      </c>
      <c r="K91" s="215">
        <f t="shared" si="30"/>
        <v>6.0000000000000002E-5</v>
      </c>
      <c r="L91" s="215">
        <f t="shared" si="31"/>
        <v>6.0000000000000002E-5</v>
      </c>
      <c r="M91" s="215">
        <f t="shared" si="10"/>
        <v>6.0000000000000002E-5</v>
      </c>
    </row>
    <row r="92" spans="1:16" s="858" customFormat="1" ht="25.15" customHeight="1">
      <c r="A92" s="295">
        <v>416</v>
      </c>
      <c r="B92" s="296">
        <f t="shared" si="32"/>
        <v>0</v>
      </c>
      <c r="C92" s="259" t="s">
        <v>1206</v>
      </c>
      <c r="D92" s="307">
        <v>320</v>
      </c>
      <c r="E92" s="308">
        <f t="shared" si="35"/>
        <v>0</v>
      </c>
      <c r="F92" s="307">
        <v>313</v>
      </c>
      <c r="G92" s="296">
        <f t="shared" si="34"/>
        <v>0</v>
      </c>
      <c r="H92" s="310">
        <f t="shared" si="28"/>
        <v>7</v>
      </c>
      <c r="I92" s="311">
        <f t="shared" si="29"/>
        <v>2.2400000000000002</v>
      </c>
      <c r="K92" s="215">
        <f t="shared" si="30"/>
        <v>5.0000000000000002E-5</v>
      </c>
      <c r="L92" s="215">
        <f t="shared" si="31"/>
        <v>5.0000000000000002E-5</v>
      </c>
      <c r="M92" s="215">
        <f t="shared" si="10"/>
        <v>5.0000000000000002E-5</v>
      </c>
    </row>
    <row r="93" spans="1:16" s="858" customFormat="1" ht="25.15" customHeight="1">
      <c r="A93" s="295">
        <v>72</v>
      </c>
      <c r="B93" s="296">
        <f t="shared" si="32"/>
        <v>0</v>
      </c>
      <c r="C93" s="259" t="s">
        <v>611</v>
      </c>
      <c r="D93" s="307">
        <v>43</v>
      </c>
      <c r="E93" s="308">
        <f t="shared" si="35"/>
        <v>0</v>
      </c>
      <c r="F93" s="307">
        <v>41</v>
      </c>
      <c r="G93" s="296">
        <f t="shared" si="34"/>
        <v>0</v>
      </c>
      <c r="H93" s="310">
        <f t="shared" si="28"/>
        <v>2</v>
      </c>
      <c r="I93" s="311">
        <f t="shared" si="29"/>
        <v>4.88</v>
      </c>
      <c r="K93" s="215">
        <f t="shared" si="30"/>
        <v>1.0000000000000001E-5</v>
      </c>
      <c r="L93" s="215">
        <f t="shared" si="31"/>
        <v>1.0000000000000001E-5</v>
      </c>
      <c r="M93" s="215">
        <f t="shared" si="10"/>
        <v>1.0000000000000001E-5</v>
      </c>
    </row>
    <row r="94" spans="1:16" s="858" customFormat="1" ht="25.15" customHeight="1">
      <c r="A94" s="295">
        <v>16</v>
      </c>
      <c r="B94" s="296">
        <f t="shared" si="32"/>
        <v>0</v>
      </c>
      <c r="C94" s="259" t="s">
        <v>524</v>
      </c>
      <c r="D94" s="307">
        <v>7</v>
      </c>
      <c r="E94" s="308">
        <f t="shared" si="35"/>
        <v>0</v>
      </c>
      <c r="F94" s="307">
        <v>4</v>
      </c>
      <c r="G94" s="296">
        <f t="shared" si="34"/>
        <v>0</v>
      </c>
      <c r="H94" s="310">
        <f t="shared" si="28"/>
        <v>3</v>
      </c>
      <c r="I94" s="311">
        <f>ROUND(H94/F94*100,2)</f>
        <v>75</v>
      </c>
      <c r="K94" s="215">
        <f t="shared" si="30"/>
        <v>0</v>
      </c>
      <c r="L94" s="215">
        <f t="shared" si="31"/>
        <v>0</v>
      </c>
      <c r="M94" s="215">
        <f t="shared" si="10"/>
        <v>0</v>
      </c>
    </row>
    <row r="95" spans="1:16" s="884" customFormat="1" ht="25.15" customHeight="1">
      <c r="A95" s="295">
        <v>20</v>
      </c>
      <c r="B95" s="296">
        <f t="shared" ref="B95" si="41">ROUND(A95/$A$8*100,2)</f>
        <v>0</v>
      </c>
      <c r="C95" s="259" t="s">
        <v>707</v>
      </c>
      <c r="D95" s="307">
        <v>24</v>
      </c>
      <c r="E95" s="308">
        <f>ROUND(D95/$D$8*100,2)</f>
        <v>0</v>
      </c>
      <c r="F95" s="307">
        <v>24</v>
      </c>
      <c r="G95" s="296">
        <f t="shared" si="34"/>
        <v>0</v>
      </c>
      <c r="H95" s="307">
        <f>D95-F95</f>
        <v>0</v>
      </c>
      <c r="I95" s="311" t="s">
        <v>1376</v>
      </c>
      <c r="K95" s="215"/>
      <c r="L95" s="215">
        <f t="shared" si="31"/>
        <v>0</v>
      </c>
      <c r="M95" s="215"/>
    </row>
    <row r="96" spans="1:16" s="30" customFormat="1" ht="25.15" customHeight="1">
      <c r="A96" s="293">
        <v>375321</v>
      </c>
      <c r="B96" s="294">
        <f t="shared" si="32"/>
        <v>0.05</v>
      </c>
      <c r="C96" s="258" t="s">
        <v>645</v>
      </c>
      <c r="D96" s="304">
        <f>D97+D104+D109</f>
        <v>327861</v>
      </c>
      <c r="E96" s="305">
        <f t="shared" si="35"/>
        <v>0.05</v>
      </c>
      <c r="F96" s="304">
        <f>F97+F104+F109</f>
        <v>290505</v>
      </c>
      <c r="G96" s="294">
        <f t="shared" si="34"/>
        <v>0.05</v>
      </c>
      <c r="H96" s="314">
        <f t="shared" si="28"/>
        <v>37356</v>
      </c>
      <c r="I96" s="315">
        <f t="shared" si="29"/>
        <v>12.86</v>
      </c>
      <c r="K96" s="214">
        <f t="shared" si="30"/>
        <v>4.5530000000000001E-2</v>
      </c>
      <c r="L96" s="214">
        <f t="shared" si="31"/>
        <v>4.691E-2</v>
      </c>
      <c r="M96" s="214">
        <f t="shared" si="10"/>
        <v>4.888E-2</v>
      </c>
    </row>
    <row r="97" spans="1:13" s="858" customFormat="1" ht="25.15" customHeight="1">
      <c r="A97" s="295">
        <v>41992</v>
      </c>
      <c r="B97" s="296">
        <f t="shared" si="32"/>
        <v>0.01</v>
      </c>
      <c r="C97" s="259" t="s">
        <v>646</v>
      </c>
      <c r="D97" s="307">
        <f>SUM(D98:D100)</f>
        <v>2470</v>
      </c>
      <c r="E97" s="308">
        <f t="shared" si="35"/>
        <v>0</v>
      </c>
      <c r="F97" s="307">
        <f>SUM(F98:F100)</f>
        <v>2470</v>
      </c>
      <c r="G97" s="296">
        <f t="shared" si="34"/>
        <v>0</v>
      </c>
      <c r="H97" s="307">
        <f t="shared" si="28"/>
        <v>0</v>
      </c>
      <c r="I97" s="311" t="s">
        <v>1376</v>
      </c>
      <c r="K97" s="215">
        <f t="shared" si="30"/>
        <v>5.0899999999999999E-3</v>
      </c>
      <c r="L97" s="215">
        <f t="shared" si="31"/>
        <v>3.5E-4</v>
      </c>
      <c r="M97" s="215">
        <f t="shared" si="10"/>
        <v>4.2000000000000002E-4</v>
      </c>
    </row>
    <row r="98" spans="1:13" s="858" customFormat="1" ht="25.15" customHeight="1">
      <c r="A98" s="295">
        <v>32314</v>
      </c>
      <c r="B98" s="344">
        <f t="shared" si="32"/>
        <v>0</v>
      </c>
      <c r="C98" s="259" t="s">
        <v>1206</v>
      </c>
      <c r="D98" s="307">
        <v>700</v>
      </c>
      <c r="E98" s="308">
        <f t="shared" si="35"/>
        <v>0</v>
      </c>
      <c r="F98" s="307">
        <v>700</v>
      </c>
      <c r="G98" s="296">
        <f t="shared" si="34"/>
        <v>0</v>
      </c>
      <c r="H98" s="307">
        <f t="shared" si="28"/>
        <v>0</v>
      </c>
      <c r="I98" s="309">
        <f t="shared" ref="I98" si="42">ROUND(H98/F98*100,2)</f>
        <v>0</v>
      </c>
      <c r="K98" s="215">
        <f t="shared" si="30"/>
        <v>3.9199999999999999E-3</v>
      </c>
      <c r="L98" s="215">
        <f t="shared" si="31"/>
        <v>1E-4</v>
      </c>
      <c r="M98" s="215">
        <f t="shared" si="10"/>
        <v>1.2E-4</v>
      </c>
    </row>
    <row r="99" spans="1:13" s="858" customFormat="1" ht="25.15" customHeight="1">
      <c r="A99" s="295">
        <v>7767</v>
      </c>
      <c r="B99" s="344">
        <f t="shared" si="32"/>
        <v>0</v>
      </c>
      <c r="C99" s="259" t="s">
        <v>611</v>
      </c>
      <c r="D99" s="307">
        <v>0</v>
      </c>
      <c r="E99" s="308">
        <f t="shared" si="35"/>
        <v>0</v>
      </c>
      <c r="F99" s="307">
        <v>0</v>
      </c>
      <c r="G99" s="296">
        <f t="shared" si="34"/>
        <v>0</v>
      </c>
      <c r="H99" s="307">
        <f t="shared" si="28"/>
        <v>0</v>
      </c>
      <c r="I99" s="309">
        <v>0</v>
      </c>
      <c r="K99" s="215">
        <f t="shared" si="30"/>
        <v>9.3999999999999997E-4</v>
      </c>
      <c r="L99" s="215">
        <f t="shared" si="31"/>
        <v>0</v>
      </c>
      <c r="M99" s="215">
        <f t="shared" si="10"/>
        <v>0</v>
      </c>
    </row>
    <row r="100" spans="1:13" s="708" customFormat="1" ht="25.15" customHeight="1">
      <c r="A100" s="295">
        <v>1911</v>
      </c>
      <c r="B100" s="296">
        <f t="shared" si="32"/>
        <v>0</v>
      </c>
      <c r="C100" s="259" t="s">
        <v>707</v>
      </c>
      <c r="D100" s="307">
        <v>1770</v>
      </c>
      <c r="E100" s="308">
        <f>ROUND(D100/$D$8*100,2)</f>
        <v>0</v>
      </c>
      <c r="F100" s="307">
        <v>1770</v>
      </c>
      <c r="G100" s="296">
        <f t="shared" ref="G100:G103" si="43">ROUND(F100/$F$8*100,2)</f>
        <v>0</v>
      </c>
      <c r="H100" s="307">
        <f>D100-F100</f>
        <v>0</v>
      </c>
      <c r="I100" s="309">
        <v>0</v>
      </c>
      <c r="K100" s="709"/>
      <c r="L100" s="709">
        <f t="shared" si="31"/>
        <v>2.5000000000000001E-4</v>
      </c>
      <c r="M100" s="709"/>
    </row>
    <row r="101" spans="1:13" s="1148" customFormat="1" ht="25.15" hidden="1" customHeight="1">
      <c r="A101" s="295"/>
      <c r="B101" s="296">
        <f t="shared" ref="B101:B103" si="44">ROUND(A101/$A$8*100,2)</f>
        <v>0</v>
      </c>
      <c r="C101" s="259" t="s">
        <v>1207</v>
      </c>
      <c r="D101" s="307">
        <f>SUM(D102:D103)</f>
        <v>0</v>
      </c>
      <c r="E101" s="308">
        <f t="shared" ref="E101:E103" si="45">ROUND(D101/$D$8*100,2)</f>
        <v>0</v>
      </c>
      <c r="F101" s="307">
        <f>SUM(F102:F103)</f>
        <v>0</v>
      </c>
      <c r="G101" s="296">
        <f t="shared" si="43"/>
        <v>0</v>
      </c>
      <c r="H101" s="307">
        <f>D101-F101</f>
        <v>0</v>
      </c>
      <c r="I101" s="309">
        <v>0</v>
      </c>
      <c r="K101" s="215">
        <f t="shared" ref="K101:K103" si="46">ROUND(A101/$A$8*100,5)</f>
        <v>0</v>
      </c>
      <c r="L101" s="215">
        <f t="shared" ref="L101:L103" si="47">ROUND(D101/$D$8*100,5)</f>
        <v>0</v>
      </c>
      <c r="M101" s="215">
        <f t="shared" ref="M101:M103" si="48">ROUND(F101/$F$8*100,5)</f>
        <v>0</v>
      </c>
    </row>
    <row r="102" spans="1:13" s="1148" customFormat="1" ht="25.15" hidden="1" customHeight="1">
      <c r="A102" s="295">
        <v>0</v>
      </c>
      <c r="B102" s="344">
        <f t="shared" si="44"/>
        <v>0</v>
      </c>
      <c r="C102" s="259" t="s">
        <v>1206</v>
      </c>
      <c r="D102" s="307">
        <v>0</v>
      </c>
      <c r="E102" s="308">
        <f t="shared" si="45"/>
        <v>0</v>
      </c>
      <c r="F102" s="307">
        <v>0</v>
      </c>
      <c r="G102" s="296">
        <f t="shared" si="43"/>
        <v>0</v>
      </c>
      <c r="H102" s="307">
        <f t="shared" ref="H102:H103" si="49">D102-F102</f>
        <v>0</v>
      </c>
      <c r="I102" s="309">
        <v>0</v>
      </c>
      <c r="K102" s="215">
        <f t="shared" si="46"/>
        <v>0</v>
      </c>
      <c r="L102" s="215">
        <f t="shared" si="47"/>
        <v>0</v>
      </c>
      <c r="M102" s="215">
        <f t="shared" si="48"/>
        <v>0</v>
      </c>
    </row>
    <row r="103" spans="1:13" s="1148" customFormat="1" ht="25.15" hidden="1" customHeight="1">
      <c r="A103" s="295"/>
      <c r="B103" s="344">
        <f t="shared" si="44"/>
        <v>0</v>
      </c>
      <c r="C103" s="259" t="s">
        <v>524</v>
      </c>
      <c r="D103" s="307">
        <v>0</v>
      </c>
      <c r="E103" s="308">
        <f t="shared" si="45"/>
        <v>0</v>
      </c>
      <c r="F103" s="307">
        <v>0</v>
      </c>
      <c r="G103" s="296">
        <f t="shared" si="43"/>
        <v>0</v>
      </c>
      <c r="H103" s="307">
        <f t="shared" si="49"/>
        <v>0</v>
      </c>
      <c r="I103" s="309">
        <v>0</v>
      </c>
      <c r="K103" s="215">
        <f t="shared" si="46"/>
        <v>0</v>
      </c>
      <c r="L103" s="215">
        <f t="shared" si="47"/>
        <v>0</v>
      </c>
      <c r="M103" s="215">
        <f t="shared" si="48"/>
        <v>0</v>
      </c>
    </row>
    <row r="104" spans="1:13" s="858" customFormat="1" ht="25.15" customHeight="1">
      <c r="A104" s="295">
        <v>306608</v>
      </c>
      <c r="B104" s="296">
        <f t="shared" si="32"/>
        <v>0.04</v>
      </c>
      <c r="C104" s="259" t="s">
        <v>647</v>
      </c>
      <c r="D104" s="307">
        <f>SUM(D105:D108)</f>
        <v>305163</v>
      </c>
      <c r="E104" s="308">
        <f t="shared" si="35"/>
        <v>0.04</v>
      </c>
      <c r="F104" s="307">
        <f>SUM(F105:F108)</f>
        <v>274441</v>
      </c>
      <c r="G104" s="296">
        <f t="shared" si="34"/>
        <v>0.05</v>
      </c>
      <c r="H104" s="310">
        <f t="shared" si="28"/>
        <v>30722</v>
      </c>
      <c r="I104" s="311">
        <f t="shared" si="29"/>
        <v>11.19</v>
      </c>
      <c r="K104" s="215">
        <f t="shared" si="30"/>
        <v>3.7199999999999997E-2</v>
      </c>
      <c r="L104" s="215">
        <f t="shared" si="31"/>
        <v>4.3659999999999997E-2</v>
      </c>
      <c r="M104" s="215">
        <f t="shared" si="10"/>
        <v>4.6170000000000003E-2</v>
      </c>
    </row>
    <row r="105" spans="1:13" s="858" customFormat="1" ht="25.15" customHeight="1">
      <c r="A105" s="295">
        <v>277252</v>
      </c>
      <c r="B105" s="296">
        <f t="shared" si="32"/>
        <v>0.03</v>
      </c>
      <c r="C105" s="259" t="s">
        <v>1206</v>
      </c>
      <c r="D105" s="307">
        <v>280451</v>
      </c>
      <c r="E105" s="308">
        <f t="shared" si="35"/>
        <v>0.04</v>
      </c>
      <c r="F105" s="307">
        <v>250464</v>
      </c>
      <c r="G105" s="296">
        <f t="shared" si="34"/>
        <v>0.04</v>
      </c>
      <c r="H105" s="310">
        <f t="shared" si="28"/>
        <v>29987</v>
      </c>
      <c r="I105" s="309">
        <f t="shared" si="29"/>
        <v>11.97</v>
      </c>
      <c r="K105" s="215">
        <f t="shared" si="30"/>
        <v>3.3640000000000003E-2</v>
      </c>
      <c r="L105" s="215">
        <f t="shared" si="31"/>
        <v>4.0129999999999999E-2</v>
      </c>
      <c r="M105" s="215">
        <f t="shared" si="10"/>
        <v>4.2139999999999997E-2</v>
      </c>
    </row>
    <row r="106" spans="1:13" s="858" customFormat="1" ht="25.15" customHeight="1">
      <c r="A106" s="295">
        <v>10798</v>
      </c>
      <c r="B106" s="296">
        <f t="shared" si="32"/>
        <v>0</v>
      </c>
      <c r="C106" s="259" t="s">
        <v>637</v>
      </c>
      <c r="D106" s="307">
        <v>8527</v>
      </c>
      <c r="E106" s="308">
        <f t="shared" si="35"/>
        <v>0</v>
      </c>
      <c r="F106" s="307">
        <v>8015</v>
      </c>
      <c r="G106" s="296">
        <f t="shared" si="34"/>
        <v>0</v>
      </c>
      <c r="H106" s="310">
        <f t="shared" si="28"/>
        <v>512</v>
      </c>
      <c r="I106" s="311">
        <f t="shared" si="29"/>
        <v>6.39</v>
      </c>
      <c r="K106" s="215">
        <f t="shared" si="30"/>
        <v>1.31E-3</v>
      </c>
      <c r="L106" s="215">
        <f t="shared" si="31"/>
        <v>1.2199999999999999E-3</v>
      </c>
      <c r="M106" s="215">
        <f t="shared" si="10"/>
        <v>1.3500000000000001E-3</v>
      </c>
    </row>
    <row r="107" spans="1:13" s="858" customFormat="1" ht="25.15" customHeight="1">
      <c r="A107" s="295">
        <v>4193</v>
      </c>
      <c r="B107" s="296">
        <f t="shared" si="32"/>
        <v>0</v>
      </c>
      <c r="C107" s="259" t="s">
        <v>524</v>
      </c>
      <c r="D107" s="307">
        <v>4081</v>
      </c>
      <c r="E107" s="308">
        <f t="shared" si="35"/>
        <v>0</v>
      </c>
      <c r="F107" s="307">
        <v>5846</v>
      </c>
      <c r="G107" s="296">
        <f t="shared" si="34"/>
        <v>0</v>
      </c>
      <c r="H107" s="310">
        <f t="shared" si="28"/>
        <v>-1765</v>
      </c>
      <c r="I107" s="311">
        <f t="shared" si="29"/>
        <v>-30.19</v>
      </c>
      <c r="K107" s="215">
        <f t="shared" si="30"/>
        <v>5.1000000000000004E-4</v>
      </c>
      <c r="L107" s="215">
        <f t="shared" si="31"/>
        <v>5.8E-4</v>
      </c>
      <c r="M107" s="215">
        <f t="shared" si="10"/>
        <v>9.7999999999999997E-4</v>
      </c>
    </row>
    <row r="108" spans="1:13" s="884" customFormat="1" ht="25.15" customHeight="1">
      <c r="A108" s="295">
        <v>14365</v>
      </c>
      <c r="B108" s="296">
        <f t="shared" ref="B108" si="50">ROUND(A108/$A$8*100,2)</f>
        <v>0</v>
      </c>
      <c r="C108" s="259" t="s">
        <v>707</v>
      </c>
      <c r="D108" s="307">
        <v>12104</v>
      </c>
      <c r="E108" s="308">
        <f>ROUND(D108/$D$8*100,2)</f>
        <v>0</v>
      </c>
      <c r="F108" s="307">
        <v>10116</v>
      </c>
      <c r="G108" s="296">
        <f t="shared" si="34"/>
        <v>0</v>
      </c>
      <c r="H108" s="310">
        <f>D108-F108</f>
        <v>1988</v>
      </c>
      <c r="I108" s="311">
        <f t="shared" si="29"/>
        <v>19.649999999999999</v>
      </c>
      <c r="K108" s="215"/>
      <c r="L108" s="215">
        <f t="shared" si="31"/>
        <v>1.73E-3</v>
      </c>
      <c r="M108" s="215"/>
    </row>
    <row r="109" spans="1:13" s="858" customFormat="1" ht="25.15" customHeight="1">
      <c r="A109" s="295">
        <v>26720</v>
      </c>
      <c r="B109" s="296">
        <f t="shared" si="32"/>
        <v>0</v>
      </c>
      <c r="C109" s="259" t="s">
        <v>648</v>
      </c>
      <c r="D109" s="307">
        <f>SUM(D110:D113)</f>
        <v>20228</v>
      </c>
      <c r="E109" s="308">
        <f t="shared" si="35"/>
        <v>0</v>
      </c>
      <c r="F109" s="307">
        <f>SUM(F110:F113)</f>
        <v>13594</v>
      </c>
      <c r="G109" s="296">
        <f t="shared" si="34"/>
        <v>0</v>
      </c>
      <c r="H109" s="310">
        <f t="shared" si="28"/>
        <v>6634</v>
      </c>
      <c r="I109" s="311">
        <f t="shared" si="29"/>
        <v>48.8</v>
      </c>
      <c r="K109" s="215">
        <f t="shared" si="30"/>
        <v>3.2399999999999998E-3</v>
      </c>
      <c r="L109" s="215">
        <f t="shared" si="31"/>
        <v>2.8900000000000002E-3</v>
      </c>
      <c r="M109" s="215">
        <f t="shared" si="10"/>
        <v>2.2899999999999999E-3</v>
      </c>
    </row>
    <row r="110" spans="1:13" s="858" customFormat="1" ht="25.15" customHeight="1">
      <c r="A110" s="295">
        <v>22524</v>
      </c>
      <c r="B110" s="296">
        <f t="shared" si="32"/>
        <v>0</v>
      </c>
      <c r="C110" s="259" t="s">
        <v>1206</v>
      </c>
      <c r="D110" s="307">
        <v>19939</v>
      </c>
      <c r="E110" s="308">
        <f t="shared" si="35"/>
        <v>0</v>
      </c>
      <c r="F110" s="307">
        <v>13204</v>
      </c>
      <c r="G110" s="296">
        <f t="shared" si="34"/>
        <v>0</v>
      </c>
      <c r="H110" s="310">
        <f t="shared" si="28"/>
        <v>6735</v>
      </c>
      <c r="I110" s="311">
        <f t="shared" si="29"/>
        <v>51.01</v>
      </c>
      <c r="K110" s="215">
        <f t="shared" si="30"/>
        <v>2.7299999999999998E-3</v>
      </c>
      <c r="L110" s="215">
        <f t="shared" si="31"/>
        <v>2.8500000000000001E-3</v>
      </c>
      <c r="M110" s="215">
        <f t="shared" si="10"/>
        <v>2.2200000000000002E-3</v>
      </c>
    </row>
    <row r="111" spans="1:13" s="858" customFormat="1" ht="25.15" customHeight="1">
      <c r="A111" s="295">
        <v>414</v>
      </c>
      <c r="B111" s="296">
        <f t="shared" si="32"/>
        <v>0</v>
      </c>
      <c r="C111" s="259" t="s">
        <v>637</v>
      </c>
      <c r="D111" s="307">
        <v>229</v>
      </c>
      <c r="E111" s="308">
        <f t="shared" si="35"/>
        <v>0</v>
      </c>
      <c r="F111" s="307">
        <v>199</v>
      </c>
      <c r="G111" s="296">
        <f t="shared" si="34"/>
        <v>0</v>
      </c>
      <c r="H111" s="310">
        <f t="shared" si="28"/>
        <v>30</v>
      </c>
      <c r="I111" s="311">
        <f t="shared" si="29"/>
        <v>15.08</v>
      </c>
      <c r="K111" s="215">
        <f t="shared" si="30"/>
        <v>5.0000000000000002E-5</v>
      </c>
      <c r="L111" s="215">
        <f t="shared" si="31"/>
        <v>3.0000000000000001E-5</v>
      </c>
      <c r="M111" s="215">
        <f t="shared" si="10"/>
        <v>3.0000000000000001E-5</v>
      </c>
    </row>
    <row r="112" spans="1:13" s="858" customFormat="1" ht="25.15" hidden="1" customHeight="1">
      <c r="A112" s="295">
        <v>0</v>
      </c>
      <c r="B112" s="296">
        <f>ROUND(A112/$A$8*100,2)</f>
        <v>0</v>
      </c>
      <c r="C112" s="259" t="s">
        <v>649</v>
      </c>
      <c r="D112" s="307">
        <v>0</v>
      </c>
      <c r="E112" s="308">
        <f>ROUND(D112/$D$8*100,2)</f>
        <v>0</v>
      </c>
      <c r="F112" s="307">
        <v>0</v>
      </c>
      <c r="G112" s="296">
        <f>ROUND(F112/$F$8*100,2)</f>
        <v>0</v>
      </c>
      <c r="H112" s="542">
        <f>D112-F112</f>
        <v>0</v>
      </c>
      <c r="I112" s="311" t="e">
        <f t="shared" si="29"/>
        <v>#DIV/0!</v>
      </c>
      <c r="K112" s="215">
        <f>ROUND(A112/$A$8*100,5)</f>
        <v>0</v>
      </c>
      <c r="L112" s="215">
        <f>ROUND(D112/$D$8*100,5)</f>
        <v>0</v>
      </c>
      <c r="M112" s="215">
        <f>ROUND(F112/$F$8*100,5)</f>
        <v>0</v>
      </c>
    </row>
    <row r="113" spans="1:13" s="884" customFormat="1" ht="39.75" customHeight="1" thickBot="1">
      <c r="A113" s="297">
        <v>3782</v>
      </c>
      <c r="B113" s="298">
        <f t="shared" si="32"/>
        <v>0</v>
      </c>
      <c r="C113" s="264" t="s">
        <v>1365</v>
      </c>
      <c r="D113" s="312">
        <v>60</v>
      </c>
      <c r="E113" s="313">
        <f>ROUND(D113/$D$8*100,2)</f>
        <v>0</v>
      </c>
      <c r="F113" s="312">
        <v>191</v>
      </c>
      <c r="G113" s="298">
        <f t="shared" ref="G113" si="51">ROUND(F113/$F$8*100,2)</f>
        <v>0</v>
      </c>
      <c r="H113" s="326">
        <f>D113-F113</f>
        <v>-131</v>
      </c>
      <c r="I113" s="327">
        <f t="shared" si="29"/>
        <v>-68.59</v>
      </c>
      <c r="K113" s="215"/>
      <c r="L113" s="215">
        <f t="shared" si="31"/>
        <v>1.0000000000000001E-5</v>
      </c>
      <c r="M113" s="215"/>
    </row>
    <row r="114" spans="1:13" s="30" customFormat="1" ht="25.15" customHeight="1">
      <c r="A114" s="302">
        <v>723</v>
      </c>
      <c r="B114" s="294">
        <f t="shared" si="32"/>
        <v>0</v>
      </c>
      <c r="C114" s="258" t="s">
        <v>650</v>
      </c>
      <c r="D114" s="318">
        <f t="shared" ref="D114:F115" si="52">D115</f>
        <v>2034</v>
      </c>
      <c r="E114" s="308">
        <f t="shared" si="35"/>
        <v>0</v>
      </c>
      <c r="F114" s="318">
        <f t="shared" si="52"/>
        <v>155</v>
      </c>
      <c r="G114" s="296">
        <f t="shared" si="34"/>
        <v>0</v>
      </c>
      <c r="H114" s="314">
        <f t="shared" si="28"/>
        <v>1879</v>
      </c>
      <c r="I114" s="315">
        <f t="shared" si="29"/>
        <v>1212.26</v>
      </c>
      <c r="K114" s="214">
        <f t="shared" si="30"/>
        <v>9.0000000000000006E-5</v>
      </c>
      <c r="L114" s="214">
        <f t="shared" si="31"/>
        <v>2.9E-4</v>
      </c>
      <c r="M114" s="214">
        <f t="shared" si="10"/>
        <v>3.0000000000000001E-5</v>
      </c>
    </row>
    <row r="115" spans="1:13" s="30" customFormat="1" ht="25.15" customHeight="1">
      <c r="A115" s="293">
        <v>723</v>
      </c>
      <c r="B115" s="294">
        <f t="shared" si="32"/>
        <v>0</v>
      </c>
      <c r="C115" s="258" t="s">
        <v>651</v>
      </c>
      <c r="D115" s="304">
        <f t="shared" si="52"/>
        <v>2034</v>
      </c>
      <c r="E115" s="308">
        <f t="shared" si="35"/>
        <v>0</v>
      </c>
      <c r="F115" s="304">
        <f t="shared" si="52"/>
        <v>155</v>
      </c>
      <c r="G115" s="296">
        <f t="shared" si="34"/>
        <v>0</v>
      </c>
      <c r="H115" s="314">
        <f t="shared" si="28"/>
        <v>1879</v>
      </c>
      <c r="I115" s="315">
        <f t="shared" si="29"/>
        <v>1212.26</v>
      </c>
      <c r="K115" s="214">
        <f t="shared" si="30"/>
        <v>9.0000000000000006E-5</v>
      </c>
      <c r="L115" s="214">
        <f t="shared" si="31"/>
        <v>2.9E-4</v>
      </c>
      <c r="M115" s="214">
        <f t="shared" si="10"/>
        <v>3.0000000000000001E-5</v>
      </c>
    </row>
    <row r="116" spans="1:13" s="858" customFormat="1" ht="25.15" customHeight="1">
      <c r="A116" s="295">
        <v>723</v>
      </c>
      <c r="B116" s="296">
        <f t="shared" si="32"/>
        <v>0</v>
      </c>
      <c r="C116" s="259" t="s">
        <v>652</v>
      </c>
      <c r="D116" s="307">
        <f>SUM(D117:D119)</f>
        <v>2034</v>
      </c>
      <c r="E116" s="308">
        <f t="shared" si="35"/>
        <v>0</v>
      </c>
      <c r="F116" s="307">
        <f>SUM(F117:F119)</f>
        <v>155</v>
      </c>
      <c r="G116" s="296">
        <f t="shared" si="34"/>
        <v>0</v>
      </c>
      <c r="H116" s="310">
        <f t="shared" si="28"/>
        <v>1879</v>
      </c>
      <c r="I116" s="311">
        <f t="shared" si="29"/>
        <v>1212.26</v>
      </c>
      <c r="K116" s="215">
        <f t="shared" si="30"/>
        <v>9.0000000000000006E-5</v>
      </c>
      <c r="L116" s="215">
        <f t="shared" si="31"/>
        <v>2.9E-4</v>
      </c>
      <c r="M116" s="215">
        <f t="shared" si="10"/>
        <v>3.0000000000000001E-5</v>
      </c>
    </row>
    <row r="117" spans="1:13" s="858" customFormat="1" ht="25.15" customHeight="1">
      <c r="A117" s="295">
        <v>645</v>
      </c>
      <c r="B117" s="296">
        <f t="shared" si="32"/>
        <v>0</v>
      </c>
      <c r="C117" s="259" t="s">
        <v>1206</v>
      </c>
      <c r="D117" s="307">
        <v>2023</v>
      </c>
      <c r="E117" s="308">
        <f t="shared" si="35"/>
        <v>0</v>
      </c>
      <c r="F117" s="1270">
        <v>144</v>
      </c>
      <c r="G117" s="296">
        <f t="shared" si="34"/>
        <v>0</v>
      </c>
      <c r="H117" s="310">
        <f t="shared" si="28"/>
        <v>1879</v>
      </c>
      <c r="I117" s="311">
        <f t="shared" si="29"/>
        <v>1304.8599999999999</v>
      </c>
      <c r="K117" s="215">
        <f t="shared" si="30"/>
        <v>8.0000000000000007E-5</v>
      </c>
      <c r="L117" s="215">
        <f t="shared" si="31"/>
        <v>2.9E-4</v>
      </c>
      <c r="M117" s="215">
        <f t="shared" si="10"/>
        <v>2.0000000000000002E-5</v>
      </c>
    </row>
    <row r="118" spans="1:13" s="858" customFormat="1" ht="25.15" customHeight="1">
      <c r="A118" s="295">
        <v>58</v>
      </c>
      <c r="B118" s="296">
        <f t="shared" si="32"/>
        <v>0</v>
      </c>
      <c r="C118" s="259" t="s">
        <v>611</v>
      </c>
      <c r="D118" s="307">
        <v>11</v>
      </c>
      <c r="E118" s="308">
        <f t="shared" si="35"/>
        <v>0</v>
      </c>
      <c r="F118" s="307">
        <v>11</v>
      </c>
      <c r="G118" s="296">
        <f t="shared" si="34"/>
        <v>0</v>
      </c>
      <c r="H118" s="307">
        <f t="shared" si="28"/>
        <v>0</v>
      </c>
      <c r="I118" s="309">
        <v>0</v>
      </c>
      <c r="K118" s="215">
        <f t="shared" si="30"/>
        <v>1.0000000000000001E-5</v>
      </c>
      <c r="L118" s="215">
        <f t="shared" si="31"/>
        <v>0</v>
      </c>
      <c r="M118" s="215">
        <f t="shared" si="10"/>
        <v>0</v>
      </c>
    </row>
    <row r="119" spans="1:13" s="858" customFormat="1" ht="25.15" customHeight="1">
      <c r="A119" s="295">
        <v>19</v>
      </c>
      <c r="B119" s="296">
        <f t="shared" si="32"/>
        <v>0</v>
      </c>
      <c r="C119" s="259" t="s">
        <v>707</v>
      </c>
      <c r="D119" s="307">
        <v>0</v>
      </c>
      <c r="E119" s="308">
        <f t="shared" si="35"/>
        <v>0</v>
      </c>
      <c r="F119" s="307">
        <v>0</v>
      </c>
      <c r="G119" s="296">
        <f t="shared" si="34"/>
        <v>0</v>
      </c>
      <c r="H119" s="307">
        <f t="shared" si="28"/>
        <v>0</v>
      </c>
      <c r="I119" s="309">
        <v>0</v>
      </c>
      <c r="K119" s="215">
        <f t="shared" si="30"/>
        <v>0</v>
      </c>
      <c r="L119" s="215">
        <f t="shared" si="31"/>
        <v>0</v>
      </c>
      <c r="M119" s="215">
        <f t="shared" si="10"/>
        <v>0</v>
      </c>
    </row>
    <row r="120" spans="1:13" s="30" customFormat="1" ht="25.15" customHeight="1">
      <c r="A120" s="302">
        <v>375122</v>
      </c>
      <c r="B120" s="294">
        <f t="shared" si="32"/>
        <v>0.05</v>
      </c>
      <c r="C120" s="258" t="s">
        <v>653</v>
      </c>
      <c r="D120" s="318">
        <f>+D89-D114</f>
        <v>326221</v>
      </c>
      <c r="E120" s="305">
        <f>ROUND(D120/$D$8*100,2)</f>
        <v>0.05</v>
      </c>
      <c r="F120" s="318">
        <f>+F89-F114</f>
        <v>290732</v>
      </c>
      <c r="G120" s="294">
        <f t="shared" si="34"/>
        <v>0.05</v>
      </c>
      <c r="H120" s="314">
        <f t="shared" si="28"/>
        <v>35489</v>
      </c>
      <c r="I120" s="315">
        <f t="shared" si="29"/>
        <v>12.21</v>
      </c>
      <c r="K120" s="214">
        <f t="shared" si="30"/>
        <v>4.5510000000000002E-2</v>
      </c>
      <c r="L120" s="214">
        <f t="shared" si="31"/>
        <v>4.6679999999999999E-2</v>
      </c>
      <c r="M120" s="214">
        <f t="shared" si="10"/>
        <v>4.8919999999999998E-2</v>
      </c>
    </row>
    <row r="121" spans="1:13" s="30" customFormat="1" ht="26.45" customHeight="1">
      <c r="A121" s="302">
        <f>+A88+A120</f>
        <v>0</v>
      </c>
      <c r="B121" s="294">
        <f t="shared" si="32"/>
        <v>0</v>
      </c>
      <c r="C121" s="258" t="s">
        <v>654</v>
      </c>
      <c r="D121" s="318">
        <f>+D88+D120</f>
        <v>0</v>
      </c>
      <c r="E121" s="305">
        <f>ROUND(D121/$D$8*100,2)</f>
        <v>0</v>
      </c>
      <c r="F121" s="318">
        <f>+F88+F120</f>
        <v>0</v>
      </c>
      <c r="G121" s="294">
        <f t="shared" si="34"/>
        <v>0</v>
      </c>
      <c r="H121" s="304">
        <f>D121-F121</f>
        <v>0</v>
      </c>
      <c r="I121" s="306">
        <f>ROUND(H121/$D$8*100,2)</f>
        <v>0</v>
      </c>
      <c r="K121" s="214">
        <f t="shared" si="30"/>
        <v>0</v>
      </c>
      <c r="L121" s="214">
        <f t="shared" si="31"/>
        <v>0</v>
      </c>
      <c r="M121" s="214">
        <f>ROUND(F121/$F$8*100,5)</f>
        <v>0</v>
      </c>
    </row>
    <row r="122" spans="1:13" s="30" customFormat="1" ht="46.5" customHeight="1">
      <c r="A122" s="302"/>
      <c r="B122" s="294"/>
      <c r="C122" s="258"/>
      <c r="D122" s="318"/>
      <c r="E122" s="305"/>
      <c r="F122" s="318"/>
      <c r="G122" s="305"/>
      <c r="H122" s="304"/>
      <c r="I122" s="306"/>
      <c r="K122" s="214"/>
      <c r="L122" s="214"/>
      <c r="M122" s="214"/>
    </row>
    <row r="123" spans="1:13" s="1035" customFormat="1" ht="46.5" customHeight="1">
      <c r="A123" s="302"/>
      <c r="B123" s="294"/>
      <c r="C123" s="258"/>
      <c r="D123" s="318"/>
      <c r="E123" s="305"/>
      <c r="F123" s="318"/>
      <c r="G123" s="305"/>
      <c r="H123" s="304"/>
      <c r="I123" s="306"/>
      <c r="K123" s="214"/>
      <c r="L123" s="214"/>
      <c r="M123" s="214"/>
    </row>
    <row r="124" spans="1:13" s="1035" customFormat="1" ht="46.5" customHeight="1">
      <c r="A124" s="302"/>
      <c r="B124" s="294"/>
      <c r="C124" s="258"/>
      <c r="D124" s="318"/>
      <c r="E124" s="305"/>
      <c r="F124" s="318"/>
      <c r="G124" s="305"/>
      <c r="H124" s="304"/>
      <c r="I124" s="306"/>
      <c r="K124" s="214"/>
      <c r="L124" s="214"/>
      <c r="M124" s="214"/>
    </row>
    <row r="125" spans="1:13" s="1035" customFormat="1" ht="46.5" customHeight="1">
      <c r="A125" s="302"/>
      <c r="B125" s="294"/>
      <c r="C125" s="258"/>
      <c r="D125" s="318"/>
      <c r="E125" s="305"/>
      <c r="F125" s="318"/>
      <c r="G125" s="305"/>
      <c r="H125" s="304"/>
      <c r="I125" s="306"/>
      <c r="K125" s="214"/>
      <c r="L125" s="214"/>
      <c r="M125" s="214"/>
    </row>
    <row r="126" spans="1:13" s="1035" customFormat="1" ht="46.5" customHeight="1">
      <c r="A126" s="302"/>
      <c r="B126" s="294"/>
      <c r="C126" s="258"/>
      <c r="D126" s="318"/>
      <c r="E126" s="305"/>
      <c r="F126" s="318"/>
      <c r="G126" s="305"/>
      <c r="H126" s="304"/>
      <c r="I126" s="306"/>
      <c r="K126" s="214"/>
      <c r="L126" s="214"/>
      <c r="M126" s="214"/>
    </row>
    <row r="127" spans="1:13" s="30" customFormat="1" ht="77.25" customHeight="1">
      <c r="A127" s="302"/>
      <c r="B127" s="294"/>
      <c r="C127" s="258"/>
      <c r="D127" s="318"/>
      <c r="E127" s="305"/>
      <c r="F127" s="318"/>
      <c r="G127" s="305"/>
      <c r="H127" s="304"/>
      <c r="I127" s="306"/>
      <c r="K127" s="214"/>
      <c r="L127" s="214"/>
      <c r="M127" s="214"/>
    </row>
    <row r="128" spans="1:13" s="30" customFormat="1" ht="96" customHeight="1" thickBot="1">
      <c r="A128" s="303"/>
      <c r="B128" s="299"/>
      <c r="C128" s="265"/>
      <c r="D128" s="319"/>
      <c r="E128" s="317"/>
      <c r="F128" s="319"/>
      <c r="G128" s="317"/>
      <c r="H128" s="316"/>
      <c r="I128" s="650"/>
      <c r="K128" s="214">
        <f t="shared" ref="K128" si="53">ROUND(A128/$A$8*100,5)</f>
        <v>0</v>
      </c>
      <c r="L128" s="214">
        <f t="shared" ref="L128" si="54">ROUND(D128/$D$8*100,5)</f>
        <v>0</v>
      </c>
      <c r="M128" s="214">
        <f>ROUND(F128/$F$8*100,5)</f>
        <v>0</v>
      </c>
    </row>
    <row r="129" spans="1:13" ht="33" customHeight="1">
      <c r="A129" s="1362" t="s">
        <v>1420</v>
      </c>
      <c r="B129" s="1363"/>
      <c r="C129" s="1363"/>
      <c r="D129" s="1363"/>
      <c r="E129" s="1363"/>
      <c r="F129" s="1363"/>
      <c r="G129" s="1363"/>
      <c r="H129" s="1363"/>
      <c r="I129" s="1363"/>
      <c r="J129" s="2"/>
      <c r="K129" s="2"/>
      <c r="L129" s="2"/>
      <c r="M129" s="2"/>
    </row>
    <row r="130" spans="1:13">
      <c r="A130" s="2"/>
      <c r="B130" s="2"/>
      <c r="C130" s="156"/>
      <c r="D130" s="155"/>
      <c r="E130" s="278"/>
      <c r="F130" s="2"/>
      <c r="G130" s="2"/>
      <c r="H130" s="2"/>
      <c r="I130" s="2"/>
      <c r="J130" s="2"/>
      <c r="K130" s="2"/>
      <c r="L130" s="2"/>
      <c r="M130" s="2"/>
    </row>
    <row r="131" spans="1:13" hidden="1">
      <c r="A131" s="2"/>
      <c r="B131" s="1364" t="s">
        <v>655</v>
      </c>
      <c r="C131" s="1365"/>
      <c r="D131" s="1366" t="s">
        <v>656</v>
      </c>
      <c r="E131" s="1366"/>
      <c r="F131" s="1367" t="s">
        <v>657</v>
      </c>
      <c r="G131" s="1367"/>
      <c r="H131" s="1367" t="s">
        <v>658</v>
      </c>
      <c r="I131" s="1367"/>
      <c r="J131" s="2"/>
      <c r="K131" s="2"/>
      <c r="L131" s="2"/>
      <c r="M131" s="2"/>
    </row>
    <row r="132" spans="1:13" ht="17.25" hidden="1" customHeight="1">
      <c r="A132" s="2"/>
      <c r="B132" s="1358" t="s">
        <v>659</v>
      </c>
      <c r="C132" s="279" t="s">
        <v>660</v>
      </c>
      <c r="D132" s="280" t="e">
        <f>#REF!+A18+A21+A11+#REF!+A26+A14+A33+A39+A50+A98+A105+A110+A92</f>
        <v>#REF!</v>
      </c>
      <c r="E132" s="281" t="e">
        <f>#REF!+B18+B21+B11+#REF!+B26+B14+B33+B39+B50+B98+B105+B110+B92</f>
        <v>#REF!</v>
      </c>
      <c r="F132" s="280" t="e">
        <f>A68+A74+A79+A117+A62+A64+A55+#REF!+A58+#REF!</f>
        <v>#REF!</v>
      </c>
      <c r="G132" s="281" t="e">
        <f>B68+B74+B79+B117+B62+B64+B55+#REF!+B58</f>
        <v>#REF!</v>
      </c>
      <c r="H132" s="287" t="e">
        <f>D132-F132</f>
        <v>#REF!</v>
      </c>
      <c r="I132" s="287" t="e">
        <f t="shared" ref="H132:I145" si="55">E132-G132</f>
        <v>#REF!</v>
      </c>
      <c r="J132" s="2"/>
      <c r="K132" s="2"/>
      <c r="L132" s="2"/>
      <c r="M132" s="2"/>
    </row>
    <row r="133" spans="1:13" ht="17.25" hidden="1" customHeight="1">
      <c r="A133" s="2"/>
      <c r="B133" s="1359"/>
      <c r="C133" s="279" t="s">
        <v>661</v>
      </c>
      <c r="D133" s="280" t="e">
        <f>#REF!+#REF!+#REF!+#REF!+#REF!+#REF!+#REF!</f>
        <v>#REF!</v>
      </c>
      <c r="E133" s="281" t="e">
        <f>#REF!+#REF!+#REF!+#REF!+#REF!+#REF!+#REF!</f>
        <v>#REF!</v>
      </c>
      <c r="F133" s="280" t="e">
        <f>#REF!+#REF!+#REF!+#REF!+#REF!</f>
        <v>#REF!</v>
      </c>
      <c r="G133" s="281" t="e">
        <f>#REF!+#REF!+#REF!+#REF!+#REF!</f>
        <v>#REF!</v>
      </c>
      <c r="H133" s="287" t="e">
        <f t="shared" si="55"/>
        <v>#REF!</v>
      </c>
      <c r="I133" s="287" t="e">
        <f t="shared" si="55"/>
        <v>#REF!</v>
      </c>
      <c r="J133" s="2"/>
      <c r="K133" s="2"/>
      <c r="L133" s="2"/>
      <c r="M133" s="2"/>
    </row>
    <row r="134" spans="1:13" ht="17.25" hidden="1" customHeight="1">
      <c r="A134" s="2"/>
      <c r="B134" s="1359"/>
      <c r="C134" s="279" t="s">
        <v>662</v>
      </c>
      <c r="D134" s="280">
        <f>A27+A15+A34+A40+A93+A106+A111</f>
        <v>33247341</v>
      </c>
      <c r="E134" s="281">
        <f>B27+B15+B34+B40+B93+B106+B111</f>
        <v>4.03</v>
      </c>
      <c r="F134" s="280">
        <f>A59+A69+A75+A80+A85+A119</f>
        <v>35872945</v>
      </c>
      <c r="G134" s="281">
        <f>B59+B69+B75+B80+B85+B119</f>
        <v>4.3699999999999992</v>
      </c>
      <c r="H134" s="287">
        <f t="shared" si="55"/>
        <v>-2625604</v>
      </c>
      <c r="I134" s="287">
        <f t="shared" si="55"/>
        <v>-0.33999999999999897</v>
      </c>
      <c r="J134" s="2"/>
      <c r="K134" s="2"/>
      <c r="L134" s="2"/>
      <c r="M134" s="2"/>
    </row>
    <row r="135" spans="1:13" ht="17.25" hidden="1" customHeight="1">
      <c r="A135" s="2"/>
      <c r="B135" s="1359"/>
      <c r="C135" s="279" t="s">
        <v>663</v>
      </c>
      <c r="D135" s="280">
        <f>A35+A46+A107+A112+A94</f>
        <v>7027706</v>
      </c>
      <c r="E135" s="281">
        <f>B35+B46+B107+B112+B94</f>
        <v>0.85</v>
      </c>
      <c r="F135" s="280">
        <f>A70+A81+A86</f>
        <v>7028606</v>
      </c>
      <c r="G135" s="281">
        <f>B70+B81+B86</f>
        <v>0.85</v>
      </c>
      <c r="H135" s="287">
        <f t="shared" si="55"/>
        <v>-900</v>
      </c>
      <c r="I135" s="287">
        <f t="shared" si="55"/>
        <v>0</v>
      </c>
      <c r="J135" s="2"/>
      <c r="K135" s="2"/>
      <c r="L135" s="2"/>
      <c r="M135" s="2"/>
    </row>
    <row r="136" spans="1:13" ht="17.25" hidden="1" customHeight="1">
      <c r="A136" s="2"/>
      <c r="B136" s="1359"/>
      <c r="C136" s="279" t="s">
        <v>664</v>
      </c>
      <c r="D136" s="280" t="e">
        <f>#REF!+#REF!+A51</f>
        <v>#REF!</v>
      </c>
      <c r="E136" s="281" t="e">
        <f>#REF!+#REF!+B51</f>
        <v>#REF!</v>
      </c>
      <c r="F136" s="280" t="e">
        <f>#REF!+#REF!</f>
        <v>#REF!</v>
      </c>
      <c r="G136" s="281" t="e">
        <f>#REF!+#REF!</f>
        <v>#REF!</v>
      </c>
      <c r="H136" s="287" t="e">
        <f t="shared" si="55"/>
        <v>#REF!</v>
      </c>
      <c r="I136" s="287" t="e">
        <f t="shared" si="55"/>
        <v>#REF!</v>
      </c>
      <c r="J136" s="2"/>
      <c r="K136" s="2"/>
      <c r="L136" s="2"/>
      <c r="M136" s="2"/>
    </row>
    <row r="137" spans="1:13" ht="17.25" hidden="1" customHeight="1">
      <c r="B137" s="1359"/>
      <c r="C137" s="279" t="s">
        <v>665</v>
      </c>
      <c r="D137" s="280" t="e">
        <f>#REF!+#REF!+A48+#REF!</f>
        <v>#REF!</v>
      </c>
      <c r="E137" s="282" t="e">
        <f>#REF!+#REF!+B48+#REF!</f>
        <v>#REF!</v>
      </c>
      <c r="F137" s="280" t="e">
        <f>A76+#REF!+#REF!</f>
        <v>#REF!</v>
      </c>
      <c r="G137" s="281" t="e">
        <f>B76+#REF!+#REF!</f>
        <v>#REF!</v>
      </c>
      <c r="H137" s="287" t="e">
        <f t="shared" si="55"/>
        <v>#REF!</v>
      </c>
      <c r="I137" s="287" t="e">
        <f t="shared" si="55"/>
        <v>#REF!</v>
      </c>
      <c r="J137" s="2"/>
    </row>
    <row r="138" spans="1:13" ht="17.25" hidden="1" customHeight="1">
      <c r="B138" s="1360"/>
      <c r="C138" s="279" t="s">
        <v>666</v>
      </c>
      <c r="D138" s="280" t="e">
        <f>SUM(D132:D137)</f>
        <v>#REF!</v>
      </c>
      <c r="E138" s="281" t="e">
        <f>SUM(E132:E137)</f>
        <v>#REF!</v>
      </c>
      <c r="F138" s="280" t="e">
        <f>SUM(F132:F137)</f>
        <v>#REF!</v>
      </c>
      <c r="G138" s="281" t="e">
        <f>SUM(G132:G137)</f>
        <v>#REF!</v>
      </c>
      <c r="H138" s="287" t="e">
        <f t="shared" si="55"/>
        <v>#REF!</v>
      </c>
      <c r="I138" s="287" t="e">
        <f t="shared" si="55"/>
        <v>#REF!</v>
      </c>
      <c r="J138" s="2"/>
    </row>
    <row r="139" spans="1:13" ht="15.75" hidden="1" customHeight="1">
      <c r="B139" s="1358" t="s">
        <v>667</v>
      </c>
      <c r="C139" s="279" t="s">
        <v>660</v>
      </c>
      <c r="D139" s="280" t="e">
        <f>#REF!+D18+D21+D11+#REF!+D26+D14+D33+D39+D50+D98+D105+D110+D92</f>
        <v>#REF!</v>
      </c>
      <c r="E139" s="282" t="e">
        <f>#REF!+E18+E21+E11+#REF!+E26+E14+E33+E39+E50+E98+E105+E110+E92</f>
        <v>#REF!</v>
      </c>
      <c r="F139" s="283" t="e">
        <f>D68+D74+D79+D117+D62+D64+D55+#REF!+D58</f>
        <v>#REF!</v>
      </c>
      <c r="G139" s="284" t="e">
        <f>E68+E74+E79+E117+E62+E64+E55+#REF!+E58</f>
        <v>#REF!</v>
      </c>
      <c r="H139" s="287" t="e">
        <f t="shared" si="55"/>
        <v>#REF!</v>
      </c>
      <c r="I139" s="287" t="e">
        <f t="shared" si="55"/>
        <v>#REF!</v>
      </c>
      <c r="J139" s="2"/>
    </row>
    <row r="140" spans="1:13" hidden="1">
      <c r="B140" s="1359"/>
      <c r="C140" s="279" t="s">
        <v>661</v>
      </c>
      <c r="D140" s="280" t="e">
        <f>#REF!+#REF!+#REF!+#REF!+#REF!+#REF!+#REF!</f>
        <v>#REF!</v>
      </c>
      <c r="E140" s="282" t="e">
        <f>#REF!+#REF!+#REF!+#REF!+#REF!+#REF!+#REF!</f>
        <v>#REF!</v>
      </c>
      <c r="F140" s="283" t="e">
        <f>#REF!+#REF!+#REF!+#REF!+#REF!</f>
        <v>#REF!</v>
      </c>
      <c r="G140" s="284" t="e">
        <f>#REF!+#REF!+#REF!+#REF!+#REF!</f>
        <v>#REF!</v>
      </c>
      <c r="H140" s="287" t="e">
        <f t="shared" si="55"/>
        <v>#REF!</v>
      </c>
      <c r="I140" s="287" t="e">
        <f t="shared" si="55"/>
        <v>#REF!</v>
      </c>
      <c r="J140" s="262"/>
    </row>
    <row r="141" spans="1:13" hidden="1">
      <c r="B141" s="1359"/>
      <c r="C141" s="279" t="s">
        <v>662</v>
      </c>
      <c r="D141" s="280">
        <f>D27+D15+D34+D40+D93+D106+D111</f>
        <v>34455643</v>
      </c>
      <c r="E141" s="282">
        <f>E27+E15+E34+E40+E93+E106+E111</f>
        <v>4.93</v>
      </c>
      <c r="F141" s="283">
        <f>D59+D69+D75+D80+D85+D119</f>
        <v>34455632</v>
      </c>
      <c r="G141" s="284">
        <f>E59+E69+E75+E80+E85+E119</f>
        <v>4.9399999999999995</v>
      </c>
      <c r="H141" s="287">
        <f t="shared" si="55"/>
        <v>11</v>
      </c>
      <c r="I141" s="287">
        <f t="shared" si="55"/>
        <v>-9.9999999999997868E-3</v>
      </c>
      <c r="J141" s="262"/>
    </row>
    <row r="142" spans="1:13" hidden="1">
      <c r="B142" s="1359"/>
      <c r="C142" s="279" t="s">
        <v>663</v>
      </c>
      <c r="D142" s="280">
        <f>D35+D46+D107+D112+D94</f>
        <v>10993770</v>
      </c>
      <c r="E142" s="282">
        <f>E35+E46+E107+E112+E94</f>
        <v>1.58</v>
      </c>
      <c r="F142" s="283">
        <f>D70+D81+D86</f>
        <v>10995150</v>
      </c>
      <c r="G142" s="284">
        <f>E70+E81+E86</f>
        <v>1.57</v>
      </c>
      <c r="H142" s="287">
        <f t="shared" si="55"/>
        <v>-1380</v>
      </c>
      <c r="I142" s="287">
        <f t="shared" si="55"/>
        <v>1.0000000000000009E-2</v>
      </c>
      <c r="J142" s="262"/>
    </row>
    <row r="143" spans="1:13" hidden="1">
      <c r="B143" s="1359"/>
      <c r="C143" s="279" t="s">
        <v>664</v>
      </c>
      <c r="D143" s="280" t="e">
        <f>#REF!+#REF!+D51</f>
        <v>#REF!</v>
      </c>
      <c r="E143" s="282" t="e">
        <f>#REF!+#REF!+E51</f>
        <v>#REF!</v>
      </c>
      <c r="F143" s="283" t="e">
        <f>#REF!+#REF!</f>
        <v>#REF!</v>
      </c>
      <c r="G143" s="284" t="e">
        <f>#REF!+#REF!</f>
        <v>#REF!</v>
      </c>
      <c r="H143" s="287" t="e">
        <f t="shared" si="55"/>
        <v>#REF!</v>
      </c>
      <c r="I143" s="287" t="e">
        <f t="shared" si="55"/>
        <v>#REF!</v>
      </c>
      <c r="J143" s="262"/>
    </row>
    <row r="144" spans="1:13" hidden="1">
      <c r="B144" s="1359"/>
      <c r="C144" s="279" t="s">
        <v>665</v>
      </c>
      <c r="D144" s="280" t="e">
        <f>#REF!+#REF!+D48+#REF!</f>
        <v>#REF!</v>
      </c>
      <c r="E144" s="282" t="e">
        <f>#REF!+#REF!+E48+#REF!</f>
        <v>#REF!</v>
      </c>
      <c r="F144" s="283" t="e">
        <f>D76+#REF!+#REF!</f>
        <v>#REF!</v>
      </c>
      <c r="G144" s="284" t="e">
        <f>E76+#REF!+#REF!</f>
        <v>#REF!</v>
      </c>
      <c r="H144" s="287" t="e">
        <f t="shared" si="55"/>
        <v>#REF!</v>
      </c>
      <c r="I144" s="287" t="e">
        <f t="shared" si="55"/>
        <v>#REF!</v>
      </c>
      <c r="J144" s="262"/>
    </row>
    <row r="145" spans="2:10" hidden="1">
      <c r="B145" s="1360"/>
      <c r="C145" s="279" t="s">
        <v>666</v>
      </c>
      <c r="D145" s="280" t="e">
        <f>SUM(D139:D144)</f>
        <v>#REF!</v>
      </c>
      <c r="E145" s="281" t="e">
        <f>SUM(E139:E144)</f>
        <v>#REF!</v>
      </c>
      <c r="F145" s="280" t="e">
        <f>SUM(F139:F144)</f>
        <v>#REF!</v>
      </c>
      <c r="G145" s="281" t="e">
        <f>SUM(G139:G144)</f>
        <v>#REF!</v>
      </c>
      <c r="H145" s="287" t="e">
        <f t="shared" si="55"/>
        <v>#REF!</v>
      </c>
      <c r="I145" s="287" t="e">
        <f t="shared" si="55"/>
        <v>#REF!</v>
      </c>
      <c r="J145" s="262"/>
    </row>
    <row r="146" spans="2:10" ht="16.5" hidden="1" customHeight="1">
      <c r="B146" s="1361" t="s">
        <v>668</v>
      </c>
      <c r="C146" s="279" t="s">
        <v>660</v>
      </c>
      <c r="D146" s="280" t="e">
        <f>#REF!+F18+F21+F11+#REF!+F26+F14+F33+F39+F50+F98+F105+F110+F92</f>
        <v>#REF!</v>
      </c>
      <c r="E146" s="282" t="e">
        <f>#REF!+G18+G21+G11+#REF!+G26+G14+G33+G39+G50+G98+G105+G110+G92</f>
        <v>#REF!</v>
      </c>
      <c r="F146" s="283" t="e">
        <f>F68+F74+F79+F117+F62+F64+F55+#REF!+F58</f>
        <v>#REF!</v>
      </c>
      <c r="G146" s="284" t="e">
        <f>G68+G74+G79+G117+G62+G64+G55+#REF!+G58</f>
        <v>#REF!</v>
      </c>
      <c r="H146" s="287" t="e">
        <f>D146-F146</f>
        <v>#REF!</v>
      </c>
      <c r="I146" s="287" t="e">
        <f>E146-G146</f>
        <v>#REF!</v>
      </c>
      <c r="J146" s="263"/>
    </row>
    <row r="147" spans="2:10" hidden="1">
      <c r="B147" s="1361"/>
      <c r="C147" s="279" t="s">
        <v>661</v>
      </c>
      <c r="D147" s="280" t="e">
        <f>#REF!+#REF!+#REF!+#REF!+#REF!+#REF!+#REF!</f>
        <v>#REF!</v>
      </c>
      <c r="E147" s="282" t="e">
        <f>#REF!+#REF!+#REF!+#REF!+#REF!+#REF!+#REF!</f>
        <v>#REF!</v>
      </c>
      <c r="F147" s="283" t="e">
        <f>#REF!+#REF!+#REF!+#REF!+#REF!</f>
        <v>#REF!</v>
      </c>
      <c r="G147" s="284" t="e">
        <f>#REF!+#REF!+#REF!+#REF!+#REF!</f>
        <v>#REF!</v>
      </c>
      <c r="H147" s="287" t="e">
        <f t="shared" ref="H147:I152" si="56">D147-F147</f>
        <v>#REF!</v>
      </c>
      <c r="I147" s="287" t="e">
        <f t="shared" si="56"/>
        <v>#REF!</v>
      </c>
      <c r="J147" s="263"/>
    </row>
    <row r="148" spans="2:10" hidden="1">
      <c r="B148" s="1361"/>
      <c r="C148" s="279" t="s">
        <v>662</v>
      </c>
      <c r="D148" s="280">
        <f>F27+F15+F34+F40+F93+F106+F111</f>
        <v>32522317</v>
      </c>
      <c r="E148" s="282">
        <f>G27+G15+G34+G40+G93+G106+G111</f>
        <v>5.47</v>
      </c>
      <c r="F148" s="283">
        <f>F59+F69+F75+F80+F85+F119</f>
        <v>32522306</v>
      </c>
      <c r="G148" s="284">
        <f>G59+G69+G75+G80+G85+G119</f>
        <v>5.4799999999999986</v>
      </c>
      <c r="H148" s="287">
        <f t="shared" si="56"/>
        <v>11</v>
      </c>
      <c r="I148" s="287">
        <f t="shared" si="56"/>
        <v>-9.9999999999988987E-3</v>
      </c>
      <c r="J148" s="263"/>
    </row>
    <row r="149" spans="2:10" hidden="1">
      <c r="B149" s="1361"/>
      <c r="C149" s="279" t="s">
        <v>663</v>
      </c>
      <c r="D149" s="280">
        <f>F35+F46+F107+F112+F94</f>
        <v>6786734</v>
      </c>
      <c r="E149" s="282">
        <f>G35+G46+G107+G112+G94</f>
        <v>1.1400000000000001</v>
      </c>
      <c r="F149" s="283">
        <f>F70+F81+F86</f>
        <v>6786826</v>
      </c>
      <c r="G149" s="284">
        <f>G70+G81+G86</f>
        <v>1.1399999999999999</v>
      </c>
      <c r="H149" s="287">
        <f t="shared" si="56"/>
        <v>-92</v>
      </c>
      <c r="I149" s="287">
        <f t="shared" si="56"/>
        <v>0</v>
      </c>
      <c r="J149" s="263"/>
    </row>
    <row r="150" spans="2:10" hidden="1">
      <c r="B150" s="1361"/>
      <c r="C150" s="279" t="s">
        <v>664</v>
      </c>
      <c r="D150" s="280" t="e">
        <f>#REF!+#REF!+F51</f>
        <v>#REF!</v>
      </c>
      <c r="E150" s="282" t="e">
        <f>#REF!+#REF!+G51</f>
        <v>#REF!</v>
      </c>
      <c r="F150" s="283" t="e">
        <f>#REF!+#REF!</f>
        <v>#REF!</v>
      </c>
      <c r="G150" s="284" t="e">
        <f>#REF!+#REF!</f>
        <v>#REF!</v>
      </c>
      <c r="H150" s="287" t="e">
        <f t="shared" si="56"/>
        <v>#REF!</v>
      </c>
      <c r="I150" s="287" t="e">
        <f t="shared" si="56"/>
        <v>#REF!</v>
      </c>
      <c r="J150" s="263"/>
    </row>
    <row r="151" spans="2:10" hidden="1">
      <c r="B151" s="1361"/>
      <c r="C151" s="279" t="s">
        <v>665</v>
      </c>
      <c r="D151" s="280" t="e">
        <f>#REF!+#REF!+F48+#REF!</f>
        <v>#REF!</v>
      </c>
      <c r="E151" s="282" t="e">
        <f>#REF!+#REF!+G48+#REF!</f>
        <v>#REF!</v>
      </c>
      <c r="F151" s="283" t="e">
        <f>F76+#REF!+#REF!</f>
        <v>#REF!</v>
      </c>
      <c r="G151" s="284" t="e">
        <f>G76+#REF!+#REF!</f>
        <v>#REF!</v>
      </c>
      <c r="H151" s="287" t="e">
        <f t="shared" si="56"/>
        <v>#REF!</v>
      </c>
      <c r="I151" s="287" t="e">
        <f t="shared" si="56"/>
        <v>#REF!</v>
      </c>
      <c r="J151" s="263"/>
    </row>
    <row r="152" spans="2:10" hidden="1">
      <c r="B152" s="1361"/>
      <c r="C152" s="285" t="s">
        <v>666</v>
      </c>
      <c r="D152" s="280" t="e">
        <f>SUM(D146:D151)</f>
        <v>#REF!</v>
      </c>
      <c r="E152" s="281" t="e">
        <f>SUM(E146:E151)</f>
        <v>#REF!</v>
      </c>
      <c r="F152" s="280" t="e">
        <f>SUM(F146:F151)</f>
        <v>#REF!</v>
      </c>
      <c r="G152" s="281" t="e">
        <f>SUM(G146:G151)</f>
        <v>#REF!</v>
      </c>
      <c r="H152" s="287" t="e">
        <f t="shared" si="56"/>
        <v>#REF!</v>
      </c>
      <c r="I152" s="287" t="e">
        <f t="shared" si="56"/>
        <v>#REF!</v>
      </c>
      <c r="J152" s="2"/>
    </row>
  </sheetData>
  <mergeCells count="17">
    <mergeCell ref="A1:I1"/>
    <mergeCell ref="A2:I2"/>
    <mergeCell ref="A3:I3"/>
    <mergeCell ref="A4:I4"/>
    <mergeCell ref="A5:B5"/>
    <mergeCell ref="C5:C6"/>
    <mergeCell ref="D5:E5"/>
    <mergeCell ref="F5:G5"/>
    <mergeCell ref="H5:I5"/>
    <mergeCell ref="B139:B145"/>
    <mergeCell ref="B146:B152"/>
    <mergeCell ref="A129:I129"/>
    <mergeCell ref="B131:C131"/>
    <mergeCell ref="D131:E131"/>
    <mergeCell ref="F131:G131"/>
    <mergeCell ref="H131:I131"/>
    <mergeCell ref="B132:B138"/>
  </mergeCells>
  <phoneticPr fontId="6" type="noConversion"/>
  <printOptions horizontalCentered="1"/>
  <pageMargins left="0.59055118110236227" right="0.59055118110236227" top="0.59055118110236227" bottom="0.78740157480314965" header="0.51181102362204722" footer="0.51181102362204722"/>
  <pageSetup paperSize="9" firstPageNumber="9" orientation="portrait" useFirstPageNumber="1" r:id="rId1"/>
  <headerFooter alignWithMargins="0">
    <oddFooter>&amp;C&amp;"Times New Roman,標準"&amp;P</oddFooter>
  </headerFooter>
  <rowBreaks count="4" manualBreakCount="4">
    <brk id="32" max="8" man="1"/>
    <brk id="59" max="8" man="1"/>
    <brk id="84" max="8" man="1"/>
    <brk id="113" max="8"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21"/>
  <sheetViews>
    <sheetView view="pageBreakPreview" topLeftCell="A4" zoomScaleNormal="100" zoomScaleSheetLayoutView="100" workbookViewId="0">
      <selection activeCell="G28" sqref="G28"/>
    </sheetView>
  </sheetViews>
  <sheetFormatPr defaultColWidth="9" defaultRowHeight="15.75"/>
  <cols>
    <col min="1" max="1" width="4.375" style="2" customWidth="1"/>
    <col min="2" max="2" width="6.375" style="2" customWidth="1"/>
    <col min="3" max="3" width="79.5" style="2" customWidth="1"/>
    <col min="4" max="16384" width="9" style="2"/>
  </cols>
  <sheetData>
    <row r="1" spans="1:9" ht="21" customHeight="1">
      <c r="A1" s="1369" t="s">
        <v>40</v>
      </c>
      <c r="B1" s="1369"/>
      <c r="C1" s="1369"/>
      <c r="D1" s="144"/>
      <c r="E1" s="144"/>
      <c r="F1" s="144"/>
      <c r="G1" s="144"/>
      <c r="H1" s="144"/>
      <c r="I1" s="144"/>
    </row>
    <row r="2" spans="1:9" ht="21" customHeight="1">
      <c r="A2" s="1369" t="s">
        <v>41</v>
      </c>
      <c r="B2" s="1369"/>
      <c r="C2" s="1369"/>
      <c r="D2" s="144"/>
      <c r="E2" s="144"/>
      <c r="F2" s="144"/>
      <c r="G2" s="144"/>
      <c r="H2" s="144"/>
      <c r="I2" s="144"/>
    </row>
    <row r="3" spans="1:9" ht="24.95" customHeight="1">
      <c r="A3" s="1370" t="s">
        <v>1133</v>
      </c>
      <c r="B3" s="1371"/>
      <c r="C3" s="1371"/>
      <c r="D3" s="145"/>
      <c r="E3" s="145"/>
      <c r="F3" s="145"/>
      <c r="G3" s="145"/>
      <c r="H3" s="145"/>
      <c r="I3" s="145"/>
    </row>
    <row r="4" spans="1:9" ht="24.95" customHeight="1" thickBot="1">
      <c r="A4" s="1389" t="s">
        <v>1275</v>
      </c>
      <c r="B4" s="1390"/>
      <c r="C4" s="1390"/>
      <c r="D4" s="4"/>
      <c r="E4" s="4"/>
      <c r="F4" s="4"/>
      <c r="G4" s="4"/>
      <c r="H4" s="4"/>
      <c r="I4" s="4"/>
    </row>
    <row r="5" spans="1:9" s="335" customFormat="1" ht="7.15" customHeight="1">
      <c r="A5" s="331"/>
      <c r="B5" s="332"/>
      <c r="C5" s="333"/>
      <c r="D5" s="334"/>
      <c r="E5" s="334"/>
      <c r="F5" s="334"/>
      <c r="G5" s="334"/>
      <c r="H5" s="334"/>
      <c r="I5" s="334"/>
    </row>
    <row r="6" spans="1:9" s="336" customFormat="1" ht="30" customHeight="1">
      <c r="A6" s="1381" t="s">
        <v>1531</v>
      </c>
      <c r="B6" s="1393"/>
      <c r="C6" s="1394"/>
    </row>
    <row r="7" spans="1:9" s="707" customFormat="1" ht="30" customHeight="1">
      <c r="A7" s="1381" t="s">
        <v>1487</v>
      </c>
      <c r="B7" s="1395"/>
      <c r="C7" s="1396"/>
    </row>
    <row r="8" spans="1:9" s="707" customFormat="1" ht="45" customHeight="1">
      <c r="A8" s="1381" t="s">
        <v>1523</v>
      </c>
      <c r="B8" s="1395"/>
      <c r="C8" s="1396"/>
    </row>
    <row r="9" spans="1:9" s="336" customFormat="1" ht="45" customHeight="1">
      <c r="A9" s="1381" t="s">
        <v>1488</v>
      </c>
      <c r="B9" s="1397"/>
      <c r="C9" s="1398"/>
    </row>
    <row r="10" spans="1:9" s="336" customFormat="1" ht="51" customHeight="1">
      <c r="A10" s="1381" t="s">
        <v>1533</v>
      </c>
      <c r="B10" s="1395"/>
      <c r="C10" s="1396"/>
    </row>
    <row r="11" spans="1:9" s="336" customFormat="1" ht="30" customHeight="1">
      <c r="A11" s="1381" t="s">
        <v>1532</v>
      </c>
      <c r="B11" s="1382"/>
      <c r="C11" s="1383"/>
    </row>
    <row r="12" spans="1:9" s="707" customFormat="1" ht="45" customHeight="1">
      <c r="A12" s="1381" t="s">
        <v>1489</v>
      </c>
      <c r="B12" s="1385"/>
      <c r="C12" s="1386"/>
    </row>
    <row r="13" spans="1:9" s="707" customFormat="1" ht="45" customHeight="1">
      <c r="A13" s="1381" t="s">
        <v>1524</v>
      </c>
      <c r="B13" s="1385"/>
      <c r="C13" s="1386"/>
    </row>
    <row r="14" spans="1:9" s="338" customFormat="1" ht="45" customHeight="1">
      <c r="A14" s="1381" t="s">
        <v>1536</v>
      </c>
      <c r="B14" s="1382"/>
      <c r="C14" s="1383"/>
    </row>
    <row r="15" spans="1:9" s="338" customFormat="1" ht="74.45" customHeight="1">
      <c r="A15" s="1381" t="s">
        <v>1490</v>
      </c>
      <c r="B15" s="1387"/>
      <c r="C15" s="1388"/>
    </row>
    <row r="16" spans="1:9" s="336" customFormat="1" ht="30" customHeight="1">
      <c r="A16" s="337" t="s">
        <v>56</v>
      </c>
      <c r="B16" s="1391" t="s">
        <v>1491</v>
      </c>
      <c r="C16" s="1392"/>
    </row>
    <row r="17" spans="1:3" s="336" customFormat="1" ht="30" customHeight="1">
      <c r="A17" s="1384" t="s">
        <v>1492</v>
      </c>
      <c r="B17" s="1382"/>
      <c r="C17" s="1383"/>
    </row>
    <row r="18" spans="1:3" s="336" customFormat="1" ht="41.45" customHeight="1">
      <c r="A18" s="1381" t="s">
        <v>1493</v>
      </c>
      <c r="B18" s="1382"/>
      <c r="C18" s="1383"/>
    </row>
    <row r="19" spans="1:3" s="336" customFormat="1" ht="30" customHeight="1">
      <c r="A19" s="1381" t="s">
        <v>1494</v>
      </c>
      <c r="B19" s="1382"/>
      <c r="C19" s="1383"/>
    </row>
    <row r="20" spans="1:3" s="336" customFormat="1" ht="30" customHeight="1">
      <c r="A20" s="1384" t="s">
        <v>1120</v>
      </c>
      <c r="B20" s="1382"/>
      <c r="C20" s="1383"/>
    </row>
    <row r="21" spans="1:3" ht="84.4" customHeight="1" thickBot="1">
      <c r="A21" s="339"/>
      <c r="B21" s="340"/>
      <c r="C21" s="341"/>
    </row>
  </sheetData>
  <mergeCells count="19">
    <mergeCell ref="A1:C1"/>
    <mergeCell ref="A2:C2"/>
    <mergeCell ref="A3:C3"/>
    <mergeCell ref="A4:C4"/>
    <mergeCell ref="B16:C16"/>
    <mergeCell ref="A6:C6"/>
    <mergeCell ref="A11:C11"/>
    <mergeCell ref="A7:C7"/>
    <mergeCell ref="A8:C8"/>
    <mergeCell ref="A9:C9"/>
    <mergeCell ref="A10:C10"/>
    <mergeCell ref="A12:C12"/>
    <mergeCell ref="A19:C19"/>
    <mergeCell ref="A20:C20"/>
    <mergeCell ref="A13:C13"/>
    <mergeCell ref="A14:C14"/>
    <mergeCell ref="A15:C15"/>
    <mergeCell ref="A17:C17"/>
    <mergeCell ref="A18:C18"/>
  </mergeCells>
  <phoneticPr fontId="6" type="noConversion"/>
  <printOptions horizontalCentered="1"/>
  <pageMargins left="0.59055118110236227" right="0.59055118110236227" top="0.59055118110236227" bottom="0.78740157480314965" header="0.51181102362204722" footer="0.51181102362204722"/>
  <pageSetup paperSize="9" firstPageNumber="14" orientation="portrait" useFirstPageNumber="1" r:id="rId1"/>
  <headerFooter alignWithMargins="0">
    <oddFooter>&amp;C&amp;"Times New Roman,標準"&amp;P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32"/>
  <sheetViews>
    <sheetView view="pageBreakPreview" topLeftCell="A4" zoomScaleNormal="100" zoomScaleSheetLayoutView="100" workbookViewId="0">
      <selection activeCell="G28" sqref="G28"/>
    </sheetView>
  </sheetViews>
  <sheetFormatPr defaultColWidth="9" defaultRowHeight="15.75"/>
  <cols>
    <col min="1" max="1" width="15.625" style="12" customWidth="1"/>
    <col min="2" max="2" width="7.125" style="12" customWidth="1"/>
    <col min="3" max="3" width="19.375" style="12" customWidth="1"/>
    <col min="4" max="4" width="15.625" style="12" customWidth="1"/>
    <col min="5" max="5" width="7.125" style="109" customWidth="1"/>
    <col min="6" max="6" width="25.25" style="12" customWidth="1"/>
    <col min="7" max="16384" width="9" style="12"/>
  </cols>
  <sheetData>
    <row r="1" spans="1:9" ht="21">
      <c r="A1" s="1399" t="s">
        <v>40</v>
      </c>
      <c r="B1" s="1399"/>
      <c r="C1" s="1399"/>
      <c r="D1" s="1399"/>
      <c r="E1" s="1399"/>
      <c r="F1" s="1399"/>
      <c r="G1" s="11"/>
      <c r="H1" s="11"/>
      <c r="I1" s="11"/>
    </row>
    <row r="2" spans="1:9" ht="21">
      <c r="A2" s="1399" t="s">
        <v>41</v>
      </c>
      <c r="B2" s="1399"/>
      <c r="C2" s="1399"/>
      <c r="D2" s="1399"/>
      <c r="E2" s="1399"/>
      <c r="F2" s="1399"/>
      <c r="G2" s="11"/>
      <c r="H2" s="11"/>
      <c r="I2" s="11"/>
    </row>
    <row r="3" spans="1:9" ht="24.95" customHeight="1">
      <c r="A3" s="1400" t="s">
        <v>1134</v>
      </c>
      <c r="B3" s="1401"/>
      <c r="C3" s="1401"/>
      <c r="D3" s="1401"/>
      <c r="E3" s="1401"/>
      <c r="F3" s="1401"/>
    </row>
    <row r="4" spans="1:9" ht="24.95" customHeight="1" thickBot="1">
      <c r="A4" s="1402" t="s">
        <v>1276</v>
      </c>
      <c r="B4" s="1403"/>
      <c r="C4" s="1403"/>
      <c r="D4" s="1403"/>
      <c r="E4" s="1403"/>
      <c r="F4" s="1403"/>
    </row>
    <row r="5" spans="1:9" ht="21" customHeight="1">
      <c r="A5" s="1404" t="s">
        <v>57</v>
      </c>
      <c r="B5" s="1405"/>
      <c r="C5" s="1405" t="s">
        <v>42</v>
      </c>
      <c r="D5" s="1405" t="s">
        <v>58</v>
      </c>
      <c r="E5" s="1405"/>
      <c r="F5" s="1407" t="s">
        <v>59</v>
      </c>
    </row>
    <row r="6" spans="1:9" ht="21" customHeight="1">
      <c r="A6" s="376" t="s">
        <v>60</v>
      </c>
      <c r="B6" s="424" t="s">
        <v>61</v>
      </c>
      <c r="C6" s="1406"/>
      <c r="D6" s="424" t="s">
        <v>60</v>
      </c>
      <c r="E6" s="424" t="s">
        <v>61</v>
      </c>
      <c r="F6" s="1408"/>
    </row>
    <row r="7" spans="1:9" ht="8.25" customHeight="1">
      <c r="A7" s="377"/>
      <c r="B7" s="161"/>
      <c r="C7" s="161"/>
      <c r="D7" s="161"/>
      <c r="E7" s="161"/>
      <c r="F7" s="162"/>
    </row>
    <row r="8" spans="1:9" s="21" customFormat="1" ht="30" customHeight="1">
      <c r="A8" s="167" t="s">
        <v>9</v>
      </c>
      <c r="B8" s="168" t="s">
        <v>9</v>
      </c>
      <c r="C8" s="102" t="s">
        <v>62</v>
      </c>
      <c r="D8" s="168" t="s">
        <v>9</v>
      </c>
      <c r="E8" s="168" t="s">
        <v>9</v>
      </c>
      <c r="F8" s="148"/>
    </row>
    <row r="9" spans="1:9" s="21" customFormat="1" ht="30" customHeight="1">
      <c r="A9" s="167" t="s">
        <v>9</v>
      </c>
      <c r="B9" s="168" t="s">
        <v>9</v>
      </c>
      <c r="C9" s="378" t="s">
        <v>123</v>
      </c>
      <c r="D9" s="168" t="s">
        <v>9</v>
      </c>
      <c r="E9" s="168" t="s">
        <v>9</v>
      </c>
      <c r="F9" s="148"/>
    </row>
    <row r="10" spans="1:9" s="21" customFormat="1" ht="30" customHeight="1">
      <c r="A10" s="167" t="s">
        <v>9</v>
      </c>
      <c r="B10" s="168" t="s">
        <v>9</v>
      </c>
      <c r="C10" s="102" t="s">
        <v>63</v>
      </c>
      <c r="D10" s="168" t="s">
        <v>9</v>
      </c>
      <c r="E10" s="168" t="s">
        <v>9</v>
      </c>
      <c r="F10" s="148"/>
    </row>
    <row r="11" spans="1:9" ht="22.35" customHeight="1">
      <c r="A11" s="101"/>
      <c r="B11" s="102"/>
      <c r="C11" s="103" t="s">
        <v>10</v>
      </c>
      <c r="D11" s="103"/>
      <c r="E11" s="103"/>
      <c r="F11" s="100"/>
    </row>
    <row r="12" spans="1:9" ht="24.95" customHeight="1">
      <c r="A12" s="101"/>
      <c r="B12" s="102"/>
      <c r="C12" s="103" t="s">
        <v>10</v>
      </c>
      <c r="D12" s="103"/>
      <c r="E12" s="103"/>
      <c r="F12" s="100"/>
    </row>
    <row r="13" spans="1:9" ht="24.95" customHeight="1">
      <c r="A13" s="101"/>
      <c r="B13" s="102"/>
      <c r="C13" s="103" t="s">
        <v>10</v>
      </c>
      <c r="D13" s="103"/>
      <c r="E13" s="103"/>
      <c r="F13" s="100"/>
    </row>
    <row r="14" spans="1:9" ht="24.95" customHeight="1">
      <c r="A14" s="101"/>
      <c r="B14" s="102"/>
      <c r="C14" s="103" t="s">
        <v>10</v>
      </c>
      <c r="D14" s="103"/>
      <c r="E14" s="103"/>
      <c r="F14" s="100"/>
    </row>
    <row r="15" spans="1:9" ht="24.95" customHeight="1">
      <c r="A15" s="101"/>
      <c r="B15" s="102"/>
      <c r="C15" s="103" t="s">
        <v>10</v>
      </c>
      <c r="D15" s="103"/>
      <c r="E15" s="103"/>
      <c r="F15" s="100"/>
    </row>
    <row r="16" spans="1:9" ht="24.95" customHeight="1">
      <c r="A16" s="101"/>
      <c r="B16" s="102"/>
      <c r="C16" s="103" t="s">
        <v>10</v>
      </c>
      <c r="D16" s="103"/>
      <c r="E16" s="103"/>
      <c r="F16" s="100"/>
    </row>
    <row r="17" spans="1:6" ht="24.95" customHeight="1">
      <c r="A17" s="101"/>
      <c r="B17" s="102" t="s">
        <v>10</v>
      </c>
      <c r="C17" s="103" t="s">
        <v>64</v>
      </c>
      <c r="D17" s="103"/>
      <c r="E17" s="103"/>
      <c r="F17" s="100"/>
    </row>
    <row r="18" spans="1:6" ht="24.95" customHeight="1">
      <c r="A18" s="101"/>
      <c r="B18" s="102"/>
      <c r="C18" s="103" t="s">
        <v>10</v>
      </c>
      <c r="D18" s="103"/>
      <c r="E18" s="103"/>
      <c r="F18" s="100"/>
    </row>
    <row r="19" spans="1:6" ht="24.95" customHeight="1">
      <c r="A19" s="101"/>
      <c r="B19" s="102"/>
      <c r="C19" s="104" t="s">
        <v>10</v>
      </c>
      <c r="D19" s="103"/>
      <c r="E19" s="103"/>
      <c r="F19" s="100"/>
    </row>
    <row r="20" spans="1:6" ht="24.95" customHeight="1">
      <c r="A20" s="101"/>
      <c r="B20" s="102"/>
      <c r="C20" s="104" t="s">
        <v>10</v>
      </c>
      <c r="D20" s="103"/>
      <c r="E20" s="103"/>
      <c r="F20" s="100"/>
    </row>
    <row r="21" spans="1:6" ht="24.95" customHeight="1">
      <c r="A21" s="101"/>
      <c r="B21" s="102"/>
      <c r="C21" s="104" t="s">
        <v>10</v>
      </c>
      <c r="D21" s="103"/>
      <c r="E21" s="103"/>
      <c r="F21" s="100"/>
    </row>
    <row r="22" spans="1:6" ht="24.95" customHeight="1">
      <c r="A22" s="101"/>
      <c r="B22" s="102"/>
      <c r="C22" s="104" t="s">
        <v>10</v>
      </c>
      <c r="D22" s="103"/>
      <c r="E22" s="103"/>
      <c r="F22" s="100"/>
    </row>
    <row r="23" spans="1:6" ht="24.95" customHeight="1">
      <c r="A23" s="101"/>
      <c r="B23" s="102"/>
      <c r="C23" s="104"/>
      <c r="D23" s="103"/>
      <c r="E23" s="103"/>
      <c r="F23" s="100"/>
    </row>
    <row r="24" spans="1:6" ht="24.95" customHeight="1">
      <c r="A24" s="101"/>
      <c r="B24" s="102"/>
      <c r="C24" s="104"/>
      <c r="D24" s="103"/>
      <c r="E24" s="103"/>
      <c r="F24" s="100"/>
    </row>
    <row r="25" spans="1:6" ht="24.95" customHeight="1">
      <c r="A25" s="101"/>
      <c r="B25" s="102"/>
      <c r="C25" s="104"/>
      <c r="D25" s="103"/>
      <c r="E25" s="103"/>
      <c r="F25" s="100"/>
    </row>
    <row r="26" spans="1:6" ht="24.95" customHeight="1">
      <c r="A26" s="101"/>
      <c r="B26" s="102"/>
      <c r="C26" s="104"/>
      <c r="D26" s="103"/>
      <c r="E26" s="103"/>
      <c r="F26" s="100"/>
    </row>
    <row r="27" spans="1:6" ht="33" customHeight="1">
      <c r="A27" s="101"/>
      <c r="B27" s="102"/>
      <c r="C27" s="104"/>
      <c r="D27" s="103"/>
      <c r="E27" s="103"/>
      <c r="F27" s="100"/>
    </row>
    <row r="28" spans="1:6" ht="17.100000000000001" customHeight="1">
      <c r="A28" s="101"/>
      <c r="B28" s="102"/>
      <c r="C28" s="104" t="s">
        <v>10</v>
      </c>
      <c r="D28" s="103"/>
      <c r="E28" s="103"/>
      <c r="F28" s="100"/>
    </row>
    <row r="29" spans="1:6" ht="24.95" customHeight="1">
      <c r="A29" s="101"/>
      <c r="B29" s="102"/>
      <c r="C29" s="104" t="s">
        <v>10</v>
      </c>
      <c r="D29" s="103"/>
      <c r="E29" s="103"/>
      <c r="F29" s="100"/>
    </row>
    <row r="30" spans="1:6" ht="8.4499999999999993" customHeight="1">
      <c r="A30" s="101"/>
      <c r="B30" s="102"/>
      <c r="C30" s="104" t="s">
        <v>10</v>
      </c>
      <c r="D30" s="103"/>
      <c r="E30" s="103"/>
      <c r="F30" s="100"/>
    </row>
    <row r="31" spans="1:6" ht="37.5" customHeight="1">
      <c r="A31" s="101"/>
      <c r="B31" s="102"/>
      <c r="C31" s="104" t="s">
        <v>10</v>
      </c>
      <c r="D31" s="103"/>
      <c r="E31" s="103"/>
      <c r="F31" s="100"/>
    </row>
    <row r="32" spans="1:6" ht="35.25" customHeight="1" thickBot="1">
      <c r="A32" s="105"/>
      <c r="B32" s="106"/>
      <c r="C32" s="107" t="s">
        <v>10</v>
      </c>
      <c r="D32" s="95"/>
      <c r="E32" s="95"/>
      <c r="F32" s="108"/>
    </row>
  </sheetData>
  <mergeCells count="8">
    <mergeCell ref="A1:F1"/>
    <mergeCell ref="A2:F2"/>
    <mergeCell ref="A3:F3"/>
    <mergeCell ref="A4:F4"/>
    <mergeCell ref="A5:B5"/>
    <mergeCell ref="C5:C6"/>
    <mergeCell ref="D5:E5"/>
    <mergeCell ref="F5:F6"/>
  </mergeCells>
  <phoneticPr fontId="6" type="noConversion"/>
  <printOptions horizontalCentered="1"/>
  <pageMargins left="0.59055118110236227" right="0.59055118110236227" top="0.59055118110236227" bottom="0.78740157480314965" header="0.51181102362204722" footer="0.51181102362204722"/>
  <pageSetup paperSize="9" firstPageNumber="15" orientation="portrait" useFirstPageNumber="1" r:id="rId1"/>
  <headerFooter alignWithMargins="0">
    <oddFooter>&amp;C&amp;"Times New Roman,標準"&amp;P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43"/>
  <sheetViews>
    <sheetView view="pageBreakPreview" topLeftCell="A25" zoomScaleNormal="100" zoomScaleSheetLayoutView="100" workbookViewId="0">
      <selection activeCell="G28" sqref="G28"/>
    </sheetView>
  </sheetViews>
  <sheetFormatPr defaultColWidth="9" defaultRowHeight="15.75"/>
  <cols>
    <col min="1" max="1" width="41.5" style="6" customWidth="1"/>
    <col min="2" max="2" width="14.125" style="6" customWidth="1"/>
    <col min="3" max="3" width="17.375" style="6" customWidth="1"/>
    <col min="4" max="4" width="11.625" style="6" customWidth="1"/>
    <col min="5" max="5" width="5.625" style="6" customWidth="1"/>
    <col min="6" max="6" width="39" style="6" customWidth="1"/>
    <col min="7" max="7" width="9" style="6"/>
    <col min="8" max="8" width="26.375" style="6" customWidth="1"/>
    <col min="9" max="9" width="19.875" style="6" customWidth="1"/>
    <col min="10" max="16384" width="9" style="6"/>
  </cols>
  <sheetData>
    <row r="1" spans="1:8" s="2" customFormat="1" ht="21">
      <c r="A1" s="1369" t="s">
        <v>345</v>
      </c>
      <c r="B1" s="1369"/>
      <c r="C1" s="1369"/>
      <c r="D1" s="1369"/>
      <c r="E1" s="1369"/>
      <c r="F1" s="1"/>
      <c r="G1" s="1"/>
      <c r="H1" s="1"/>
    </row>
    <row r="2" spans="1:8" s="2" customFormat="1" ht="21">
      <c r="A2" s="1369" t="s">
        <v>346</v>
      </c>
      <c r="B2" s="1369"/>
      <c r="C2" s="1369"/>
      <c r="D2" s="1369"/>
      <c r="E2" s="1369"/>
      <c r="F2" s="1"/>
      <c r="G2" s="1"/>
      <c r="H2" s="1"/>
    </row>
    <row r="3" spans="1:8" s="2" customFormat="1" ht="24.75" customHeight="1">
      <c r="A3" s="1370" t="s">
        <v>1116</v>
      </c>
      <c r="B3" s="1371"/>
      <c r="C3" s="1371"/>
      <c r="D3" s="1371"/>
      <c r="E3" s="1371"/>
      <c r="F3" s="3"/>
      <c r="G3" s="3"/>
      <c r="H3" s="3"/>
    </row>
    <row r="4" spans="1:8" s="2" customFormat="1" ht="24.95" customHeight="1" thickBot="1">
      <c r="A4" s="1389" t="s">
        <v>1277</v>
      </c>
      <c r="B4" s="1390"/>
      <c r="C4" s="1390"/>
      <c r="D4" s="1390"/>
      <c r="E4" s="1390"/>
      <c r="F4" s="4"/>
      <c r="G4" s="4"/>
      <c r="H4" s="4"/>
    </row>
    <row r="5" spans="1:8">
      <c r="A5" s="1412" t="s">
        <v>347</v>
      </c>
      <c r="B5" s="1415" t="s">
        <v>348</v>
      </c>
      <c r="C5" s="1418" t="s">
        <v>44</v>
      </c>
      <c r="D5" s="1419"/>
      <c r="E5" s="1420"/>
      <c r="F5" s="4"/>
      <c r="G5" s="4"/>
      <c r="H5" s="4"/>
    </row>
    <row r="6" spans="1:8" ht="12" customHeight="1">
      <c r="A6" s="1413"/>
      <c r="B6" s="1416"/>
      <c r="C6" s="1421"/>
      <c r="D6" s="1422"/>
      <c r="E6" s="1423"/>
      <c r="F6" s="4"/>
      <c r="G6" s="4"/>
      <c r="H6" s="4"/>
    </row>
    <row r="7" spans="1:8" ht="7.5" customHeight="1">
      <c r="A7" s="1414"/>
      <c r="B7" s="1417"/>
      <c r="C7" s="1424"/>
      <c r="D7" s="1425"/>
      <c r="E7" s="1426"/>
    </row>
    <row r="8" spans="1:8" ht="5.25" customHeight="1">
      <c r="A8" s="664"/>
      <c r="B8" s="665"/>
      <c r="C8" s="83"/>
      <c r="D8" s="132"/>
      <c r="E8" s="86"/>
    </row>
    <row r="9" spans="1:8" s="9" customFormat="1" ht="32.1" customHeight="1">
      <c r="A9" s="133" t="s">
        <v>364</v>
      </c>
      <c r="B9" s="134"/>
      <c r="C9" s="135"/>
      <c r="D9" s="136"/>
      <c r="E9" s="857"/>
    </row>
    <row r="10" spans="1:8" s="30" customFormat="1" ht="32.1" customHeight="1">
      <c r="A10" s="138" t="s">
        <v>330</v>
      </c>
      <c r="B10" s="185">
        <v>0</v>
      </c>
      <c r="C10" s="139"/>
      <c r="D10" s="140"/>
      <c r="E10" s="857"/>
    </row>
    <row r="11" spans="1:8" s="30" customFormat="1" ht="32.1" customHeight="1">
      <c r="A11" s="138" t="s">
        <v>479</v>
      </c>
      <c r="B11" s="31">
        <f>-D11+D12</f>
        <v>-8390526</v>
      </c>
      <c r="C11" s="855" t="s">
        <v>379</v>
      </c>
      <c r="D11" s="854">
        <v>8491924</v>
      </c>
      <c r="E11" s="856" t="s">
        <v>46</v>
      </c>
    </row>
    <row r="12" spans="1:8" s="30" customFormat="1" ht="32.1" customHeight="1">
      <c r="A12" s="138"/>
      <c r="B12" s="66"/>
      <c r="C12" s="855" t="s">
        <v>284</v>
      </c>
      <c r="D12" s="854">
        <v>101398</v>
      </c>
      <c r="E12" s="856" t="s">
        <v>46</v>
      </c>
    </row>
    <row r="13" spans="1:8" s="30" customFormat="1" ht="32.1" customHeight="1">
      <c r="A13" s="138" t="s">
        <v>480</v>
      </c>
      <c r="B13" s="31">
        <f>+B10+B11</f>
        <v>-8390526</v>
      </c>
      <c r="C13" s="139"/>
      <c r="D13" s="140"/>
      <c r="E13" s="857"/>
    </row>
    <row r="14" spans="1:8" s="30" customFormat="1" ht="32.1" customHeight="1">
      <c r="A14" s="138" t="s">
        <v>471</v>
      </c>
      <c r="B14" s="141">
        <f>D14+D15+D16+D17+D18+D19+D20</f>
        <v>43062362</v>
      </c>
      <c r="C14" s="855" t="s">
        <v>597</v>
      </c>
      <c r="D14" s="854">
        <v>745547</v>
      </c>
      <c r="E14" s="856" t="s">
        <v>46</v>
      </c>
      <c r="F14" s="35"/>
    </row>
    <row r="15" spans="1:8" s="9" customFormat="1" ht="31.5" customHeight="1">
      <c r="A15" s="138"/>
      <c r="B15" s="141"/>
      <c r="C15" s="1344" t="s">
        <v>1565</v>
      </c>
      <c r="D15" s="854">
        <f>84452496+20000000</f>
        <v>104452496</v>
      </c>
      <c r="E15" s="856" t="s">
        <v>46</v>
      </c>
    </row>
    <row r="16" spans="1:8" s="30" customFormat="1" ht="32.1" customHeight="1">
      <c r="A16" s="138"/>
      <c r="B16" s="141"/>
      <c r="C16" s="855" t="s">
        <v>334</v>
      </c>
      <c r="D16" s="854">
        <v>16151</v>
      </c>
      <c r="E16" s="856" t="s">
        <v>46</v>
      </c>
      <c r="F16" s="35"/>
    </row>
    <row r="17" spans="1:8" s="9" customFormat="1" ht="32.1" customHeight="1">
      <c r="A17" s="138"/>
      <c r="B17" s="141"/>
      <c r="C17" s="855" t="s">
        <v>476</v>
      </c>
      <c r="D17" s="854">
        <v>5467</v>
      </c>
      <c r="E17" s="856" t="s">
        <v>46</v>
      </c>
    </row>
    <row r="18" spans="1:8" s="30" customFormat="1" ht="32.1" customHeight="1">
      <c r="A18" s="138" t="s">
        <v>365</v>
      </c>
      <c r="B18" s="31"/>
      <c r="C18" s="855" t="s">
        <v>1482</v>
      </c>
      <c r="D18" s="854">
        <v>-62101391</v>
      </c>
      <c r="E18" s="856" t="s">
        <v>46</v>
      </c>
      <c r="F18" s="36"/>
      <c r="H18" s="10"/>
    </row>
    <row r="19" spans="1:8" s="9" customFormat="1" ht="32.1" customHeight="1">
      <c r="A19" s="138" t="s">
        <v>365</v>
      </c>
      <c r="B19" s="31"/>
      <c r="C19" s="855" t="s">
        <v>1481</v>
      </c>
      <c r="D19" s="854">
        <v>5007</v>
      </c>
      <c r="E19" s="856" t="s">
        <v>46</v>
      </c>
    </row>
    <row r="20" spans="1:8" s="9" customFormat="1" ht="32.1" customHeight="1">
      <c r="A20" s="138" t="s">
        <v>365</v>
      </c>
      <c r="B20" s="31"/>
      <c r="C20" s="855" t="s">
        <v>598</v>
      </c>
      <c r="D20" s="854">
        <v>-60915</v>
      </c>
      <c r="E20" s="856" t="s">
        <v>46</v>
      </c>
    </row>
    <row r="21" spans="1:8" s="30" customFormat="1" ht="32.1" customHeight="1">
      <c r="A21" s="138" t="s">
        <v>481</v>
      </c>
      <c r="B21" s="31">
        <f>+B13+B14</f>
        <v>34671836</v>
      </c>
      <c r="C21" s="139"/>
      <c r="D21" s="140"/>
      <c r="E21" s="857"/>
    </row>
    <row r="22" spans="1:8" s="30" customFormat="1" ht="32.1" customHeight="1">
      <c r="A22" s="138" t="s">
        <v>482</v>
      </c>
      <c r="B22" s="31">
        <v>394</v>
      </c>
      <c r="C22" s="1427" t="s">
        <v>1393</v>
      </c>
      <c r="D22" s="1428"/>
      <c r="E22" s="1429"/>
    </row>
    <row r="23" spans="1:8" s="9" customFormat="1" ht="32.1" customHeight="1">
      <c r="A23" s="133" t="s">
        <v>367</v>
      </c>
      <c r="B23" s="27">
        <f>+B21+B22</f>
        <v>34672230</v>
      </c>
      <c r="C23" s="349"/>
      <c r="D23" s="350"/>
      <c r="E23" s="856"/>
    </row>
    <row r="24" spans="1:8" s="9" customFormat="1" ht="32.1" customHeight="1">
      <c r="A24" s="133" t="s">
        <v>368</v>
      </c>
      <c r="B24" s="27"/>
      <c r="C24" s="351"/>
      <c r="D24" s="352"/>
      <c r="E24" s="353"/>
    </row>
    <row r="25" spans="1:8" s="9" customFormat="1" ht="44.65" customHeight="1">
      <c r="A25" s="138" t="s">
        <v>369</v>
      </c>
      <c r="B25" s="31">
        <v>2709009</v>
      </c>
      <c r="C25" s="1409" t="s">
        <v>1496</v>
      </c>
      <c r="D25" s="1410"/>
      <c r="E25" s="1411"/>
    </row>
    <row r="26" spans="1:8" s="9" customFormat="1" ht="47.25" customHeight="1">
      <c r="A26" s="138" t="s">
        <v>370</v>
      </c>
      <c r="B26" s="31">
        <v>10100000</v>
      </c>
      <c r="C26" s="1430" t="s">
        <v>1498</v>
      </c>
      <c r="D26" s="1431"/>
      <c r="E26" s="1432"/>
    </row>
    <row r="27" spans="1:8" s="9" customFormat="1" ht="1.1499999999999999" hidden="1" customHeight="1">
      <c r="A27" s="138" t="s">
        <v>371</v>
      </c>
      <c r="B27" s="31">
        <v>0</v>
      </c>
      <c r="C27" s="1433" t="s">
        <v>477</v>
      </c>
      <c r="D27" s="1410"/>
      <c r="E27" s="1411"/>
    </row>
    <row r="28" spans="1:8" s="9" customFormat="1" ht="48.75" customHeight="1" thickBot="1">
      <c r="A28" s="463" t="s">
        <v>474</v>
      </c>
      <c r="B28" s="98">
        <v>8375073</v>
      </c>
      <c r="C28" s="1437" t="s">
        <v>1499</v>
      </c>
      <c r="D28" s="1438"/>
      <c r="E28" s="1439"/>
    </row>
    <row r="29" spans="1:8" s="9" customFormat="1" ht="103.5" customHeight="1">
      <c r="A29" s="138" t="s">
        <v>372</v>
      </c>
      <c r="B29" s="31">
        <v>-4891781</v>
      </c>
      <c r="C29" s="1430" t="s">
        <v>1497</v>
      </c>
      <c r="D29" s="1431"/>
      <c r="E29" s="1432"/>
    </row>
    <row r="30" spans="1:8" s="9" customFormat="1" ht="108" customHeight="1">
      <c r="A30" s="138" t="s">
        <v>373</v>
      </c>
      <c r="B30" s="31">
        <v>-26744512</v>
      </c>
      <c r="C30" s="1433" t="s">
        <v>1500</v>
      </c>
      <c r="D30" s="1410"/>
      <c r="E30" s="1411"/>
    </row>
    <row r="31" spans="1:8" s="9" customFormat="1" ht="46.5" customHeight="1">
      <c r="A31" s="138" t="s">
        <v>374</v>
      </c>
      <c r="B31" s="31">
        <v>-12000</v>
      </c>
      <c r="C31" s="1409" t="s">
        <v>1417</v>
      </c>
      <c r="D31" s="1410"/>
      <c r="E31" s="1411"/>
    </row>
    <row r="32" spans="1:8" s="9" customFormat="1" ht="31.7" customHeight="1">
      <c r="A32" s="133" t="s">
        <v>375</v>
      </c>
      <c r="B32" s="27">
        <f>SUM(B25:B31)</f>
        <v>-10464211</v>
      </c>
      <c r="C32" s="349"/>
      <c r="D32" s="350"/>
      <c r="E32" s="353"/>
    </row>
    <row r="33" spans="1:5" s="9" customFormat="1" ht="31.7" customHeight="1">
      <c r="A33" s="133" t="s">
        <v>376</v>
      </c>
      <c r="B33" s="142"/>
      <c r="C33" s="354"/>
      <c r="D33" s="355"/>
      <c r="E33" s="353"/>
    </row>
    <row r="34" spans="1:5" s="367" customFormat="1" ht="58.5" customHeight="1">
      <c r="A34" s="138" t="s">
        <v>377</v>
      </c>
      <c r="B34" s="31">
        <v>1607000</v>
      </c>
      <c r="C34" s="1440" t="s">
        <v>1415</v>
      </c>
      <c r="D34" s="1428"/>
      <c r="E34" s="1429"/>
    </row>
    <row r="35" spans="1:5" s="367" customFormat="1" ht="37.15" customHeight="1">
      <c r="A35" s="138" t="s">
        <v>378</v>
      </c>
      <c r="B35" s="31">
        <v>-900</v>
      </c>
      <c r="C35" s="1440" t="s">
        <v>1396</v>
      </c>
      <c r="D35" s="1428"/>
      <c r="E35" s="1429"/>
    </row>
    <row r="36" spans="1:5" s="367" customFormat="1" ht="31.35" customHeight="1">
      <c r="A36" s="138" t="s">
        <v>483</v>
      </c>
      <c r="B36" s="31">
        <v>-101398</v>
      </c>
      <c r="C36" s="1436" t="s">
        <v>1501</v>
      </c>
      <c r="D36" s="1428"/>
      <c r="E36" s="1429"/>
    </row>
    <row r="37" spans="1:5" s="9" customFormat="1" ht="33" customHeight="1">
      <c r="A37" s="133" t="s">
        <v>324</v>
      </c>
      <c r="B37" s="76">
        <f>SUM(B34:B36)</f>
        <v>1504702</v>
      </c>
      <c r="C37" s="356"/>
      <c r="D37" s="357"/>
      <c r="E37" s="657"/>
    </row>
    <row r="38" spans="1:5" s="9" customFormat="1" ht="33" customHeight="1">
      <c r="A38" s="133" t="s">
        <v>325</v>
      </c>
      <c r="B38" s="76">
        <f>B23+B32+B37</f>
        <v>25712721</v>
      </c>
      <c r="C38" s="359"/>
      <c r="D38" s="360"/>
      <c r="E38" s="353"/>
    </row>
    <row r="39" spans="1:5" s="9" customFormat="1" ht="33" customHeight="1">
      <c r="A39" s="133" t="s">
        <v>366</v>
      </c>
      <c r="B39" s="76">
        <f>77279160+1002000</f>
        <v>78281160</v>
      </c>
      <c r="C39" s="359"/>
      <c r="D39" s="360"/>
      <c r="E39" s="353"/>
    </row>
    <row r="40" spans="1:5" s="9" customFormat="1" ht="33" customHeight="1">
      <c r="A40" s="668" t="s">
        <v>380</v>
      </c>
      <c r="B40" s="76">
        <f>B38+B39</f>
        <v>103993881</v>
      </c>
      <c r="C40" s="360"/>
      <c r="D40" s="360"/>
      <c r="E40" s="353"/>
    </row>
    <row r="41" spans="1:5" s="9" customFormat="1" ht="21" customHeight="1">
      <c r="A41" s="668"/>
      <c r="B41" s="76"/>
      <c r="C41" s="360"/>
      <c r="D41" s="360"/>
      <c r="E41" s="353"/>
    </row>
    <row r="42" spans="1:5" s="9" customFormat="1" ht="51.75" customHeight="1" thickBot="1">
      <c r="A42" s="456"/>
      <c r="B42" s="271"/>
      <c r="C42" s="363"/>
      <c r="D42" s="364"/>
      <c r="E42" s="658"/>
    </row>
    <row r="43" spans="1:5" ht="11.85" customHeight="1">
      <c r="A43" s="1434"/>
      <c r="B43" s="1435"/>
      <c r="C43" s="1435"/>
      <c r="D43" s="1435"/>
      <c r="E43" s="1435"/>
    </row>
  </sheetData>
  <mergeCells count="19">
    <mergeCell ref="A43:E43"/>
    <mergeCell ref="C36:E36"/>
    <mergeCell ref="C28:E28"/>
    <mergeCell ref="C35:E35"/>
    <mergeCell ref="C29:E29"/>
    <mergeCell ref="C30:E30"/>
    <mergeCell ref="C34:E34"/>
    <mergeCell ref="C25:E25"/>
    <mergeCell ref="C31:E31"/>
    <mergeCell ref="A1:E1"/>
    <mergeCell ref="A5:A7"/>
    <mergeCell ref="B5:B7"/>
    <mergeCell ref="A4:E4"/>
    <mergeCell ref="A3:E3"/>
    <mergeCell ref="A2:E2"/>
    <mergeCell ref="C5:E7"/>
    <mergeCell ref="C22:E22"/>
    <mergeCell ref="C26:E26"/>
    <mergeCell ref="C27:E27"/>
  </mergeCells>
  <phoneticPr fontId="6" type="noConversion"/>
  <printOptions horizontalCentered="1"/>
  <pageMargins left="0.59055118110236227" right="0.59055118110236227" top="0.59055118110236227" bottom="0.78740157480314965" header="0.51181102362204722" footer="0.51181102362204722"/>
  <pageSetup paperSize="9" firstPageNumber="16" orientation="portrait" useFirstPageNumber="1" r:id="rId1"/>
  <headerFooter alignWithMargins="0">
    <oddFooter>&amp;C&amp;"Times New Roman,標準"&amp;P</oddFooter>
  </headerFooter>
  <rowBreaks count="1" manualBreakCount="1">
    <brk id="28" max="4"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I25"/>
  <sheetViews>
    <sheetView view="pageBreakPreview" zoomScaleNormal="100" zoomScaleSheetLayoutView="100" workbookViewId="0">
      <selection activeCell="G28" sqref="G28"/>
    </sheetView>
  </sheetViews>
  <sheetFormatPr defaultColWidth="9" defaultRowHeight="15.75"/>
  <cols>
    <col min="1" max="1" width="26" style="6" customWidth="1"/>
    <col min="2" max="2" width="5.5" style="6" bestFit="1" customWidth="1"/>
    <col min="3" max="3" width="14.25" style="6" bestFit="1" customWidth="1"/>
    <col min="4" max="4" width="8.875" style="19" bestFit="1" customWidth="1"/>
    <col min="5" max="5" width="11.75" style="6" customWidth="1"/>
    <col min="6" max="6" width="23.875" style="6" customWidth="1"/>
    <col min="7" max="16384" width="9" style="6"/>
  </cols>
  <sheetData>
    <row r="1" spans="1:9" ht="21">
      <c r="A1" s="1369" t="s">
        <v>40</v>
      </c>
      <c r="B1" s="1369"/>
      <c r="C1" s="1369"/>
      <c r="D1" s="1369"/>
      <c r="E1" s="1369"/>
      <c r="F1" s="1369"/>
    </row>
    <row r="2" spans="1:9" ht="21">
      <c r="A2" s="1369" t="s">
        <v>41</v>
      </c>
      <c r="B2" s="1369"/>
      <c r="C2" s="1369"/>
      <c r="D2" s="1369"/>
      <c r="E2" s="1369"/>
      <c r="F2" s="1369"/>
    </row>
    <row r="3" spans="1:9" ht="24.75" customHeight="1">
      <c r="A3" s="1370" t="s">
        <v>295</v>
      </c>
      <c r="B3" s="1371"/>
      <c r="C3" s="1371"/>
      <c r="D3" s="1371"/>
      <c r="E3" s="1371"/>
      <c r="F3" s="1371"/>
    </row>
    <row r="4" spans="1:9" ht="24.75" customHeight="1" thickBot="1">
      <c r="A4" s="1441" t="s">
        <v>1278</v>
      </c>
      <c r="B4" s="1373"/>
      <c r="C4" s="1373"/>
      <c r="D4" s="1373"/>
      <c r="E4" s="1373"/>
      <c r="F4" s="1373"/>
      <c r="G4" s="4"/>
      <c r="H4" s="4"/>
      <c r="I4" s="4"/>
    </row>
    <row r="5" spans="1:9" ht="15.75" customHeight="1">
      <c r="A5" s="1442" t="s">
        <v>296</v>
      </c>
      <c r="B5" s="1443"/>
      <c r="C5" s="1448" t="s">
        <v>297</v>
      </c>
      <c r="D5" s="1449"/>
      <c r="E5" s="1454" t="s">
        <v>298</v>
      </c>
      <c r="F5" s="1455"/>
    </row>
    <row r="6" spans="1:9" ht="15.75" customHeight="1">
      <c r="A6" s="1444"/>
      <c r="B6" s="1445"/>
      <c r="C6" s="1450"/>
      <c r="D6" s="1451"/>
      <c r="E6" s="1456"/>
      <c r="F6" s="1457"/>
    </row>
    <row r="7" spans="1:9">
      <c r="A7" s="1446"/>
      <c r="B7" s="1447"/>
      <c r="C7" s="1452"/>
      <c r="D7" s="1453"/>
      <c r="E7" s="1458"/>
      <c r="F7" s="1459"/>
    </row>
    <row r="8" spans="1:9" ht="11.25" customHeight="1">
      <c r="A8" s="1460"/>
      <c r="B8" s="1461"/>
      <c r="C8" s="1468"/>
      <c r="D8" s="1479"/>
      <c r="E8" s="1468"/>
      <c r="F8" s="1469"/>
    </row>
    <row r="9" spans="1:9" s="30" customFormat="1" ht="39.950000000000003" customHeight="1">
      <c r="A9" s="1462" t="s">
        <v>381</v>
      </c>
      <c r="B9" s="1463"/>
      <c r="C9" s="1480">
        <f>+C10</f>
        <v>274530</v>
      </c>
      <c r="D9" s="1481"/>
      <c r="E9" s="1464" t="s">
        <v>515</v>
      </c>
      <c r="F9" s="1465"/>
    </row>
    <row r="10" spans="1:9" s="9" customFormat="1" ht="39.950000000000003" customHeight="1">
      <c r="A10" s="1462" t="s">
        <v>382</v>
      </c>
      <c r="B10" s="1463"/>
      <c r="C10" s="1480">
        <f>+C11</f>
        <v>274530</v>
      </c>
      <c r="D10" s="1481"/>
      <c r="E10" s="1466"/>
      <c r="F10" s="1467"/>
    </row>
    <row r="11" spans="1:9" s="30" customFormat="1" ht="39.950000000000003" customHeight="1">
      <c r="A11" s="1462" t="s">
        <v>383</v>
      </c>
      <c r="B11" s="1463" t="s">
        <v>384</v>
      </c>
      <c r="C11" s="1480">
        <v>274530</v>
      </c>
      <c r="D11" s="1481"/>
      <c r="E11" s="1470" t="s">
        <v>1525</v>
      </c>
      <c r="F11" s="1471"/>
    </row>
    <row r="12" spans="1:9" s="30" customFormat="1" ht="39.950000000000003" customHeight="1">
      <c r="A12" s="1473"/>
      <c r="B12" s="1474"/>
      <c r="C12" s="1482"/>
      <c r="D12" s="1483"/>
      <c r="E12" s="1472"/>
      <c r="F12" s="1471"/>
    </row>
    <row r="13" spans="1:9" s="30" customFormat="1" ht="36.950000000000003" customHeight="1">
      <c r="A13" s="1475"/>
      <c r="B13" s="1476"/>
      <c r="C13" s="1484"/>
      <c r="D13" s="1485"/>
      <c r="E13" s="1466"/>
      <c r="F13" s="1467"/>
    </row>
    <row r="14" spans="1:9" s="30" customFormat="1" ht="31.7" customHeight="1">
      <c r="A14" s="1475"/>
      <c r="B14" s="1476"/>
      <c r="C14" s="1484"/>
      <c r="D14" s="1485"/>
      <c r="E14" s="1466"/>
      <c r="F14" s="1467"/>
    </row>
    <row r="15" spans="1:9" s="30" customFormat="1" ht="27" customHeight="1">
      <c r="A15" s="1475"/>
      <c r="B15" s="1476"/>
      <c r="C15" s="1484"/>
      <c r="D15" s="1485"/>
      <c r="E15" s="1466"/>
      <c r="F15" s="1467"/>
    </row>
    <row r="16" spans="1:9" s="30" customFormat="1" ht="27" customHeight="1">
      <c r="A16" s="1475"/>
      <c r="B16" s="1476"/>
      <c r="C16" s="1484"/>
      <c r="D16" s="1485"/>
      <c r="E16" s="1466"/>
      <c r="F16" s="1467"/>
    </row>
    <row r="17" spans="1:7" s="30" customFormat="1" ht="26.25" customHeight="1">
      <c r="A17" s="1475"/>
      <c r="B17" s="1476"/>
      <c r="C17" s="1484"/>
      <c r="D17" s="1485"/>
      <c r="E17" s="1466"/>
      <c r="F17" s="1467"/>
    </row>
    <row r="18" spans="1:7" s="30" customFormat="1" ht="86.25" customHeight="1">
      <c r="A18" s="1475"/>
      <c r="B18" s="1476"/>
      <c r="C18" s="1484"/>
      <c r="D18" s="1485"/>
      <c r="E18" s="1466"/>
      <c r="F18" s="1467"/>
    </row>
    <row r="19" spans="1:7" s="30" customFormat="1" ht="26.25" customHeight="1">
      <c r="A19" s="1475"/>
      <c r="B19" s="1476"/>
      <c r="C19" s="1484"/>
      <c r="D19" s="1485"/>
      <c r="E19" s="1466"/>
      <c r="F19" s="1467"/>
    </row>
    <row r="20" spans="1:7" s="30" customFormat="1" ht="57.75" customHeight="1">
      <c r="A20" s="1475"/>
      <c r="B20" s="1476"/>
      <c r="C20" s="1484"/>
      <c r="D20" s="1485"/>
      <c r="E20" s="1466"/>
      <c r="F20" s="1467"/>
    </row>
    <row r="21" spans="1:7" s="30" customFormat="1" ht="32.450000000000003" customHeight="1">
      <c r="A21" s="1475"/>
      <c r="B21" s="1476"/>
      <c r="C21" s="1484"/>
      <c r="D21" s="1485"/>
      <c r="E21" s="1466"/>
      <c r="F21" s="1467"/>
    </row>
    <row r="22" spans="1:7" s="30" customFormat="1" ht="59.45" customHeight="1">
      <c r="A22" s="1475"/>
      <c r="B22" s="1476"/>
      <c r="C22" s="1484"/>
      <c r="D22" s="1485"/>
      <c r="E22" s="1466"/>
      <c r="F22" s="1467"/>
      <c r="G22" s="32"/>
    </row>
    <row r="23" spans="1:7" s="30" customFormat="1" ht="34.5" customHeight="1">
      <c r="A23" s="1475"/>
      <c r="B23" s="1476"/>
      <c r="C23" s="1484"/>
      <c r="D23" s="1485"/>
      <c r="E23" s="1466"/>
      <c r="F23" s="1467"/>
    </row>
    <row r="24" spans="1:7" s="30" customFormat="1" ht="28.5" customHeight="1" thickBot="1">
      <c r="A24" s="1477"/>
      <c r="B24" s="1478"/>
      <c r="C24" s="1486"/>
      <c r="D24" s="1487"/>
      <c r="E24" s="1489"/>
      <c r="F24" s="1490"/>
    </row>
    <row r="25" spans="1:7" s="30" customFormat="1" ht="0.95" hidden="1" customHeight="1">
      <c r="A25" s="427"/>
      <c r="B25" s="428"/>
      <c r="C25" s="1484"/>
      <c r="D25" s="1488"/>
      <c r="E25" s="31"/>
      <c r="F25" s="330"/>
    </row>
  </sheetData>
  <mergeCells count="58">
    <mergeCell ref="C22:D22"/>
    <mergeCell ref="C23:D23"/>
    <mergeCell ref="C24:D24"/>
    <mergeCell ref="C25:D25"/>
    <mergeCell ref="E13:F13"/>
    <mergeCell ref="E14:F14"/>
    <mergeCell ref="E15:F15"/>
    <mergeCell ref="E16:F16"/>
    <mergeCell ref="E17:F17"/>
    <mergeCell ref="E23:F23"/>
    <mergeCell ref="E24:F24"/>
    <mergeCell ref="E18:F18"/>
    <mergeCell ref="E19:F19"/>
    <mergeCell ref="E20:F20"/>
    <mergeCell ref="E21:F21"/>
    <mergeCell ref="E22:F22"/>
    <mergeCell ref="A23:B23"/>
    <mergeCell ref="A24:B24"/>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A18:B18"/>
    <mergeCell ref="A19:B19"/>
    <mergeCell ref="A20:B20"/>
    <mergeCell ref="A21:B21"/>
    <mergeCell ref="A22:B22"/>
    <mergeCell ref="A13:B13"/>
    <mergeCell ref="A14:B14"/>
    <mergeCell ref="A15:B15"/>
    <mergeCell ref="A16:B16"/>
    <mergeCell ref="A17:B17"/>
    <mergeCell ref="A8:B8"/>
    <mergeCell ref="A9:B9"/>
    <mergeCell ref="A10:B10"/>
    <mergeCell ref="A11:B11"/>
    <mergeCell ref="E9:F9"/>
    <mergeCell ref="E10:F10"/>
    <mergeCell ref="E8:F8"/>
    <mergeCell ref="E11:F12"/>
    <mergeCell ref="A12:B12"/>
    <mergeCell ref="A1:F1"/>
    <mergeCell ref="A4:F4"/>
    <mergeCell ref="A3:F3"/>
    <mergeCell ref="A2:F2"/>
    <mergeCell ref="A5:B7"/>
    <mergeCell ref="C5:D7"/>
    <mergeCell ref="E5:F7"/>
  </mergeCells>
  <phoneticPr fontId="6" type="noConversion"/>
  <printOptions horizontalCentered="1"/>
  <pageMargins left="0.59055118110236227" right="0.59055118110236227" top="0.59055118110236227" bottom="0.78740157480314965" header="0.51181102362204722" footer="0.51181102362204722"/>
  <pageSetup paperSize="9" firstPageNumber="19" orientation="portrait" useFirstPageNumber="1" r:id="rId1"/>
  <headerFooter alignWithMargins="0">
    <oddFooter>&amp;C&amp;"Times New Roman,標準"&amp;P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O47"/>
  <sheetViews>
    <sheetView view="pageBreakPreview" topLeftCell="A2" zoomScaleNormal="100" zoomScaleSheetLayoutView="100" workbookViewId="0">
      <selection activeCell="G28" sqref="G28"/>
    </sheetView>
  </sheetViews>
  <sheetFormatPr defaultColWidth="9" defaultRowHeight="15.75"/>
  <cols>
    <col min="1" max="1" width="24.375" style="6" customWidth="1"/>
    <col min="2" max="2" width="5.5" style="6" bestFit="1" customWidth="1"/>
    <col min="3" max="3" width="16" style="6" bestFit="1" customWidth="1"/>
    <col min="4" max="4" width="8.875" style="19" bestFit="1" customWidth="1"/>
    <col min="5" max="5" width="11.75" style="6" customWidth="1"/>
    <col min="6" max="6" width="23.625" style="6" customWidth="1"/>
    <col min="7" max="7" width="13.875" style="6" hidden="1" customWidth="1"/>
    <col min="8" max="9" width="14.875" style="6" hidden="1" customWidth="1"/>
    <col min="10" max="10" width="12.625" style="6" hidden="1" customWidth="1"/>
    <col min="11" max="11" width="0" style="6" hidden="1" customWidth="1"/>
    <col min="12" max="12" width="10.5" style="6" hidden="1" customWidth="1"/>
    <col min="13" max="13" width="13.5" style="6" hidden="1" customWidth="1"/>
    <col min="14" max="14" width="12.875" style="6" hidden="1" customWidth="1"/>
    <col min="15" max="15" width="9.75" style="6" hidden="1" customWidth="1"/>
    <col min="16" max="17" width="0" style="6" hidden="1" customWidth="1"/>
    <col min="18" max="16384" width="9" style="6"/>
  </cols>
  <sheetData>
    <row r="1" spans="1:14" ht="21">
      <c r="A1" s="1369" t="s">
        <v>40</v>
      </c>
      <c r="B1" s="1369"/>
      <c r="C1" s="1369"/>
      <c r="D1" s="1369"/>
      <c r="E1" s="1369"/>
      <c r="F1" s="1369"/>
    </row>
    <row r="2" spans="1:14" ht="21">
      <c r="A2" s="1369" t="s">
        <v>41</v>
      </c>
      <c r="B2" s="1369"/>
      <c r="C2" s="1369"/>
      <c r="D2" s="1369"/>
      <c r="E2" s="1369"/>
      <c r="F2" s="1369"/>
    </row>
    <row r="3" spans="1:14" ht="24.75" customHeight="1">
      <c r="A3" s="1370" t="s">
        <v>1135</v>
      </c>
      <c r="B3" s="1371"/>
      <c r="C3" s="1371"/>
      <c r="D3" s="1371"/>
      <c r="E3" s="1371"/>
      <c r="F3" s="1371"/>
    </row>
    <row r="4" spans="1:14" ht="24.75" customHeight="1" thickBot="1">
      <c r="A4" s="1389" t="s">
        <v>1279</v>
      </c>
      <c r="B4" s="1390"/>
      <c r="C4" s="1390"/>
      <c r="D4" s="1390"/>
      <c r="E4" s="1390"/>
      <c r="F4" s="1390"/>
      <c r="G4" s="4"/>
      <c r="H4" s="4"/>
      <c r="I4" s="4"/>
      <c r="J4" s="4"/>
    </row>
    <row r="5" spans="1:14">
      <c r="A5" s="1497" t="s">
        <v>126</v>
      </c>
      <c r="B5" s="1500" t="s">
        <v>127</v>
      </c>
      <c r="C5" s="1503" t="s">
        <v>66</v>
      </c>
      <c r="D5" s="1504"/>
      <c r="E5" s="1505"/>
      <c r="F5" s="1506" t="s">
        <v>44</v>
      </c>
    </row>
    <row r="6" spans="1:14">
      <c r="A6" s="1498"/>
      <c r="B6" s="1501"/>
      <c r="C6" s="1493" t="s">
        <v>67</v>
      </c>
      <c r="D6" s="1509" t="s">
        <v>68</v>
      </c>
      <c r="E6" s="1493" t="s">
        <v>69</v>
      </c>
      <c r="F6" s="1507"/>
    </row>
    <row r="7" spans="1:14" ht="20.25" customHeight="1">
      <c r="A7" s="1499"/>
      <c r="B7" s="1502"/>
      <c r="C7" s="1494"/>
      <c r="D7" s="1510"/>
      <c r="E7" s="1494"/>
      <c r="F7" s="1508"/>
    </row>
    <row r="8" spans="1:14" ht="11.25" customHeight="1">
      <c r="A8" s="425"/>
      <c r="B8" s="703"/>
      <c r="C8" s="700"/>
      <c r="D8" s="704"/>
      <c r="E8" s="700"/>
      <c r="F8" s="25"/>
    </row>
    <row r="9" spans="1:14" s="30" customFormat="1" ht="76.7" customHeight="1">
      <c r="A9" s="26" t="s">
        <v>128</v>
      </c>
      <c r="B9" s="426" t="s">
        <v>129</v>
      </c>
      <c r="C9" s="27">
        <f>C10+C25+C34+C39</f>
        <v>985345893</v>
      </c>
      <c r="D9" s="28"/>
      <c r="E9" s="27">
        <f>E10+E25+E34+E39</f>
        <v>32289141</v>
      </c>
      <c r="F9" s="1118" t="s">
        <v>1477</v>
      </c>
      <c r="G9" s="786">
        <f>+I9-H9</f>
        <v>31773981</v>
      </c>
      <c r="H9" s="786">
        <f>+E34+I21</f>
        <v>515160</v>
      </c>
      <c r="I9" s="786">
        <f>+E9</f>
        <v>32289141</v>
      </c>
      <c r="L9" s="786">
        <v>1631412</v>
      </c>
      <c r="M9" s="786">
        <f>C9+L9</f>
        <v>986977305</v>
      </c>
      <c r="N9" s="786">
        <f>M9-C34</f>
        <v>986517305</v>
      </c>
    </row>
    <row r="10" spans="1:14" s="30" customFormat="1" ht="31.7" customHeight="1">
      <c r="A10" s="26" t="s">
        <v>130</v>
      </c>
      <c r="B10" s="426"/>
      <c r="C10" s="27">
        <f>+C11+C20+C22</f>
        <v>788493893</v>
      </c>
      <c r="D10" s="28"/>
      <c r="E10" s="27">
        <f>+E11+E20+E22</f>
        <v>29507668</v>
      </c>
      <c r="F10" s="29"/>
    </row>
    <row r="11" spans="1:14" s="30" customFormat="1" ht="26.25" customHeight="1">
      <c r="A11" s="26" t="s">
        <v>386</v>
      </c>
      <c r="B11" s="426" t="s">
        <v>129</v>
      </c>
      <c r="C11" s="223">
        <f>C12+C16+C17</f>
        <v>662966000</v>
      </c>
      <c r="D11" s="224"/>
      <c r="E11" s="27">
        <f>E12+E16+E17</f>
        <v>27883302</v>
      </c>
      <c r="F11" s="29"/>
      <c r="G11" s="32"/>
    </row>
    <row r="12" spans="1:14" s="30" customFormat="1" ht="36.75" customHeight="1">
      <c r="A12" s="427" t="s">
        <v>387</v>
      </c>
      <c r="B12" s="428" t="s">
        <v>129</v>
      </c>
      <c r="C12" s="31">
        <f>+C13</f>
        <v>474056000</v>
      </c>
      <c r="D12" s="200"/>
      <c r="E12" s="31">
        <f>+E13</f>
        <v>23797611</v>
      </c>
      <c r="F12" s="735" t="s">
        <v>1236</v>
      </c>
      <c r="H12" s="30" t="s">
        <v>501</v>
      </c>
    </row>
    <row r="13" spans="1:14" s="30" customFormat="1" ht="26.1" hidden="1" customHeight="1">
      <c r="A13" s="427" t="s">
        <v>387</v>
      </c>
      <c r="B13" s="428" t="s">
        <v>129</v>
      </c>
      <c r="C13" s="31">
        <f>+C14+C15</f>
        <v>474056000</v>
      </c>
      <c r="D13" s="257"/>
      <c r="E13" s="31">
        <f>+E14+E15</f>
        <v>23797611</v>
      </c>
      <c r="F13" s="701"/>
    </row>
    <row r="14" spans="1:14" s="30" customFormat="1" ht="26.1" customHeight="1">
      <c r="A14" s="427" t="s">
        <v>1162</v>
      </c>
      <c r="B14" s="428" t="s">
        <v>129</v>
      </c>
      <c r="C14" s="31">
        <v>189623000</v>
      </c>
      <c r="D14" s="200">
        <v>5.0200000000000002E-2</v>
      </c>
      <c r="E14" s="31">
        <v>9519075</v>
      </c>
      <c r="F14" s="701"/>
      <c r="H14" s="31">
        <v>10115703</v>
      </c>
      <c r="I14" s="31">
        <f>E14-H14</f>
        <v>-596628</v>
      </c>
      <c r="K14" s="1171">
        <f>E14/C14</f>
        <v>5.0200002109448749E-2</v>
      </c>
    </row>
    <row r="15" spans="1:14" s="30" customFormat="1" ht="27" customHeight="1">
      <c r="A15" s="427" t="s">
        <v>1163</v>
      </c>
      <c r="B15" s="428" t="s">
        <v>129</v>
      </c>
      <c r="C15" s="31">
        <v>284433000</v>
      </c>
      <c r="D15" s="257">
        <v>5.0200000000000002E-2</v>
      </c>
      <c r="E15" s="31">
        <v>14278536</v>
      </c>
      <c r="F15" s="34"/>
      <c r="H15" s="31">
        <v>15525083</v>
      </c>
      <c r="I15" s="31">
        <f>E15-H15</f>
        <v>-1246547</v>
      </c>
      <c r="K15" s="1171">
        <f>E15/C15</f>
        <v>5.0199997890540124E-2</v>
      </c>
    </row>
    <row r="16" spans="1:14" s="30" customFormat="1" ht="24" customHeight="1">
      <c r="A16" s="427" t="s">
        <v>135</v>
      </c>
      <c r="B16" s="428" t="s">
        <v>129</v>
      </c>
      <c r="C16" s="31">
        <v>12641000</v>
      </c>
      <c r="D16" s="200">
        <v>9.9000000000000008E-3</v>
      </c>
      <c r="E16" s="31">
        <v>125146</v>
      </c>
      <c r="F16" s="735" t="s">
        <v>1267</v>
      </c>
      <c r="K16" s="1171">
        <f>E16/C16</f>
        <v>9.9000079107665531E-3</v>
      </c>
    </row>
    <row r="17" spans="1:15" s="30" customFormat="1" ht="40.35" customHeight="1">
      <c r="A17" s="427" t="s">
        <v>1422</v>
      </c>
      <c r="B17" s="428" t="s">
        <v>129</v>
      </c>
      <c r="C17" s="31">
        <f>C18+C19</f>
        <v>176269000</v>
      </c>
      <c r="D17" s="200"/>
      <c r="E17" s="31">
        <f>E18+E19</f>
        <v>3960545</v>
      </c>
      <c r="F17" s="789" t="s">
        <v>1237</v>
      </c>
    </row>
    <row r="18" spans="1:15" s="1035" customFormat="1" ht="27" customHeight="1">
      <c r="A18" s="427" t="s">
        <v>1423</v>
      </c>
      <c r="B18" s="428" t="s">
        <v>129</v>
      </c>
      <c r="C18" s="31">
        <v>42665000</v>
      </c>
      <c r="D18" s="200">
        <v>1.83E-2</v>
      </c>
      <c r="E18" s="31">
        <v>780770</v>
      </c>
      <c r="F18" s="789"/>
    </row>
    <row r="19" spans="1:15" s="30" customFormat="1" ht="27" customHeight="1">
      <c r="A19" s="427" t="s">
        <v>1424</v>
      </c>
      <c r="B19" s="428" t="s">
        <v>129</v>
      </c>
      <c r="C19" s="31">
        <v>133604000</v>
      </c>
      <c r="D19" s="257">
        <v>2.3800000000000002E-2</v>
      </c>
      <c r="E19" s="31">
        <v>3179775</v>
      </c>
      <c r="F19" s="34"/>
    </row>
    <row r="20" spans="1:15" s="30" customFormat="1" ht="35.25" customHeight="1">
      <c r="A20" s="26" t="s">
        <v>131</v>
      </c>
      <c r="B20" s="426" t="s">
        <v>129</v>
      </c>
      <c r="C20" s="27">
        <f>3402627+30500000</f>
        <v>33902627</v>
      </c>
      <c r="D20" s="222">
        <f>+E20/C20</f>
        <v>1.8374623299840451E-2</v>
      </c>
      <c r="E20" s="27">
        <f>521550+(97145+4253)</f>
        <v>622948</v>
      </c>
      <c r="F20" s="1495" t="s">
        <v>1476</v>
      </c>
      <c r="G20" s="784" t="s">
        <v>530</v>
      </c>
      <c r="H20" s="784" t="s">
        <v>532</v>
      </c>
      <c r="I20" s="784" t="s">
        <v>533</v>
      </c>
      <c r="J20" s="30" t="s">
        <v>529</v>
      </c>
      <c r="K20" s="30" t="s">
        <v>531</v>
      </c>
      <c r="L20" s="30" t="s">
        <v>231</v>
      </c>
      <c r="M20" s="30" t="s">
        <v>529</v>
      </c>
      <c r="N20" s="30" t="s">
        <v>531</v>
      </c>
      <c r="O20" s="30" t="s">
        <v>231</v>
      </c>
    </row>
    <row r="21" spans="1:15" s="30" customFormat="1" ht="112.9" customHeight="1">
      <c r="A21" s="427"/>
      <c r="B21" s="428"/>
      <c r="C21" s="31"/>
      <c r="D21" s="200"/>
      <c r="E21" s="31"/>
      <c r="F21" s="1496"/>
      <c r="G21" s="713">
        <v>30500000</v>
      </c>
      <c r="H21" s="1035">
        <v>1.68</v>
      </c>
      <c r="I21" s="713">
        <v>512400</v>
      </c>
      <c r="J21" s="713">
        <f>1000587+32</f>
        <v>1000619</v>
      </c>
      <c r="K21" s="30">
        <f>2.385+0.04</f>
        <v>2.4249999999999998</v>
      </c>
      <c r="L21" s="713">
        <f>23864+401</f>
        <v>24265</v>
      </c>
      <c r="M21" s="713">
        <f>+G21+J21</f>
        <v>31500619</v>
      </c>
      <c r="N21" s="785">
        <f>+O21/M21</f>
        <v>1.703664934330338E-2</v>
      </c>
      <c r="O21" s="713">
        <f>+I21+L21</f>
        <v>536665</v>
      </c>
    </row>
    <row r="22" spans="1:15" s="30" customFormat="1" ht="27.6" customHeight="1">
      <c r="A22" s="26" t="s">
        <v>132</v>
      </c>
      <c r="B22" s="426" t="s">
        <v>129</v>
      </c>
      <c r="C22" s="352">
        <f>SUM(C23:C24)</f>
        <v>91625266</v>
      </c>
      <c r="D22" s="222"/>
      <c r="E22" s="27">
        <f>+E23+E24</f>
        <v>1001418</v>
      </c>
      <c r="F22" s="1098" t="s">
        <v>70</v>
      </c>
    </row>
    <row r="23" spans="1:15" s="30" customFormat="1" ht="26.25" customHeight="1">
      <c r="A23" s="427" t="s">
        <v>1164</v>
      </c>
      <c r="B23" s="428" t="s">
        <v>129</v>
      </c>
      <c r="C23" s="350">
        <v>75112266</v>
      </c>
      <c r="D23" s="200">
        <v>8.0999999999999996E-3</v>
      </c>
      <c r="E23" s="31">
        <v>608409</v>
      </c>
      <c r="F23" s="1098"/>
      <c r="K23" s="1171">
        <f>E23/C23</f>
        <v>8.0999952790666713E-3</v>
      </c>
    </row>
    <row r="24" spans="1:15" s="30" customFormat="1" ht="25.5" customHeight="1">
      <c r="A24" s="427" t="s">
        <v>1165</v>
      </c>
      <c r="B24" s="428" t="s">
        <v>129</v>
      </c>
      <c r="C24" s="350">
        <v>16513000</v>
      </c>
      <c r="D24" s="200">
        <v>2.3800000000000002E-2</v>
      </c>
      <c r="E24" s="31">
        <v>393009</v>
      </c>
      <c r="F24" s="1098"/>
      <c r="K24" s="1171">
        <f>E24/C24</f>
        <v>2.3799975776660813E-2</v>
      </c>
    </row>
    <row r="25" spans="1:15" s="9" customFormat="1" ht="28.5" customHeight="1">
      <c r="A25" s="26" t="s">
        <v>133</v>
      </c>
      <c r="B25" s="426"/>
      <c r="C25" s="352">
        <f>C31+C26</f>
        <v>161086000</v>
      </c>
      <c r="D25" s="90"/>
      <c r="E25" s="27">
        <f>E31+E26</f>
        <v>2365631</v>
      </c>
      <c r="F25" s="946"/>
      <c r="I25" s="783"/>
      <c r="L25" s="783"/>
    </row>
    <row r="26" spans="1:15" s="30" customFormat="1" ht="30" customHeight="1" thickBot="1">
      <c r="A26" s="457" t="s">
        <v>388</v>
      </c>
      <c r="B26" s="1113" t="s">
        <v>129</v>
      </c>
      <c r="C26" s="1114">
        <f>SUM(C27:C28)</f>
        <v>113888000</v>
      </c>
      <c r="D26" s="1115"/>
      <c r="E26" s="1116">
        <f>SUM(E27:E28)</f>
        <v>1882748</v>
      </c>
      <c r="F26" s="1044"/>
      <c r="G26" s="32"/>
    </row>
    <row r="27" spans="1:15" s="30" customFormat="1" ht="32.25" customHeight="1">
      <c r="A27" s="427" t="s">
        <v>135</v>
      </c>
      <c r="B27" s="428" t="s">
        <v>129</v>
      </c>
      <c r="C27" s="350">
        <v>12081000</v>
      </c>
      <c r="D27" s="200">
        <v>9.9000000000000008E-3</v>
      </c>
      <c r="E27" s="31">
        <v>119602</v>
      </c>
      <c r="F27" s="735" t="s">
        <v>1267</v>
      </c>
    </row>
    <row r="28" spans="1:15" s="30" customFormat="1" ht="36" customHeight="1">
      <c r="A28" s="427" t="s">
        <v>1422</v>
      </c>
      <c r="B28" s="428" t="s">
        <v>129</v>
      </c>
      <c r="C28" s="350">
        <f>C29+C30</f>
        <v>101807000</v>
      </c>
      <c r="D28" s="200"/>
      <c r="E28" s="31">
        <f>E29+E30</f>
        <v>1763146</v>
      </c>
      <c r="F28" s="789" t="s">
        <v>1237</v>
      </c>
    </row>
    <row r="29" spans="1:15" s="1035" customFormat="1" ht="36" customHeight="1">
      <c r="A29" s="427" t="s">
        <v>1425</v>
      </c>
      <c r="B29" s="428" t="s">
        <v>129</v>
      </c>
      <c r="C29" s="350">
        <v>68462000</v>
      </c>
      <c r="D29" s="200">
        <v>1.46E-2</v>
      </c>
      <c r="E29" s="31">
        <v>999545</v>
      </c>
      <c r="F29" s="789"/>
    </row>
    <row r="30" spans="1:15" s="30" customFormat="1" ht="36" customHeight="1">
      <c r="A30" s="427" t="s">
        <v>1424</v>
      </c>
      <c r="B30" s="428" t="s">
        <v>129</v>
      </c>
      <c r="C30" s="350">
        <v>33345000</v>
      </c>
      <c r="D30" s="200">
        <v>2.29E-2</v>
      </c>
      <c r="E30" s="31">
        <v>763601</v>
      </c>
      <c r="F30" s="878"/>
    </row>
    <row r="31" spans="1:15" s="30" customFormat="1" ht="25.5" customHeight="1">
      <c r="A31" s="26" t="s">
        <v>134</v>
      </c>
      <c r="B31" s="426" t="s">
        <v>129</v>
      </c>
      <c r="C31" s="352">
        <f>SUM(C32:C33)</f>
        <v>47198000</v>
      </c>
      <c r="D31" s="222"/>
      <c r="E31" s="27">
        <f>SUM(E32:E33)</f>
        <v>482883</v>
      </c>
      <c r="F31" s="701" t="s">
        <v>70</v>
      </c>
    </row>
    <row r="32" spans="1:15" s="30" customFormat="1" ht="30" customHeight="1">
      <c r="A32" s="427" t="s">
        <v>136</v>
      </c>
      <c r="B32" s="428" t="s">
        <v>129</v>
      </c>
      <c r="C32" s="350">
        <v>46715000</v>
      </c>
      <c r="D32" s="200">
        <v>1.01E-2</v>
      </c>
      <c r="E32" s="31">
        <v>471822</v>
      </c>
      <c r="F32" s="701"/>
    </row>
    <row r="33" spans="1:12" s="30" customFormat="1" ht="29.25" customHeight="1">
      <c r="A33" s="427" t="s">
        <v>137</v>
      </c>
      <c r="B33" s="428" t="s">
        <v>129</v>
      </c>
      <c r="C33" s="350">
        <v>483000</v>
      </c>
      <c r="D33" s="200">
        <v>2.29E-2</v>
      </c>
      <c r="E33" s="31">
        <v>11061</v>
      </c>
      <c r="F33" s="34"/>
    </row>
    <row r="34" spans="1:12" s="9" customFormat="1" ht="29.45" customHeight="1">
      <c r="A34" s="26" t="s">
        <v>534</v>
      </c>
      <c r="B34" s="426"/>
      <c r="C34" s="352">
        <f>+C35</f>
        <v>460000</v>
      </c>
      <c r="D34" s="90"/>
      <c r="E34" s="27">
        <f>+E35</f>
        <v>2760</v>
      </c>
      <c r="F34" s="766"/>
      <c r="I34" s="783"/>
      <c r="L34" s="783"/>
    </row>
    <row r="35" spans="1:12" s="30" customFormat="1" ht="29.45" customHeight="1">
      <c r="A35" s="26" t="s">
        <v>134</v>
      </c>
      <c r="B35" s="426" t="s">
        <v>129</v>
      </c>
      <c r="C35" s="352">
        <f>+C36+C37</f>
        <v>460000</v>
      </c>
      <c r="D35" s="222">
        <v>6.0000000000000001E-3</v>
      </c>
      <c r="E35" s="27">
        <f>+E36+E37</f>
        <v>2760</v>
      </c>
      <c r="F35" s="1491" t="s">
        <v>518</v>
      </c>
    </row>
    <row r="36" spans="1:12" s="30" customFormat="1" ht="29.1" customHeight="1">
      <c r="A36" s="427" t="s">
        <v>535</v>
      </c>
      <c r="B36" s="428" t="s">
        <v>129</v>
      </c>
      <c r="C36" s="350">
        <v>230000</v>
      </c>
      <c r="D36" s="200">
        <v>6.0000000000000001E-3</v>
      </c>
      <c r="E36" s="31">
        <v>1380</v>
      </c>
      <c r="F36" s="1491"/>
    </row>
    <row r="37" spans="1:12" s="30" customFormat="1" ht="27" customHeight="1">
      <c r="A37" s="427" t="s">
        <v>536</v>
      </c>
      <c r="B37" s="428" t="s">
        <v>129</v>
      </c>
      <c r="C37" s="350">
        <v>230000</v>
      </c>
      <c r="D37" s="200">
        <v>6.0000000000000001E-3</v>
      </c>
      <c r="E37" s="31">
        <v>1380</v>
      </c>
      <c r="F37" s="1491"/>
    </row>
    <row r="38" spans="1:12" s="30" customFormat="1" ht="6.6" customHeight="1">
      <c r="A38" s="26"/>
      <c r="B38" s="428"/>
      <c r="C38" s="350"/>
      <c r="D38" s="91"/>
      <c r="E38" s="31"/>
      <c r="F38" s="1492"/>
    </row>
    <row r="39" spans="1:12" s="944" customFormat="1" ht="28.5" customHeight="1">
      <c r="A39" s="26" t="s">
        <v>795</v>
      </c>
      <c r="B39" s="426"/>
      <c r="C39" s="352">
        <f>C43+C40</f>
        <v>35306000</v>
      </c>
      <c r="D39" s="90"/>
      <c r="E39" s="27">
        <f>E43+E40</f>
        <v>413082</v>
      </c>
      <c r="F39" s="946"/>
    </row>
    <row r="40" spans="1:12" s="30" customFormat="1" ht="29.1" customHeight="1">
      <c r="A40" s="26" t="s">
        <v>388</v>
      </c>
      <c r="B40" s="426" t="s">
        <v>129</v>
      </c>
      <c r="C40" s="642">
        <f>SUM(C41:C41)</f>
        <v>8827000</v>
      </c>
      <c r="D40" s="225"/>
      <c r="E40" s="223">
        <f>SUM(E41:E41)</f>
        <v>127109</v>
      </c>
      <c r="F40" s="29"/>
      <c r="G40" s="32"/>
    </row>
    <row r="41" spans="1:12" s="30" customFormat="1" ht="36" customHeight="1">
      <c r="A41" s="427" t="s">
        <v>1422</v>
      </c>
      <c r="B41" s="428" t="s">
        <v>129</v>
      </c>
      <c r="C41" s="350">
        <v>8827000</v>
      </c>
      <c r="D41" s="200"/>
      <c r="E41" s="31">
        <v>127109</v>
      </c>
      <c r="F41" s="789" t="s">
        <v>1237</v>
      </c>
    </row>
    <row r="42" spans="1:12" s="1035" customFormat="1" ht="36" customHeight="1">
      <c r="A42" s="427" t="s">
        <v>1425</v>
      </c>
      <c r="B42" s="428" t="s">
        <v>129</v>
      </c>
      <c r="C42" s="350">
        <v>8827000</v>
      </c>
      <c r="D42" s="200">
        <v>1.44E-2</v>
      </c>
      <c r="E42" s="31">
        <v>127109</v>
      </c>
      <c r="F42" s="789"/>
    </row>
    <row r="43" spans="1:12" s="30" customFormat="1" ht="25.5" customHeight="1">
      <c r="A43" s="26" t="s">
        <v>134</v>
      </c>
      <c r="B43" s="426" t="s">
        <v>129</v>
      </c>
      <c r="C43" s="352">
        <f>SUM(C44:C44)</f>
        <v>26479000</v>
      </c>
      <c r="D43" s="222"/>
      <c r="E43" s="27">
        <f>SUM(E44:E44)</f>
        <v>285973</v>
      </c>
      <c r="F43" s="735" t="s">
        <v>796</v>
      </c>
    </row>
    <row r="44" spans="1:12" s="30" customFormat="1" ht="35.1" customHeight="1">
      <c r="A44" s="427" t="s">
        <v>136</v>
      </c>
      <c r="B44" s="428" t="s">
        <v>129</v>
      </c>
      <c r="C44" s="350">
        <v>26479000</v>
      </c>
      <c r="D44" s="200">
        <v>1.0800000000000001E-2</v>
      </c>
      <c r="E44" s="31">
        <v>285973</v>
      </c>
      <c r="F44" s="945"/>
    </row>
    <row r="45" spans="1:12" ht="42.75" customHeight="1">
      <c r="A45" s="26"/>
      <c r="B45" s="426"/>
      <c r="C45" s="352"/>
      <c r="D45" s="90"/>
      <c r="E45" s="27"/>
      <c r="F45" s="946"/>
    </row>
    <row r="46" spans="1:12" ht="33.75" customHeight="1">
      <c r="A46" s="427"/>
      <c r="B46" s="428"/>
      <c r="C46" s="350"/>
      <c r="D46" s="200"/>
      <c r="E46" s="31"/>
      <c r="F46" s="945"/>
    </row>
    <row r="47" spans="1:12" ht="17.25" thickBot="1">
      <c r="A47" s="429"/>
      <c r="B47" s="430"/>
      <c r="C47" s="643"/>
      <c r="D47" s="321"/>
      <c r="E47" s="98"/>
      <c r="F47" s="702"/>
    </row>
  </sheetData>
  <mergeCells count="13">
    <mergeCell ref="F35:F38"/>
    <mergeCell ref="E6:E7"/>
    <mergeCell ref="F20:F21"/>
    <mergeCell ref="A1:F1"/>
    <mergeCell ref="A2:F2"/>
    <mergeCell ref="A3:F3"/>
    <mergeCell ref="A4:F4"/>
    <mergeCell ref="A5:A7"/>
    <mergeCell ref="B5:B7"/>
    <mergeCell ref="C5:E5"/>
    <mergeCell ref="F5:F7"/>
    <mergeCell ref="C6:C7"/>
    <mergeCell ref="D6:D7"/>
  </mergeCells>
  <phoneticPr fontId="6" type="noConversion"/>
  <printOptions horizontalCentered="1"/>
  <pageMargins left="0.59055118110236227" right="0.59055118110236227" top="0.59055118110236227" bottom="0.78740157480314965" header="0.51181102362204722" footer="0.51181102362204722"/>
  <pageSetup paperSize="9" firstPageNumber="20" orientation="portrait" useFirstPageNumber="1" r:id="rId1"/>
  <headerFooter alignWithMargins="0">
    <oddFooter>&amp;C&amp;"Times New Roman,標準"&amp;P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G45"/>
  <sheetViews>
    <sheetView view="pageBreakPreview" topLeftCell="A43" workbookViewId="0">
      <selection activeCell="G28" sqref="G28"/>
    </sheetView>
  </sheetViews>
  <sheetFormatPr defaultColWidth="9" defaultRowHeight="15.75"/>
  <cols>
    <col min="1" max="1" width="27.5" style="6" customWidth="1"/>
    <col min="2" max="2" width="13.625" style="6" customWidth="1"/>
    <col min="3" max="3" width="49" style="6" customWidth="1"/>
    <col min="4" max="4" width="39" style="6" hidden="1" customWidth="1"/>
    <col min="5" max="5" width="9.375" style="6" hidden="1" customWidth="1"/>
    <col min="6" max="6" width="26.375" style="6" hidden="1" customWidth="1"/>
    <col min="7" max="7" width="19.875" style="6" hidden="1" customWidth="1"/>
    <col min="8" max="16384" width="9" style="6"/>
  </cols>
  <sheetData>
    <row r="1" spans="1:6" s="2" customFormat="1" ht="21">
      <c r="A1" s="1369" t="s">
        <v>40</v>
      </c>
      <c r="B1" s="1369"/>
      <c r="C1" s="1369"/>
      <c r="D1" s="1"/>
      <c r="E1" s="1"/>
      <c r="F1" s="1"/>
    </row>
    <row r="2" spans="1:6" s="2" customFormat="1" ht="21">
      <c r="A2" s="1369" t="s">
        <v>41</v>
      </c>
      <c r="B2" s="1369"/>
      <c r="C2" s="1369"/>
      <c r="D2" s="1"/>
      <c r="E2" s="1"/>
      <c r="F2" s="1"/>
    </row>
    <row r="3" spans="1:6" s="2" customFormat="1" ht="24.75" customHeight="1">
      <c r="A3" s="1370" t="s">
        <v>1115</v>
      </c>
      <c r="B3" s="1371"/>
      <c r="C3" s="1371"/>
      <c r="D3" s="3"/>
      <c r="E3" s="3"/>
      <c r="F3" s="3"/>
    </row>
    <row r="4" spans="1:6" s="2" customFormat="1" ht="24.75" customHeight="1" thickBot="1">
      <c r="A4" s="1389" t="s">
        <v>1280</v>
      </c>
      <c r="B4" s="1390"/>
      <c r="C4" s="1390"/>
      <c r="D4" s="4"/>
      <c r="E4" s="4"/>
      <c r="F4" s="4"/>
    </row>
    <row r="5" spans="1:6" ht="15.75" customHeight="1">
      <c r="A5" s="1511" t="s">
        <v>126</v>
      </c>
      <c r="B5" s="1514" t="s">
        <v>124</v>
      </c>
      <c r="C5" s="1517" t="s">
        <v>125</v>
      </c>
      <c r="D5" s="4"/>
      <c r="E5" s="4"/>
      <c r="F5" s="4"/>
    </row>
    <row r="6" spans="1:6" ht="15.75" customHeight="1">
      <c r="A6" s="1512"/>
      <c r="B6" s="1515"/>
      <c r="C6" s="1518"/>
      <c r="D6" s="4"/>
      <c r="E6" s="4"/>
      <c r="F6" s="4"/>
    </row>
    <row r="7" spans="1:6" ht="15.75" customHeight="1">
      <c r="A7" s="1513"/>
      <c r="B7" s="1516"/>
      <c r="C7" s="1519"/>
    </row>
    <row r="8" spans="1:6" ht="8.25" customHeight="1">
      <c r="A8" s="72"/>
      <c r="B8" s="699"/>
      <c r="C8" s="86"/>
    </row>
    <row r="9" spans="1:6" s="9" customFormat="1" ht="36" customHeight="1">
      <c r="A9" s="431" t="s">
        <v>138</v>
      </c>
      <c r="B9" s="20">
        <f>B10+B16+B21+B32</f>
        <v>531071560</v>
      </c>
      <c r="C9" s="789" t="s">
        <v>1265</v>
      </c>
      <c r="D9" s="860">
        <f>+B10+B16+B21+B32</f>
        <v>531071560</v>
      </c>
      <c r="E9" s="860"/>
      <c r="F9" s="860">
        <f>+D9+E9</f>
        <v>531071560</v>
      </c>
    </row>
    <row r="10" spans="1:6" s="9" customFormat="1" ht="28.9" customHeight="1">
      <c r="A10" s="432" t="s">
        <v>28</v>
      </c>
      <c r="B10" s="20">
        <f>+B11+B14</f>
        <v>482778342</v>
      </c>
      <c r="C10" s="705"/>
    </row>
    <row r="11" spans="1:6" s="30" customFormat="1" ht="29.45" customHeight="1">
      <c r="A11" s="433" t="s">
        <v>490</v>
      </c>
      <c r="B11" s="20">
        <f>B12+B13</f>
        <v>482778342</v>
      </c>
      <c r="C11" s="1188" t="s">
        <v>1259</v>
      </c>
      <c r="D11" s="35"/>
    </row>
    <row r="12" spans="1:6" s="30" customFormat="1" ht="43.15" customHeight="1">
      <c r="A12" s="434" t="s">
        <v>140</v>
      </c>
      <c r="B12" s="8">
        <v>482321513</v>
      </c>
      <c r="C12" s="1117" t="s">
        <v>1426</v>
      </c>
      <c r="D12" s="35"/>
    </row>
    <row r="13" spans="1:6" s="30" customFormat="1" ht="32.1" customHeight="1">
      <c r="A13" s="434" t="s">
        <v>141</v>
      </c>
      <c r="B13" s="8">
        <v>456829</v>
      </c>
      <c r="C13" s="705"/>
      <c r="D13" s="35"/>
    </row>
    <row r="14" spans="1:6" s="726" customFormat="1" ht="40.700000000000003" hidden="1" customHeight="1">
      <c r="A14" s="1038" t="s">
        <v>142</v>
      </c>
      <c r="B14" s="1034"/>
      <c r="C14" s="1095" t="s">
        <v>1250</v>
      </c>
    </row>
    <row r="15" spans="1:6" s="30" customFormat="1" ht="15" customHeight="1">
      <c r="A15" s="434"/>
      <c r="B15" s="8"/>
      <c r="C15" s="705"/>
      <c r="D15" s="35"/>
    </row>
    <row r="16" spans="1:6" s="30" customFormat="1" ht="24.2" customHeight="1">
      <c r="A16" s="432" t="s">
        <v>29</v>
      </c>
      <c r="B16" s="20">
        <f>B17</f>
        <v>32081213</v>
      </c>
      <c r="C16" s="705"/>
      <c r="D16" s="35"/>
    </row>
    <row r="17" spans="1:4" s="30" customFormat="1" ht="28.9" customHeight="1">
      <c r="A17" s="433" t="s">
        <v>139</v>
      </c>
      <c r="B17" s="20">
        <f>SUM(B18:B19)</f>
        <v>32081213</v>
      </c>
      <c r="C17" s="1188" t="s">
        <v>1260</v>
      </c>
      <c r="D17" s="35"/>
    </row>
    <row r="18" spans="1:4" s="30" customFormat="1" ht="35.450000000000003" customHeight="1">
      <c r="A18" s="434" t="s">
        <v>140</v>
      </c>
      <c r="B18" s="8">
        <v>32056864</v>
      </c>
      <c r="C18" s="1095" t="s">
        <v>1427</v>
      </c>
      <c r="D18" s="35"/>
    </row>
    <row r="19" spans="1:4" s="30" customFormat="1" ht="30.2" customHeight="1">
      <c r="A19" s="434" t="s">
        <v>141</v>
      </c>
      <c r="B19" s="8">
        <v>24349</v>
      </c>
      <c r="C19" s="705"/>
      <c r="D19" s="35"/>
    </row>
    <row r="20" spans="1:4" s="9" customFormat="1" ht="17.100000000000001" customHeight="1">
      <c r="A20" s="435"/>
      <c r="B20" s="40"/>
      <c r="C20" s="705"/>
    </row>
    <row r="21" spans="1:4" s="30" customFormat="1" ht="28.15" customHeight="1">
      <c r="A21" s="432" t="s">
        <v>537</v>
      </c>
      <c r="B21" s="20">
        <f>B22+B29</f>
        <v>6017639</v>
      </c>
      <c r="C21" s="705"/>
      <c r="D21" s="35"/>
    </row>
    <row r="22" spans="1:4" s="30" customFormat="1" ht="25.5" customHeight="1">
      <c r="A22" s="433" t="s">
        <v>139</v>
      </c>
      <c r="B22" s="20">
        <f>+B23+B26</f>
        <v>5943857</v>
      </c>
      <c r="C22" s="1188" t="s">
        <v>1261</v>
      </c>
      <c r="D22" s="35"/>
    </row>
    <row r="23" spans="1:4" s="30" customFormat="1" ht="28.15" customHeight="1">
      <c r="A23" s="434" t="s">
        <v>140</v>
      </c>
      <c r="B23" s="8">
        <f>+B24+B25</f>
        <v>5937552</v>
      </c>
      <c r="C23" s="705"/>
      <c r="D23" s="35"/>
    </row>
    <row r="24" spans="1:4" s="30" customFormat="1" ht="39.75" customHeight="1">
      <c r="A24" s="434" t="s">
        <v>538</v>
      </c>
      <c r="B24" s="8">
        <v>5774220</v>
      </c>
      <c r="C24" s="1095" t="s">
        <v>1559</v>
      </c>
      <c r="D24" s="35"/>
    </row>
    <row r="25" spans="1:4" s="30" customFormat="1" ht="36" customHeight="1">
      <c r="A25" s="1039" t="s">
        <v>539</v>
      </c>
      <c r="B25" s="1033">
        <v>163332</v>
      </c>
      <c r="C25" s="1095" t="s">
        <v>1560</v>
      </c>
      <c r="D25" s="35"/>
    </row>
    <row r="26" spans="1:4" s="30" customFormat="1" ht="28.9" customHeight="1">
      <c r="A26" s="1039" t="s">
        <v>141</v>
      </c>
      <c r="B26" s="1033">
        <f>+B27</f>
        <v>6305</v>
      </c>
      <c r="C26" s="1145"/>
      <c r="D26" s="35"/>
    </row>
    <row r="27" spans="1:4" s="30" customFormat="1" ht="30.75" customHeight="1">
      <c r="A27" s="1039" t="s">
        <v>538</v>
      </c>
      <c r="B27" s="1033">
        <v>6305</v>
      </c>
      <c r="C27" s="1145"/>
      <c r="D27" s="35"/>
    </row>
    <row r="28" spans="1:4" s="9" customFormat="1" ht="7.15" customHeight="1">
      <c r="A28" s="861"/>
      <c r="B28" s="40"/>
      <c r="C28" s="1186"/>
    </row>
    <row r="29" spans="1:4" s="874" customFormat="1" ht="35.450000000000003" customHeight="1">
      <c r="A29" s="1038" t="s">
        <v>142</v>
      </c>
      <c r="B29" s="1034">
        <f>+B30</f>
        <v>73782</v>
      </c>
      <c r="C29" s="1095" t="s">
        <v>1428</v>
      </c>
    </row>
    <row r="30" spans="1:4" s="30" customFormat="1" ht="45.75" customHeight="1">
      <c r="A30" s="1039" t="s">
        <v>539</v>
      </c>
      <c r="B30" s="1033">
        <v>73782</v>
      </c>
      <c r="C30" s="1186"/>
      <c r="D30" s="35"/>
    </row>
    <row r="31" spans="1:4" s="1035" customFormat="1" ht="11.85" customHeight="1" thickBot="1">
      <c r="A31" s="436"/>
      <c r="B31" s="37"/>
      <c r="C31" s="1102"/>
      <c r="D31" s="1036"/>
    </row>
    <row r="32" spans="1:4" ht="35.1" customHeight="1">
      <c r="A32" s="1037" t="s">
        <v>856</v>
      </c>
      <c r="B32" s="1034">
        <f>B36+B33</f>
        <v>10194366</v>
      </c>
      <c r="C32" s="1145"/>
    </row>
    <row r="33" spans="1:4" s="1035" customFormat="1" ht="24" customHeight="1">
      <c r="A33" s="1038" t="s">
        <v>139</v>
      </c>
      <c r="B33" s="1034">
        <f>SUM(B34:B35)</f>
        <v>10194366</v>
      </c>
      <c r="C33" s="1188" t="s">
        <v>1262</v>
      </c>
      <c r="D33" s="1036"/>
    </row>
    <row r="34" spans="1:4" s="1035" customFormat="1" ht="37.5" customHeight="1">
      <c r="A34" s="1039" t="s">
        <v>140</v>
      </c>
      <c r="B34" s="1033">
        <v>10179850</v>
      </c>
      <c r="C34" s="1095" t="s">
        <v>1429</v>
      </c>
      <c r="D34" s="1036"/>
    </row>
    <row r="35" spans="1:4" s="1035" customFormat="1" ht="29.45" customHeight="1">
      <c r="A35" s="1039" t="s">
        <v>141</v>
      </c>
      <c r="B35" s="1033">
        <v>14516</v>
      </c>
      <c r="C35" s="1041"/>
      <c r="D35" s="1036"/>
    </row>
    <row r="36" spans="1:4" ht="49.15" hidden="1" customHeight="1">
      <c r="A36" s="1042" t="s">
        <v>142</v>
      </c>
      <c r="B36" s="1179">
        <v>0</v>
      </c>
      <c r="C36" s="1119" t="s">
        <v>1252</v>
      </c>
    </row>
    <row r="37" spans="1:4" ht="35.1" customHeight="1">
      <c r="A37" s="434"/>
      <c r="B37" s="8"/>
      <c r="C37" s="1119"/>
    </row>
    <row r="38" spans="1:4" ht="69.400000000000006" customHeight="1">
      <c r="A38" s="434"/>
      <c r="B38" s="8"/>
      <c r="C38" s="727"/>
    </row>
    <row r="39" spans="1:4" ht="89.1" customHeight="1">
      <c r="A39" s="434"/>
      <c r="B39" s="8"/>
      <c r="C39" s="727"/>
    </row>
    <row r="40" spans="1:4" ht="43.15" customHeight="1">
      <c r="A40" s="434"/>
      <c r="B40" s="8"/>
      <c r="C40" s="727"/>
    </row>
    <row r="41" spans="1:4" ht="54.95" customHeight="1">
      <c r="A41" s="434"/>
      <c r="B41" s="8"/>
      <c r="C41" s="727"/>
    </row>
    <row r="42" spans="1:4" ht="48" customHeight="1">
      <c r="A42" s="434"/>
      <c r="B42" s="8"/>
      <c r="C42" s="727"/>
    </row>
    <row r="43" spans="1:4" ht="93" customHeight="1">
      <c r="A43" s="434"/>
      <c r="B43" s="8"/>
      <c r="C43" s="727"/>
    </row>
    <row r="44" spans="1:4" ht="78.599999999999994" customHeight="1" thickBot="1">
      <c r="A44" s="436"/>
      <c r="B44" s="37"/>
      <c r="C44" s="728"/>
    </row>
    <row r="45" spans="1:4" ht="22.7" customHeight="1">
      <c r="A45" s="812"/>
      <c r="B45" s="406"/>
      <c r="C45" s="4"/>
    </row>
  </sheetData>
  <mergeCells count="7">
    <mergeCell ref="A1:C1"/>
    <mergeCell ref="A5:A7"/>
    <mergeCell ref="B5:B7"/>
    <mergeCell ref="A4:C4"/>
    <mergeCell ref="A3:C3"/>
    <mergeCell ref="A2:C2"/>
    <mergeCell ref="C5:C7"/>
  </mergeCells>
  <phoneticPr fontId="6" type="noConversion"/>
  <printOptions horizontalCentered="1"/>
  <pageMargins left="0.59055118110236227" right="0.59055118110236227" top="0.59055118110236227" bottom="0.78740157480314965" header="0.51181102362204722" footer="0.51181102362204722"/>
  <pageSetup paperSize="9" firstPageNumber="22" orientation="portrait" useFirstPageNumber="1" r:id="rId1"/>
  <headerFooter alignWithMargins="0">
    <oddFooter>&amp;C&amp;"Times New Roman,標準"&amp;P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G27"/>
  <sheetViews>
    <sheetView view="pageBreakPreview" topLeftCell="A7" zoomScaleNormal="100" zoomScaleSheetLayoutView="100" workbookViewId="0">
      <selection activeCell="G28" sqref="G28"/>
    </sheetView>
  </sheetViews>
  <sheetFormatPr defaultColWidth="9" defaultRowHeight="15.75"/>
  <cols>
    <col min="1" max="1" width="27.625" style="6" customWidth="1"/>
    <col min="2" max="2" width="13.375" style="6" customWidth="1"/>
    <col min="3" max="3" width="49" style="6" customWidth="1"/>
    <col min="4" max="4" width="39" style="6" hidden="1" customWidth="1"/>
    <col min="5" max="5" width="0" style="6" hidden="1" customWidth="1"/>
    <col min="6" max="6" width="26.375" style="6" hidden="1" customWidth="1"/>
    <col min="7" max="7" width="19.875" style="6" hidden="1" customWidth="1"/>
    <col min="8" max="16384" width="9" style="6"/>
  </cols>
  <sheetData>
    <row r="1" spans="1:6" s="2" customFormat="1" ht="21">
      <c r="A1" s="1369" t="s">
        <v>40</v>
      </c>
      <c r="B1" s="1369"/>
      <c r="C1" s="1369"/>
      <c r="D1" s="1"/>
      <c r="E1" s="1"/>
      <c r="F1" s="1"/>
    </row>
    <row r="2" spans="1:6" s="2" customFormat="1" ht="21">
      <c r="A2" s="1369" t="s">
        <v>41</v>
      </c>
      <c r="B2" s="1369"/>
      <c r="C2" s="1369"/>
      <c r="D2" s="1"/>
      <c r="E2" s="1"/>
      <c r="F2" s="1"/>
    </row>
    <row r="3" spans="1:6" s="2" customFormat="1" ht="24.75" customHeight="1">
      <c r="A3" s="1370" t="s">
        <v>1136</v>
      </c>
      <c r="B3" s="1371"/>
      <c r="C3" s="1371"/>
      <c r="D3" s="3"/>
      <c r="E3" s="3"/>
      <c r="F3" s="3"/>
    </row>
    <row r="4" spans="1:6" s="2" customFormat="1" ht="24.75" customHeight="1" thickBot="1">
      <c r="A4" s="1389" t="s">
        <v>1281</v>
      </c>
      <c r="B4" s="1390"/>
      <c r="C4" s="1390"/>
      <c r="D4" s="4"/>
      <c r="E4" s="4"/>
      <c r="F4" s="4"/>
    </row>
    <row r="5" spans="1:6">
      <c r="A5" s="1511" t="s">
        <v>126</v>
      </c>
      <c r="B5" s="1514" t="s">
        <v>124</v>
      </c>
      <c r="C5" s="1517" t="s">
        <v>125</v>
      </c>
      <c r="D5" s="5"/>
      <c r="E5" s="4"/>
      <c r="F5" s="4"/>
    </row>
    <row r="6" spans="1:6">
      <c r="A6" s="1512"/>
      <c r="B6" s="1515"/>
      <c r="C6" s="1518"/>
      <c r="D6" s="5"/>
      <c r="E6" s="4"/>
      <c r="F6" s="4"/>
    </row>
    <row r="7" spans="1:6">
      <c r="A7" s="1513"/>
      <c r="B7" s="1516"/>
      <c r="C7" s="1519"/>
    </row>
    <row r="8" spans="1:6" ht="8.25" customHeight="1">
      <c r="A8" s="72"/>
      <c r="B8" s="372"/>
      <c r="C8" s="374"/>
    </row>
    <row r="9" spans="1:6" s="9" customFormat="1" ht="44.25" customHeight="1">
      <c r="A9" s="431" t="s">
        <v>143</v>
      </c>
      <c r="B9" s="20">
        <f>+B10+B13+B18</f>
        <v>135267028</v>
      </c>
      <c r="C9" s="789" t="s">
        <v>1265</v>
      </c>
      <c r="D9" s="840">
        <f>+B10+B13+B18</f>
        <v>135267028</v>
      </c>
      <c r="E9" s="860">
        <f>+B21</f>
        <v>0</v>
      </c>
      <c r="F9" s="860">
        <f>+D9+E9</f>
        <v>135267028</v>
      </c>
    </row>
    <row r="10" spans="1:6" s="30" customFormat="1" ht="30" customHeight="1">
      <c r="A10" s="433" t="s">
        <v>565</v>
      </c>
      <c r="B10" s="20">
        <f>+B11</f>
        <v>130000000</v>
      </c>
      <c r="C10" s="789"/>
      <c r="D10" s="218"/>
    </row>
    <row r="11" spans="1:6" s="30" customFormat="1" ht="76.5" customHeight="1">
      <c r="A11" s="434" t="s">
        <v>144</v>
      </c>
      <c r="B11" s="1033">
        <f>10000000+100000000+20000000</f>
        <v>130000000</v>
      </c>
      <c r="C11" s="1118" t="s">
        <v>1534</v>
      </c>
      <c r="D11" s="218"/>
    </row>
    <row r="12" spans="1:6" s="30" customFormat="1" ht="20.25" customHeight="1">
      <c r="A12" s="434"/>
      <c r="B12" s="8"/>
      <c r="C12" s="879"/>
      <c r="D12" s="218"/>
    </row>
    <row r="13" spans="1:6" s="9" customFormat="1" ht="30" customHeight="1">
      <c r="A13" s="433" t="s">
        <v>537</v>
      </c>
      <c r="B13" s="20">
        <f>B14</f>
        <v>5209157</v>
      </c>
      <c r="C13" s="34"/>
    </row>
    <row r="14" spans="1:6" s="30" customFormat="1" ht="26.45" customHeight="1">
      <c r="A14" s="434" t="s">
        <v>144</v>
      </c>
      <c r="B14" s="8">
        <f>+B15+B16</f>
        <v>5209157</v>
      </c>
      <c r="C14" s="34"/>
      <c r="D14" s="218"/>
    </row>
    <row r="15" spans="1:6" s="30" customFormat="1" ht="54" customHeight="1">
      <c r="A15" s="434" t="s">
        <v>540</v>
      </c>
      <c r="B15" s="8">
        <f>5204904+4253</f>
        <v>5209157</v>
      </c>
      <c r="C15" s="1118" t="s">
        <v>1519</v>
      </c>
      <c r="D15" s="218"/>
    </row>
    <row r="16" spans="1:6" s="30" customFormat="1" ht="55.15" hidden="1" customHeight="1">
      <c r="A16" s="434" t="s">
        <v>541</v>
      </c>
      <c r="B16" s="8"/>
      <c r="C16" s="34" t="s">
        <v>594</v>
      </c>
      <c r="D16" s="218"/>
    </row>
    <row r="17" spans="1:4" s="30" customFormat="1" ht="20.25" customHeight="1">
      <c r="A17" s="434"/>
      <c r="B17" s="8"/>
      <c r="C17" s="34"/>
      <c r="D17" s="218"/>
    </row>
    <row r="18" spans="1:4" s="1035" customFormat="1" ht="30" customHeight="1">
      <c r="A18" s="1038" t="s">
        <v>761</v>
      </c>
      <c r="B18" s="1034">
        <f>+B19</f>
        <v>57871</v>
      </c>
      <c r="C18" s="789"/>
      <c r="D18" s="218"/>
    </row>
    <row r="19" spans="1:4" s="1035" customFormat="1" ht="78" customHeight="1">
      <c r="A19" s="1039" t="s">
        <v>145</v>
      </c>
      <c r="B19" s="1033">
        <v>57871</v>
      </c>
      <c r="C19" s="1119" t="s">
        <v>1421</v>
      </c>
      <c r="D19" s="218"/>
    </row>
    <row r="20" spans="1:4" s="30" customFormat="1" ht="30" customHeight="1">
      <c r="A20" s="433"/>
      <c r="B20" s="20"/>
      <c r="C20" s="34"/>
      <c r="D20" s="218"/>
    </row>
    <row r="21" spans="1:4" s="30" customFormat="1" ht="42" customHeight="1">
      <c r="A21" s="434"/>
      <c r="B21" s="8"/>
      <c r="C21" s="34"/>
      <c r="D21" s="218"/>
    </row>
    <row r="22" spans="1:4" s="9" customFormat="1" ht="27.95" customHeight="1">
      <c r="A22" s="434"/>
      <c r="B22" s="40"/>
      <c r="C22" s="34"/>
    </row>
    <row r="23" spans="1:4" s="9" customFormat="1" ht="23.25" customHeight="1">
      <c r="A23" s="434"/>
      <c r="B23" s="40"/>
      <c r="C23" s="34"/>
    </row>
    <row r="24" spans="1:4" s="9" customFormat="1" ht="21.75" customHeight="1">
      <c r="A24" s="434"/>
      <c r="B24" s="40"/>
      <c r="C24" s="34"/>
    </row>
    <row r="25" spans="1:4" s="9" customFormat="1" ht="1.5" customHeight="1">
      <c r="A25" s="434"/>
      <c r="B25" s="40"/>
      <c r="C25" s="34"/>
    </row>
    <row r="26" spans="1:4" s="9" customFormat="1" ht="28.5" customHeight="1">
      <c r="A26" s="435"/>
      <c r="B26" s="40"/>
      <c r="C26" s="34"/>
    </row>
    <row r="27" spans="1:4" s="9" customFormat="1" ht="53.45" customHeight="1" thickBot="1">
      <c r="A27" s="437"/>
      <c r="B27" s="41"/>
      <c r="C27" s="38"/>
    </row>
  </sheetData>
  <mergeCells count="7">
    <mergeCell ref="A1:C1"/>
    <mergeCell ref="A5:A7"/>
    <mergeCell ref="B5:B7"/>
    <mergeCell ref="C5:C7"/>
    <mergeCell ref="A4:C4"/>
    <mergeCell ref="A3:C3"/>
    <mergeCell ref="A2:C2"/>
  </mergeCells>
  <phoneticPr fontId="6" type="noConversion"/>
  <printOptions horizontalCentered="1"/>
  <pageMargins left="0.59055118110236227" right="0.59055118110236227" top="0.59055118110236227" bottom="0.78740157480314965" header="0.51181102362204722" footer="0.51181102362204722"/>
  <pageSetup paperSize="9" firstPageNumber="24" orientation="portrait" useFirstPageNumber="1" r:id="rId1"/>
  <headerFooter alignWithMargins="0">
    <oddFooter>&amp;C&amp;"Times New Roman,標準"&amp;P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G47"/>
  <sheetViews>
    <sheetView view="pageBreakPreview" zoomScaleNormal="100" zoomScaleSheetLayoutView="100" workbookViewId="0">
      <selection activeCell="G28" sqref="G28"/>
    </sheetView>
  </sheetViews>
  <sheetFormatPr defaultColWidth="9" defaultRowHeight="16.5"/>
  <cols>
    <col min="1" max="1" width="25.5" style="450" bestFit="1" customWidth="1"/>
    <col min="2" max="2" width="24.625" style="6" customWidth="1"/>
    <col min="3" max="3" width="40.125" style="6" customWidth="1"/>
    <col min="4" max="4" width="39" style="6" customWidth="1"/>
    <col min="5" max="5" width="0" style="6" hidden="1" customWidth="1"/>
    <col min="6" max="6" width="26.375" style="6" hidden="1" customWidth="1"/>
    <col min="7" max="7" width="19.875" style="6" hidden="1" customWidth="1"/>
    <col min="8" max="8" width="0" style="6" hidden="1" customWidth="1"/>
    <col min="9" max="16384" width="9" style="6"/>
  </cols>
  <sheetData>
    <row r="1" spans="1:7" s="2" customFormat="1" ht="21">
      <c r="A1" s="1369" t="s">
        <v>40</v>
      </c>
      <c r="B1" s="1369"/>
      <c r="C1" s="1369"/>
      <c r="D1" s="1"/>
      <c r="E1" s="1"/>
      <c r="F1" s="1"/>
    </row>
    <row r="2" spans="1:7" s="2" customFormat="1" ht="21">
      <c r="A2" s="1369" t="s">
        <v>41</v>
      </c>
      <c r="B2" s="1369"/>
      <c r="C2" s="1369"/>
      <c r="D2" s="1"/>
      <c r="E2" s="1"/>
      <c r="F2" s="1"/>
    </row>
    <row r="3" spans="1:7" s="2" customFormat="1" ht="24.75" customHeight="1">
      <c r="A3" s="1370" t="s">
        <v>1137</v>
      </c>
      <c r="B3" s="1371"/>
      <c r="C3" s="1371"/>
      <c r="D3" s="3"/>
      <c r="E3" s="3"/>
      <c r="F3" s="3"/>
    </row>
    <row r="4" spans="1:7" s="2" customFormat="1" ht="24.75" customHeight="1" thickBot="1">
      <c r="A4" s="1389" t="s">
        <v>1282</v>
      </c>
      <c r="B4" s="1390"/>
      <c r="C4" s="1390"/>
      <c r="D4" s="4"/>
      <c r="E4" s="4"/>
      <c r="F4" s="4"/>
    </row>
    <row r="5" spans="1:7" ht="15.75">
      <c r="A5" s="1511" t="s">
        <v>126</v>
      </c>
      <c r="B5" s="1415" t="s">
        <v>43</v>
      </c>
      <c r="C5" s="1520" t="s">
        <v>44</v>
      </c>
      <c r="D5" s="5"/>
      <c r="E5" s="4"/>
      <c r="F5" s="4"/>
    </row>
    <row r="6" spans="1:7" ht="15.75">
      <c r="A6" s="1512"/>
      <c r="B6" s="1416"/>
      <c r="C6" s="1521"/>
      <c r="D6" s="5"/>
      <c r="E6" s="4"/>
      <c r="F6" s="4"/>
    </row>
    <row r="7" spans="1:7" ht="15.75">
      <c r="A7" s="1513"/>
      <c r="B7" s="1417"/>
      <c r="C7" s="1522"/>
    </row>
    <row r="8" spans="1:7" ht="3.6" customHeight="1">
      <c r="A8" s="72"/>
      <c r="B8" s="372"/>
      <c r="C8" s="374"/>
    </row>
    <row r="9" spans="1:7" s="30" customFormat="1" ht="59.65" customHeight="1">
      <c r="A9" s="448" t="s">
        <v>118</v>
      </c>
      <c r="B9" s="20">
        <f>+B10+B18+B24+B32</f>
        <v>328255</v>
      </c>
      <c r="C9" s="1118" t="s">
        <v>1430</v>
      </c>
      <c r="E9" s="1034">
        <v>289117</v>
      </c>
      <c r="F9" s="1034">
        <v>1770</v>
      </c>
      <c r="G9" s="1034">
        <f>SUM(E9:F9)</f>
        <v>290887</v>
      </c>
    </row>
    <row r="10" spans="1:7" s="30" customFormat="1" ht="26.25" customHeight="1">
      <c r="A10" s="433" t="s">
        <v>130</v>
      </c>
      <c r="B10" s="20">
        <f>B11+B13</f>
        <v>301410</v>
      </c>
      <c r="C10" s="29"/>
    </row>
    <row r="11" spans="1:7" s="30" customFormat="1" ht="26.85" customHeight="1">
      <c r="A11" s="431" t="s">
        <v>154</v>
      </c>
      <c r="B11" s="20">
        <f>B12</f>
        <v>320</v>
      </c>
      <c r="C11" s="217"/>
      <c r="D11" s="218"/>
    </row>
    <row r="12" spans="1:7" s="9" customFormat="1" ht="87" customHeight="1">
      <c r="A12" s="435" t="s">
        <v>155</v>
      </c>
      <c r="B12" s="8">
        <v>320</v>
      </c>
      <c r="C12" s="809" t="s">
        <v>567</v>
      </c>
    </row>
    <row r="13" spans="1:7" s="30" customFormat="1" ht="27.6" customHeight="1">
      <c r="A13" s="431" t="s">
        <v>156</v>
      </c>
      <c r="B13" s="20">
        <f>B15+B16+B14</f>
        <v>301090</v>
      </c>
      <c r="C13" s="29"/>
      <c r="D13" s="36"/>
      <c r="F13" s="10"/>
    </row>
    <row r="14" spans="1:7" s="9" customFormat="1" ht="30" customHeight="1">
      <c r="A14" s="449" t="s">
        <v>389</v>
      </c>
      <c r="B14" s="8">
        <v>700</v>
      </c>
      <c r="C14" s="34" t="s">
        <v>568</v>
      </c>
    </row>
    <row r="15" spans="1:7" s="9" customFormat="1" ht="26.85" customHeight="1">
      <c r="A15" s="449" t="s">
        <v>390</v>
      </c>
      <c r="B15" s="8">
        <v>280451</v>
      </c>
      <c r="C15" s="34" t="s">
        <v>72</v>
      </c>
    </row>
    <row r="16" spans="1:7" s="9" customFormat="1" ht="28.15" customHeight="1">
      <c r="A16" s="449" t="s">
        <v>391</v>
      </c>
      <c r="B16" s="8">
        <v>19939</v>
      </c>
      <c r="C16" s="789" t="s">
        <v>1108</v>
      </c>
    </row>
    <row r="17" spans="1:6" s="9" customFormat="1" ht="15" customHeight="1">
      <c r="A17" s="435"/>
      <c r="B17" s="40"/>
      <c r="C17" s="34"/>
    </row>
    <row r="18" spans="1:6" s="30" customFormat="1" ht="23.25" customHeight="1">
      <c r="A18" s="433" t="s">
        <v>385</v>
      </c>
      <c r="B18" s="20">
        <f>B19+B21</f>
        <v>8799</v>
      </c>
      <c r="C18" s="29"/>
    </row>
    <row r="19" spans="1:6" s="30" customFormat="1" ht="25.15" customHeight="1">
      <c r="A19" s="431" t="s">
        <v>392</v>
      </c>
      <c r="B19" s="20">
        <f>B20</f>
        <v>43</v>
      </c>
      <c r="C19" s="217"/>
      <c r="D19" s="218"/>
    </row>
    <row r="20" spans="1:6" s="9" customFormat="1" ht="86.45" customHeight="1">
      <c r="A20" s="861" t="s">
        <v>393</v>
      </c>
      <c r="B20" s="1033">
        <v>43</v>
      </c>
      <c r="C20" s="1027" t="s">
        <v>39</v>
      </c>
    </row>
    <row r="21" spans="1:6" s="30" customFormat="1" ht="38.1" customHeight="1">
      <c r="A21" s="431" t="s">
        <v>394</v>
      </c>
      <c r="B21" s="1034">
        <f>SUM(B22:B23)</f>
        <v>8756</v>
      </c>
      <c r="C21" s="29"/>
      <c r="D21" s="36"/>
      <c r="F21" s="10"/>
    </row>
    <row r="22" spans="1:6" s="9" customFormat="1" ht="28.15" customHeight="1">
      <c r="A22" s="449" t="s">
        <v>395</v>
      </c>
      <c r="B22" s="1033">
        <v>8527</v>
      </c>
      <c r="C22" s="946" t="s">
        <v>72</v>
      </c>
    </row>
    <row r="23" spans="1:6" s="9" customFormat="1" ht="40.700000000000003" customHeight="1">
      <c r="A23" s="449" t="s">
        <v>391</v>
      </c>
      <c r="B23" s="40">
        <v>229</v>
      </c>
      <c r="C23" s="789" t="s">
        <v>1246</v>
      </c>
    </row>
    <row r="24" spans="1:6" s="30" customFormat="1" ht="28.9" customHeight="1">
      <c r="A24" s="1038" t="s">
        <v>1101</v>
      </c>
      <c r="B24" s="1034">
        <f>B25+B28</f>
        <v>4088</v>
      </c>
      <c r="C24" s="29"/>
    </row>
    <row r="25" spans="1:6" s="30" customFormat="1" ht="44.25" customHeight="1" thickBot="1">
      <c r="A25" s="1043" t="s">
        <v>392</v>
      </c>
      <c r="B25" s="273">
        <f>B26</f>
        <v>7</v>
      </c>
      <c r="C25" s="1120"/>
      <c r="D25" s="218"/>
    </row>
    <row r="26" spans="1:6" s="9" customFormat="1" ht="91.5" customHeight="1">
      <c r="A26" s="435" t="s">
        <v>393</v>
      </c>
      <c r="B26" s="8">
        <f>+B27</f>
        <v>7</v>
      </c>
      <c r="C26" s="809" t="s">
        <v>39</v>
      </c>
    </row>
    <row r="27" spans="1:6" s="787" customFormat="1" ht="21.6" customHeight="1">
      <c r="A27" s="435" t="s">
        <v>542</v>
      </c>
      <c r="B27" s="8">
        <v>7</v>
      </c>
      <c r="C27" s="809"/>
    </row>
    <row r="28" spans="1:6" s="30" customFormat="1" ht="26.45" customHeight="1">
      <c r="A28" s="431" t="s">
        <v>394</v>
      </c>
      <c r="B28" s="20">
        <f>+B29</f>
        <v>4081</v>
      </c>
      <c r="C28" s="29"/>
      <c r="D28" s="36"/>
      <c r="F28" s="10"/>
    </row>
    <row r="29" spans="1:6" s="9" customFormat="1" ht="24" customHeight="1">
      <c r="A29" s="449" t="s">
        <v>395</v>
      </c>
      <c r="B29" s="8">
        <f>+B30</f>
        <v>4081</v>
      </c>
      <c r="C29" s="34" t="s">
        <v>72</v>
      </c>
    </row>
    <row r="30" spans="1:6" s="30" customFormat="1" ht="25.15" customHeight="1">
      <c r="A30" s="449" t="s">
        <v>543</v>
      </c>
      <c r="B30" s="8">
        <v>4081</v>
      </c>
      <c r="C30" s="29"/>
    </row>
    <row r="31" spans="1:6" s="30" customFormat="1" ht="7.15" customHeight="1">
      <c r="A31" s="434"/>
      <c r="B31" s="8"/>
      <c r="C31" s="810"/>
      <c r="D31" s="35"/>
    </row>
    <row r="32" spans="1:6" s="1025" customFormat="1" ht="26.45" customHeight="1">
      <c r="A32" s="448" t="s">
        <v>1102</v>
      </c>
      <c r="B32" s="1034">
        <f>B35+B33</f>
        <v>13958</v>
      </c>
      <c r="C32" s="946"/>
    </row>
    <row r="33" spans="1:6" s="1035" customFormat="1" ht="24" customHeight="1">
      <c r="A33" s="431" t="s">
        <v>154</v>
      </c>
      <c r="B33" s="1034">
        <f>B34</f>
        <v>24</v>
      </c>
      <c r="C33" s="217"/>
      <c r="D33" s="218"/>
    </row>
    <row r="34" spans="1:6" s="1025" customFormat="1" ht="87.75" customHeight="1">
      <c r="A34" s="861" t="s">
        <v>155</v>
      </c>
      <c r="B34" s="1033">
        <v>24</v>
      </c>
      <c r="C34" s="1027" t="s">
        <v>39</v>
      </c>
    </row>
    <row r="35" spans="1:6" s="1035" customFormat="1" ht="24" customHeight="1">
      <c r="A35" s="431" t="s">
        <v>156</v>
      </c>
      <c r="B35" s="1034">
        <f>SUM(B36:B38)</f>
        <v>13934</v>
      </c>
      <c r="C35" s="29"/>
      <c r="D35" s="36"/>
      <c r="F35" s="10"/>
    </row>
    <row r="36" spans="1:6" s="1025" customFormat="1" ht="62.25" customHeight="1">
      <c r="A36" s="449" t="s">
        <v>389</v>
      </c>
      <c r="B36" s="1033">
        <v>1770</v>
      </c>
      <c r="C36" s="789" t="s">
        <v>1554</v>
      </c>
    </row>
    <row r="37" spans="1:6" s="1025" customFormat="1" ht="24.6" customHeight="1">
      <c r="A37" s="449" t="s">
        <v>390</v>
      </c>
      <c r="B37" s="1033">
        <v>12104</v>
      </c>
      <c r="C37" s="946" t="s">
        <v>72</v>
      </c>
    </row>
    <row r="38" spans="1:6" s="1025" customFormat="1" ht="32.450000000000003" customHeight="1">
      <c r="A38" s="449" t="s">
        <v>391</v>
      </c>
      <c r="B38" s="40">
        <v>60</v>
      </c>
      <c r="C38" s="789" t="s">
        <v>1107</v>
      </c>
    </row>
    <row r="39" spans="1:6" s="1096" customFormat="1" ht="56.25" customHeight="1">
      <c r="A39" s="449"/>
      <c r="B39" s="40"/>
      <c r="C39" s="789"/>
    </row>
    <row r="40" spans="1:6" s="1096" customFormat="1" ht="26.25" customHeight="1">
      <c r="A40" s="449"/>
      <c r="B40" s="40"/>
      <c r="C40" s="789"/>
    </row>
    <row r="41" spans="1:6" s="1096" customFormat="1" ht="25.5" customHeight="1">
      <c r="A41" s="449"/>
      <c r="B41" s="40"/>
      <c r="C41" s="789"/>
    </row>
    <row r="42" spans="1:6" s="9" customFormat="1" ht="57.6" customHeight="1" thickBot="1">
      <c r="A42" s="437"/>
      <c r="B42" s="41"/>
      <c r="C42" s="38"/>
    </row>
    <row r="47" spans="1:6" hidden="1">
      <c r="C47" s="379" t="s">
        <v>73</v>
      </c>
    </row>
  </sheetData>
  <mergeCells count="7">
    <mergeCell ref="A1:C1"/>
    <mergeCell ref="A5:A7"/>
    <mergeCell ref="B5:B7"/>
    <mergeCell ref="C5:C7"/>
    <mergeCell ref="A4:C4"/>
    <mergeCell ref="A3:C3"/>
    <mergeCell ref="A2:C2"/>
  </mergeCells>
  <phoneticPr fontId="6" type="noConversion"/>
  <printOptions horizontalCentered="1"/>
  <pageMargins left="0.59055118110236227" right="0.59055118110236227" top="0.59055118110236227" bottom="0.78740157480314965" header="0.51181102362204722" footer="0.51181102362204722"/>
  <pageSetup paperSize="9" firstPageNumber="25" fitToHeight="0" orientation="portrait" useFirstPageNumber="1" r:id="rId1"/>
  <headerFooter alignWithMargins="0">
    <oddFooter>&amp;C&amp;"Times New Roman,標準"&amp;P</oddFooter>
  </headerFooter>
  <rowBreaks count="1" manualBreakCount="1">
    <brk id="25" max="2" man="1"/>
  </rowBreak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E25"/>
  <sheetViews>
    <sheetView view="pageBreakPreview" zoomScaleNormal="100" zoomScaleSheetLayoutView="100" workbookViewId="0">
      <selection activeCell="G28" sqref="G28"/>
    </sheetView>
  </sheetViews>
  <sheetFormatPr defaultColWidth="9" defaultRowHeight="15.75"/>
  <cols>
    <col min="1" max="2" width="19.375" style="12" customWidth="1"/>
    <col min="3" max="3" width="31.75" style="12" customWidth="1"/>
    <col min="4" max="4" width="19.75" style="12" customWidth="1"/>
    <col min="5" max="16384" width="9" style="12"/>
  </cols>
  <sheetData>
    <row r="1" spans="1:5" s="92" customFormat="1" ht="21">
      <c r="A1" s="1399" t="s">
        <v>40</v>
      </c>
      <c r="B1" s="1399"/>
      <c r="C1" s="1399"/>
      <c r="D1" s="1399"/>
    </row>
    <row r="2" spans="1:5" s="92" customFormat="1" ht="21">
      <c r="A2" s="1399" t="s">
        <v>41</v>
      </c>
      <c r="B2" s="1399"/>
      <c r="C2" s="1399"/>
      <c r="D2" s="1399"/>
    </row>
    <row r="3" spans="1:5" s="92" customFormat="1" ht="24.95" customHeight="1">
      <c r="A3" s="1400" t="s">
        <v>299</v>
      </c>
      <c r="B3" s="1401"/>
      <c r="C3" s="1401"/>
      <c r="D3" s="1401"/>
    </row>
    <row r="4" spans="1:5" s="92" customFormat="1" ht="24.95" customHeight="1" thickBot="1">
      <c r="A4" s="1523" t="s">
        <v>1283</v>
      </c>
      <c r="B4" s="1524"/>
      <c r="C4" s="1524"/>
      <c r="D4" s="1524"/>
    </row>
    <row r="5" spans="1:5" s="93" customFormat="1" ht="30" customHeight="1">
      <c r="A5" s="380" t="s">
        <v>74</v>
      </c>
      <c r="B5" s="381" t="s">
        <v>57</v>
      </c>
      <c r="C5" s="438" t="s">
        <v>6</v>
      </c>
      <c r="D5" s="382" t="s">
        <v>58</v>
      </c>
    </row>
    <row r="6" spans="1:5" s="93" customFormat="1" ht="8.25" customHeight="1">
      <c r="A6" s="383"/>
      <c r="B6" s="384"/>
      <c r="C6" s="439"/>
      <c r="D6" s="385"/>
    </row>
    <row r="7" spans="1:5" s="21" customFormat="1" ht="36" customHeight="1">
      <c r="A7" s="169">
        <v>28956</v>
      </c>
      <c r="B7" s="170">
        <f>+B8</f>
        <v>31573</v>
      </c>
      <c r="C7" s="440" t="s">
        <v>335</v>
      </c>
      <c r="D7" s="175">
        <f>+D8</f>
        <v>32423</v>
      </c>
      <c r="E7" s="632"/>
    </row>
    <row r="8" spans="1:5" s="21" customFormat="1" ht="33" customHeight="1">
      <c r="A8" s="169">
        <v>28956</v>
      </c>
      <c r="B8" s="170">
        <f>+B9</f>
        <v>31573</v>
      </c>
      <c r="C8" s="604" t="s">
        <v>130</v>
      </c>
      <c r="D8" s="175">
        <f>+D9</f>
        <v>32423</v>
      </c>
    </row>
    <row r="9" spans="1:5" s="21" customFormat="1" ht="44.45" customHeight="1">
      <c r="A9" s="169">
        <v>28956</v>
      </c>
      <c r="B9" s="170">
        <f>B10+B20+B17+B24</f>
        <v>31573</v>
      </c>
      <c r="C9" s="441" t="s">
        <v>1166</v>
      </c>
      <c r="D9" s="175">
        <f>D10+D20+D17+D24</f>
        <v>32423</v>
      </c>
    </row>
    <row r="10" spans="1:5" s="21" customFormat="1" ht="36" customHeight="1">
      <c r="A10" s="172">
        <v>1522</v>
      </c>
      <c r="B10" s="173">
        <f>SUM(B11:B16)</f>
        <v>2641</v>
      </c>
      <c r="C10" s="442" t="s">
        <v>157</v>
      </c>
      <c r="D10" s="174">
        <f>SUM(D11:D16)</f>
        <v>3491</v>
      </c>
    </row>
    <row r="11" spans="1:5" s="21" customFormat="1" ht="33" customHeight="1">
      <c r="A11" s="172">
        <v>2</v>
      </c>
      <c r="B11" s="256">
        <v>7</v>
      </c>
      <c r="C11" s="442" t="s">
        <v>158</v>
      </c>
      <c r="D11" s="174">
        <v>7</v>
      </c>
    </row>
    <row r="12" spans="1:5" s="21" customFormat="1" ht="33.6" customHeight="1">
      <c r="A12" s="172">
        <v>1</v>
      </c>
      <c r="B12" s="256">
        <v>1</v>
      </c>
      <c r="C12" s="255" t="s">
        <v>1111</v>
      </c>
      <c r="D12" s="174">
        <v>1</v>
      </c>
    </row>
    <row r="13" spans="1:5" s="21" customFormat="1" ht="33" customHeight="1">
      <c r="A13" s="172">
        <v>1123</v>
      </c>
      <c r="B13" s="256">
        <v>2089</v>
      </c>
      <c r="C13" s="442" t="s">
        <v>159</v>
      </c>
      <c r="D13" s="174">
        <v>2550</v>
      </c>
    </row>
    <row r="14" spans="1:5" s="9" customFormat="1" ht="31.35" hidden="1" customHeight="1">
      <c r="A14" s="186">
        <v>0</v>
      </c>
      <c r="B14" s="369">
        <v>0</v>
      </c>
      <c r="C14" s="255" t="s">
        <v>160</v>
      </c>
      <c r="D14" s="370">
        <v>0</v>
      </c>
    </row>
    <row r="15" spans="1:5" s="21" customFormat="1" ht="37.5" customHeight="1">
      <c r="A15" s="172">
        <v>305</v>
      </c>
      <c r="B15" s="256">
        <v>394</v>
      </c>
      <c r="C15" s="442" t="s">
        <v>161</v>
      </c>
      <c r="D15" s="174">
        <v>783</v>
      </c>
    </row>
    <row r="16" spans="1:5" s="9" customFormat="1" ht="36" customHeight="1">
      <c r="A16" s="186">
        <v>92</v>
      </c>
      <c r="B16" s="369">
        <v>150</v>
      </c>
      <c r="C16" s="255" t="s">
        <v>162</v>
      </c>
      <c r="D16" s="370">
        <v>150</v>
      </c>
    </row>
    <row r="17" spans="1:4" s="21" customFormat="1" ht="35.1" customHeight="1">
      <c r="A17" s="172">
        <v>16760</v>
      </c>
      <c r="B17" s="173">
        <f>B18+B19</f>
        <v>16760</v>
      </c>
      <c r="C17" s="442" t="s">
        <v>315</v>
      </c>
      <c r="D17" s="174">
        <f>D18+D19</f>
        <v>16760</v>
      </c>
    </row>
    <row r="18" spans="1:4" s="21" customFormat="1" ht="36" customHeight="1">
      <c r="A18" s="172">
        <v>16151</v>
      </c>
      <c r="B18" s="256">
        <v>16151</v>
      </c>
      <c r="C18" s="442" t="s">
        <v>316</v>
      </c>
      <c r="D18" s="174">
        <v>16151</v>
      </c>
    </row>
    <row r="19" spans="1:4" s="737" customFormat="1" ht="33" customHeight="1">
      <c r="A19" s="172">
        <v>609</v>
      </c>
      <c r="B19" s="256">
        <v>609</v>
      </c>
      <c r="C19" s="442" t="s">
        <v>590</v>
      </c>
      <c r="D19" s="174">
        <v>609</v>
      </c>
    </row>
    <row r="20" spans="1:4" s="21" customFormat="1" ht="31.35" customHeight="1">
      <c r="A20" s="172">
        <v>10639</v>
      </c>
      <c r="B20" s="173">
        <f>SUM(B21:B23)</f>
        <v>12010</v>
      </c>
      <c r="C20" s="442" t="s">
        <v>336</v>
      </c>
      <c r="D20" s="174">
        <f>SUM(D21:D23)</f>
        <v>12011</v>
      </c>
    </row>
    <row r="21" spans="1:4" s="21" customFormat="1" ht="30.6" customHeight="1">
      <c r="A21" s="172">
        <v>10634</v>
      </c>
      <c r="B21" s="256">
        <v>12000</v>
      </c>
      <c r="C21" s="442" t="s">
        <v>163</v>
      </c>
      <c r="D21" s="174">
        <v>12000</v>
      </c>
    </row>
    <row r="22" spans="1:4" s="21" customFormat="1" ht="30.6" customHeight="1">
      <c r="A22" s="172">
        <v>1</v>
      </c>
      <c r="B22" s="256">
        <v>1</v>
      </c>
      <c r="C22" s="442" t="s">
        <v>165</v>
      </c>
      <c r="D22" s="174">
        <v>2</v>
      </c>
    </row>
    <row r="23" spans="1:4" s="21" customFormat="1" ht="30.75" customHeight="1">
      <c r="A23" s="172">
        <v>4</v>
      </c>
      <c r="B23" s="256">
        <v>9</v>
      </c>
      <c r="C23" s="442" t="s">
        <v>164</v>
      </c>
      <c r="D23" s="174">
        <v>9</v>
      </c>
    </row>
    <row r="24" spans="1:4" s="21" customFormat="1" ht="29.25" customHeight="1">
      <c r="A24" s="172">
        <v>35</v>
      </c>
      <c r="B24" s="173">
        <f>B25</f>
        <v>162</v>
      </c>
      <c r="C24" s="442" t="s">
        <v>166</v>
      </c>
      <c r="D24" s="174">
        <f>D25</f>
        <v>161</v>
      </c>
    </row>
    <row r="25" spans="1:4" s="21" customFormat="1" ht="73.5" customHeight="1" thickBot="1">
      <c r="A25" s="176">
        <v>35</v>
      </c>
      <c r="B25" s="323">
        <v>162</v>
      </c>
      <c r="C25" s="443" t="s">
        <v>167</v>
      </c>
      <c r="D25" s="177">
        <v>161</v>
      </c>
    </row>
  </sheetData>
  <mergeCells count="4">
    <mergeCell ref="A4:D4"/>
    <mergeCell ref="A3:D3"/>
    <mergeCell ref="A2:D2"/>
    <mergeCell ref="A1:D1"/>
  </mergeCells>
  <phoneticPr fontId="6" type="noConversion"/>
  <printOptions horizontalCentered="1"/>
  <pageMargins left="0.59055118110236227" right="0.59055118110236227" top="0.59055118110236227" bottom="0.78740157480314965" header="0.51181102362204722" footer="0.51181102362204722"/>
  <pageSetup paperSize="9" firstPageNumber="27" orientation="portrait" useFirstPageNumber="1" r:id="rId1"/>
  <headerFooter alignWithMargins="0">
    <oddFooter>&amp;C&amp;"Times New Roman,標準"&amp;P</oddFooter>
  </headerFooter>
  <legacy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H29"/>
  <sheetViews>
    <sheetView view="pageBreakPreview" zoomScaleNormal="100" zoomScaleSheetLayoutView="100" workbookViewId="0">
      <selection activeCell="G28" sqref="G28"/>
    </sheetView>
  </sheetViews>
  <sheetFormatPr defaultColWidth="9" defaultRowHeight="15.75"/>
  <cols>
    <col min="1" max="1" width="32" style="12" customWidth="1"/>
    <col min="2" max="2" width="58" style="12" customWidth="1"/>
    <col min="3" max="16384" width="9" style="12"/>
  </cols>
  <sheetData>
    <row r="1" spans="1:8" ht="21" customHeight="1">
      <c r="A1" s="1525" t="s">
        <v>40</v>
      </c>
      <c r="B1" s="1369"/>
      <c r="C1" s="11"/>
      <c r="D1" s="11"/>
      <c r="E1" s="11"/>
      <c r="F1" s="11"/>
      <c r="G1" s="11"/>
      <c r="H1" s="11"/>
    </row>
    <row r="2" spans="1:8" ht="21">
      <c r="A2" s="1525" t="s">
        <v>41</v>
      </c>
      <c r="B2" s="1369"/>
      <c r="C2" s="11"/>
      <c r="D2" s="11"/>
      <c r="E2" s="11"/>
      <c r="F2" s="11"/>
      <c r="G2" s="11"/>
      <c r="H2" s="11"/>
    </row>
    <row r="3" spans="1:8" ht="24.75" customHeight="1">
      <c r="A3" s="1400" t="s">
        <v>1130</v>
      </c>
      <c r="B3" s="1401"/>
      <c r="C3" s="13"/>
      <c r="D3" s="13"/>
      <c r="E3" s="13"/>
      <c r="F3" s="13"/>
      <c r="G3" s="13"/>
      <c r="H3" s="13"/>
    </row>
    <row r="4" spans="1:8" ht="24.75" customHeight="1" thickBot="1">
      <c r="A4" s="1523" t="s">
        <v>1275</v>
      </c>
      <c r="B4" s="1524"/>
      <c r="C4" s="14"/>
      <c r="D4" s="14"/>
      <c r="E4" s="14"/>
      <c r="F4" s="14"/>
      <c r="G4" s="14"/>
      <c r="H4" s="14"/>
    </row>
    <row r="5" spans="1:8" s="16" customFormat="1" ht="30" customHeight="1">
      <c r="A5" s="18" t="s">
        <v>147</v>
      </c>
      <c r="B5" s="387" t="s">
        <v>76</v>
      </c>
      <c r="C5" s="15"/>
      <c r="D5" s="15"/>
      <c r="E5" s="15"/>
      <c r="F5" s="15"/>
      <c r="G5" s="15"/>
      <c r="H5" s="15"/>
    </row>
    <row r="6" spans="1:8" s="17" customFormat="1" ht="8.25" customHeight="1">
      <c r="A6" s="459"/>
      <c r="B6" s="219"/>
      <c r="C6" s="43"/>
      <c r="D6" s="43"/>
      <c r="E6" s="43"/>
      <c r="F6" s="43"/>
      <c r="G6" s="43"/>
      <c r="H6" s="43"/>
    </row>
    <row r="7" spans="1:8" s="17" customFormat="1" ht="29.1" customHeight="1">
      <c r="A7" s="433" t="s">
        <v>396</v>
      </c>
      <c r="B7" s="1212" t="s">
        <v>1444</v>
      </c>
    </row>
    <row r="8" spans="1:8" s="17" customFormat="1" ht="29.1" customHeight="1">
      <c r="A8" s="433" t="s">
        <v>130</v>
      </c>
      <c r="B8" s="44"/>
    </row>
    <row r="9" spans="1:8" s="17" customFormat="1" ht="39" customHeight="1">
      <c r="A9" s="433" t="s">
        <v>1166</v>
      </c>
      <c r="B9" s="22"/>
    </row>
    <row r="10" spans="1:8" s="17" customFormat="1" ht="26.1" customHeight="1">
      <c r="A10" s="434" t="s">
        <v>206</v>
      </c>
      <c r="B10" s="22"/>
    </row>
    <row r="11" spans="1:8" s="23" customFormat="1" ht="45.95" customHeight="1">
      <c r="A11" s="434" t="s">
        <v>397</v>
      </c>
      <c r="B11" s="22" t="s">
        <v>77</v>
      </c>
    </row>
    <row r="12" spans="1:8" s="23" customFormat="1" ht="41.1" hidden="1" customHeight="1">
      <c r="A12" s="434" t="s">
        <v>350</v>
      </c>
      <c r="B12" s="22" t="s">
        <v>670</v>
      </c>
    </row>
    <row r="13" spans="1:8" s="17" customFormat="1" ht="31.35" customHeight="1">
      <c r="A13" s="460" t="s">
        <v>1112</v>
      </c>
      <c r="B13" s="877" t="s">
        <v>857</v>
      </c>
    </row>
    <row r="14" spans="1:8" s="21" customFormat="1" ht="33" customHeight="1">
      <c r="A14" s="460" t="s">
        <v>398</v>
      </c>
      <c r="B14" s="1181" t="s">
        <v>1431</v>
      </c>
    </row>
    <row r="15" spans="1:8" s="21" customFormat="1" ht="33" hidden="1" customHeight="1">
      <c r="A15" s="460" t="s">
        <v>207</v>
      </c>
      <c r="B15" s="22" t="s">
        <v>78</v>
      </c>
    </row>
    <row r="16" spans="1:8" s="21" customFormat="1" ht="71.25" customHeight="1">
      <c r="A16" s="460" t="s">
        <v>399</v>
      </c>
      <c r="B16" s="1181" t="s">
        <v>1548</v>
      </c>
    </row>
    <row r="17" spans="1:2" s="21" customFormat="1" ht="45" customHeight="1">
      <c r="A17" s="460" t="s">
        <v>208</v>
      </c>
      <c r="B17" s="1181" t="s">
        <v>1549</v>
      </c>
    </row>
    <row r="18" spans="1:2" s="21" customFormat="1" ht="33" customHeight="1">
      <c r="A18" s="460" t="s">
        <v>301</v>
      </c>
      <c r="B18" s="22"/>
    </row>
    <row r="19" spans="1:2" s="23" customFormat="1" ht="33.6" customHeight="1">
      <c r="A19" s="434" t="s">
        <v>302</v>
      </c>
      <c r="B19" s="1181" t="s">
        <v>1264</v>
      </c>
    </row>
    <row r="20" spans="1:2" s="338" customFormat="1" ht="33" customHeight="1">
      <c r="A20" s="434" t="s">
        <v>505</v>
      </c>
      <c r="B20" s="1192" t="s">
        <v>1263</v>
      </c>
    </row>
    <row r="21" spans="1:2" s="21" customFormat="1" ht="31.35" customHeight="1">
      <c r="A21" s="460" t="s">
        <v>400</v>
      </c>
      <c r="B21" s="45"/>
    </row>
    <row r="22" spans="1:2" s="21" customFormat="1" ht="31.35" customHeight="1">
      <c r="A22" s="460" t="s">
        <v>209</v>
      </c>
      <c r="B22" s="1181" t="s">
        <v>1266</v>
      </c>
    </row>
    <row r="23" spans="1:2" s="21" customFormat="1" ht="33" customHeight="1">
      <c r="A23" s="460" t="s">
        <v>401</v>
      </c>
      <c r="B23" s="1181" t="s">
        <v>1432</v>
      </c>
    </row>
    <row r="24" spans="1:2" s="21" customFormat="1" ht="33" customHeight="1">
      <c r="A24" s="460" t="s">
        <v>402</v>
      </c>
      <c r="B24" s="1181" t="s">
        <v>1247</v>
      </c>
    </row>
    <row r="25" spans="1:2" s="21" customFormat="1" ht="33" customHeight="1">
      <c r="A25" s="460" t="s">
        <v>149</v>
      </c>
      <c r="B25" s="45"/>
    </row>
    <row r="26" spans="1:2" s="21" customFormat="1" ht="33" customHeight="1">
      <c r="A26" s="460" t="s">
        <v>403</v>
      </c>
      <c r="B26" s="866" t="s">
        <v>1433</v>
      </c>
    </row>
    <row r="27" spans="1:2" s="21" customFormat="1" ht="11.25" customHeight="1" thickBot="1">
      <c r="A27" s="461"/>
      <c r="B27" s="702"/>
    </row>
    <row r="28" spans="1:2" s="21" customFormat="1" ht="24.75" customHeight="1">
      <c r="A28" s="1183"/>
      <c r="B28" s="1182"/>
    </row>
    <row r="29" spans="1:2" s="21" customFormat="1" ht="12" customHeight="1">
      <c r="A29" s="1177"/>
      <c r="B29" s="1176"/>
    </row>
  </sheetData>
  <mergeCells count="4">
    <mergeCell ref="A1:B1"/>
    <mergeCell ref="A2:B2"/>
    <mergeCell ref="A3:B3"/>
    <mergeCell ref="A4:B4"/>
  </mergeCells>
  <phoneticPr fontId="6" type="noConversion"/>
  <printOptions horizontalCentered="1"/>
  <pageMargins left="0.59055118110236227" right="0.59055118110236227" top="0.59055118110236227" bottom="0.78740157480314965" header="0.51181102362204722" footer="0.51181102362204722"/>
  <pageSetup paperSize="9" firstPageNumber="28" orientation="portrait" useFirstPageNumber="1" r:id="rId1"/>
  <headerFooter alignWithMargins="0">
    <oddFooter>&amp;C&amp;"Times New Roman,標準"&amp;P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F53"/>
  <sheetViews>
    <sheetView view="pageBreakPreview" topLeftCell="A39" zoomScaleNormal="100" zoomScaleSheetLayoutView="100" workbookViewId="0">
      <selection activeCell="G28" sqref="G28"/>
    </sheetView>
  </sheetViews>
  <sheetFormatPr defaultColWidth="9" defaultRowHeight="15.75"/>
  <cols>
    <col min="1" max="2" width="19.375" style="12" customWidth="1"/>
    <col min="3" max="3" width="31.75" style="12" customWidth="1"/>
    <col min="4" max="4" width="19.75" style="12" customWidth="1"/>
    <col min="5" max="5" width="15.125" style="12" hidden="1" customWidth="1"/>
    <col min="6" max="8" width="0" style="12" hidden="1" customWidth="1"/>
    <col min="9" max="16384" width="9" style="12"/>
  </cols>
  <sheetData>
    <row r="1" spans="1:6" s="602" customFormat="1" ht="21">
      <c r="A1" s="1399" t="s">
        <v>40</v>
      </c>
      <c r="B1" s="1399"/>
      <c r="C1" s="1399"/>
      <c r="D1" s="1399"/>
    </row>
    <row r="2" spans="1:6" s="602" customFormat="1" ht="21">
      <c r="A2" s="1399" t="s">
        <v>41</v>
      </c>
      <c r="B2" s="1399"/>
      <c r="C2" s="1399"/>
      <c r="D2" s="1399"/>
    </row>
    <row r="3" spans="1:6" s="602" customFormat="1" ht="24.95" customHeight="1">
      <c r="A3" s="1400" t="s">
        <v>1138</v>
      </c>
      <c r="B3" s="1401"/>
      <c r="C3" s="1401"/>
      <c r="D3" s="1401"/>
    </row>
    <row r="4" spans="1:6" s="602" customFormat="1" ht="24.95" customHeight="1" thickBot="1">
      <c r="A4" s="1523" t="s">
        <v>1284</v>
      </c>
      <c r="B4" s="1524"/>
      <c r="C4" s="1524"/>
      <c r="D4" s="1524"/>
    </row>
    <row r="5" spans="1:6" s="93" customFormat="1" ht="30" customHeight="1">
      <c r="A5" s="380" t="s">
        <v>74</v>
      </c>
      <c r="B5" s="381" t="s">
        <v>57</v>
      </c>
      <c r="C5" s="438" t="s">
        <v>6</v>
      </c>
      <c r="D5" s="382" t="s">
        <v>58</v>
      </c>
    </row>
    <row r="6" spans="1:6" s="93" customFormat="1" ht="8.25" customHeight="1">
      <c r="A6" s="383"/>
      <c r="B6" s="384"/>
      <c r="C6" s="439"/>
      <c r="D6" s="385"/>
    </row>
    <row r="7" spans="1:6" s="21" customFormat="1" ht="31.5" customHeight="1">
      <c r="A7" s="169">
        <f>A8+A32+A44-1</f>
        <v>290105884</v>
      </c>
      <c r="B7" s="170">
        <f>B8+B32+B44</f>
        <v>1003763</v>
      </c>
      <c r="C7" s="440" t="s">
        <v>146</v>
      </c>
      <c r="D7" s="171">
        <f>D8+D32+D44</f>
        <v>1013286</v>
      </c>
      <c r="E7" s="633">
        <f>+A8+A32+A44</f>
        <v>290105885</v>
      </c>
      <c r="F7" s="869">
        <f>+A7-E7</f>
        <v>-1</v>
      </c>
    </row>
    <row r="8" spans="1:6" s="21" customFormat="1" ht="28.9" customHeight="1">
      <c r="A8" s="603">
        <f>+A9+A26+A29</f>
        <v>288061196</v>
      </c>
      <c r="B8" s="605">
        <f>+B9+B26+B29</f>
        <v>1003200</v>
      </c>
      <c r="C8" s="604" t="s">
        <v>130</v>
      </c>
      <c r="D8" s="171">
        <f>+D9+D26+D29</f>
        <v>1012696</v>
      </c>
      <c r="E8" s="632">
        <f>+A9+A26+A29</f>
        <v>288061196</v>
      </c>
      <c r="F8" s="869">
        <f>+A8-E8</f>
        <v>0</v>
      </c>
    </row>
    <row r="9" spans="1:6" s="21" customFormat="1" ht="31.35" customHeight="1">
      <c r="A9" s="347">
        <f>A10+A24+A22+A19</f>
        <v>250023188</v>
      </c>
      <c r="B9" s="170">
        <f>B10+B24+B22+B19</f>
        <v>935200</v>
      </c>
      <c r="C9" s="441" t="s">
        <v>300</v>
      </c>
      <c r="D9" s="175">
        <f>D10+D24+D22+D19</f>
        <v>944696</v>
      </c>
      <c r="E9" s="632"/>
    </row>
    <row r="10" spans="1:6" s="21" customFormat="1" ht="31.35" customHeight="1">
      <c r="A10" s="346">
        <f>+A11+A13+A15+A17+A18-1</f>
        <v>979495</v>
      </c>
      <c r="B10" s="256">
        <f>+B11+B13+B15+B17+B18</f>
        <v>935200</v>
      </c>
      <c r="C10" s="442" t="s">
        <v>404</v>
      </c>
      <c r="D10" s="174">
        <f>+D11+D13+D15+D17+D18</f>
        <v>944696</v>
      </c>
      <c r="E10" s="632"/>
    </row>
    <row r="11" spans="1:6" s="21" customFormat="1" ht="31.35" hidden="1" customHeight="1">
      <c r="A11" s="346">
        <v>0</v>
      </c>
      <c r="B11" s="173">
        <f>+B12</f>
        <v>0</v>
      </c>
      <c r="C11" s="442" t="s">
        <v>352</v>
      </c>
      <c r="D11" s="174">
        <f>+D12</f>
        <v>0</v>
      </c>
    </row>
    <row r="12" spans="1:6" s="21" customFormat="1" ht="31.35" hidden="1" customHeight="1">
      <c r="A12" s="346">
        <v>0</v>
      </c>
      <c r="B12" s="173">
        <v>0</v>
      </c>
      <c r="C12" s="442" t="s">
        <v>27</v>
      </c>
      <c r="D12" s="174">
        <v>0</v>
      </c>
    </row>
    <row r="13" spans="1:6" s="21" customFormat="1" ht="31.35" hidden="1" customHeight="1">
      <c r="A13" s="346">
        <v>0</v>
      </c>
      <c r="B13" s="173">
        <f>+B14</f>
        <v>0</v>
      </c>
      <c r="C13" s="442" t="s">
        <v>351</v>
      </c>
      <c r="D13" s="174">
        <f>+D14</f>
        <v>0</v>
      </c>
    </row>
    <row r="14" spans="1:6" s="21" customFormat="1" ht="31.35" hidden="1" customHeight="1">
      <c r="A14" s="346">
        <v>0</v>
      </c>
      <c r="B14" s="173">
        <v>0</v>
      </c>
      <c r="C14" s="442" t="s">
        <v>27</v>
      </c>
      <c r="D14" s="174">
        <v>0</v>
      </c>
    </row>
    <row r="15" spans="1:6" s="21" customFormat="1" ht="31.35" hidden="1" customHeight="1">
      <c r="A15" s="346">
        <v>0</v>
      </c>
      <c r="B15" s="173">
        <f>+B16</f>
        <v>0</v>
      </c>
      <c r="C15" s="442" t="s">
        <v>405</v>
      </c>
      <c r="D15" s="174">
        <f>+D16</f>
        <v>0</v>
      </c>
    </row>
    <row r="16" spans="1:6" s="21" customFormat="1" ht="31.35" hidden="1" customHeight="1">
      <c r="A16" s="346">
        <v>0</v>
      </c>
      <c r="B16" s="173">
        <v>0</v>
      </c>
      <c r="C16" s="442" t="s">
        <v>27</v>
      </c>
      <c r="D16" s="174">
        <v>0</v>
      </c>
    </row>
    <row r="17" spans="1:5" s="21" customFormat="1" ht="31.35" customHeight="1">
      <c r="A17" s="346">
        <v>961502</v>
      </c>
      <c r="B17" s="256">
        <f>885497+17253</f>
        <v>902750</v>
      </c>
      <c r="C17" s="442" t="s">
        <v>168</v>
      </c>
      <c r="D17" s="174">
        <v>914499</v>
      </c>
    </row>
    <row r="18" spans="1:5" s="21" customFormat="1" ht="31.35" customHeight="1">
      <c r="A18" s="346">
        <v>17994</v>
      </c>
      <c r="B18" s="256">
        <v>32450</v>
      </c>
      <c r="C18" s="442" t="s">
        <v>162</v>
      </c>
      <c r="D18" s="174">
        <v>30197</v>
      </c>
    </row>
    <row r="19" spans="1:5" s="21" customFormat="1" ht="31.35" hidden="1" customHeight="1">
      <c r="A19" s="346">
        <v>0</v>
      </c>
      <c r="B19" s="256">
        <f>B20</f>
        <v>0</v>
      </c>
      <c r="C19" s="442" t="s">
        <v>353</v>
      </c>
      <c r="D19" s="174">
        <f>D20</f>
        <v>0</v>
      </c>
    </row>
    <row r="20" spans="1:5" s="21" customFormat="1" ht="31.35" hidden="1" customHeight="1">
      <c r="A20" s="186">
        <v>0</v>
      </c>
      <c r="B20" s="173">
        <f>+B21</f>
        <v>0</v>
      </c>
      <c r="C20" s="442" t="s">
        <v>406</v>
      </c>
      <c r="D20" s="174">
        <f>+D21</f>
        <v>0</v>
      </c>
    </row>
    <row r="21" spans="1:5" s="21" customFormat="1" ht="31.35" hidden="1" customHeight="1">
      <c r="A21" s="186">
        <v>0</v>
      </c>
      <c r="B21" s="173">
        <v>0</v>
      </c>
      <c r="C21" s="442" t="s">
        <v>27</v>
      </c>
      <c r="D21" s="174">
        <v>0</v>
      </c>
    </row>
    <row r="22" spans="1:5" s="21" customFormat="1" ht="31.35" customHeight="1">
      <c r="A22" s="346">
        <f>A23</f>
        <v>153293</v>
      </c>
      <c r="B22" s="256">
        <f>B23</f>
        <v>0</v>
      </c>
      <c r="C22" s="442" t="s">
        <v>169</v>
      </c>
      <c r="D22" s="174">
        <f>D23</f>
        <v>0</v>
      </c>
    </row>
    <row r="23" spans="1:5" s="21" customFormat="1" ht="31.35" customHeight="1">
      <c r="A23" s="186">
        <v>153293</v>
      </c>
      <c r="B23" s="173">
        <v>0</v>
      </c>
      <c r="C23" s="442" t="s">
        <v>170</v>
      </c>
      <c r="D23" s="174">
        <v>0</v>
      </c>
    </row>
    <row r="24" spans="1:5" s="21" customFormat="1" ht="30" customHeight="1">
      <c r="A24" s="186">
        <f>A25</f>
        <v>248890400</v>
      </c>
      <c r="B24" s="173">
        <f>B25</f>
        <v>0</v>
      </c>
      <c r="C24" s="442" t="s">
        <v>407</v>
      </c>
      <c r="D24" s="174">
        <f>D25</f>
        <v>0</v>
      </c>
    </row>
    <row r="25" spans="1:5" s="21" customFormat="1" ht="32.25" customHeight="1">
      <c r="A25" s="186">
        <v>248890400</v>
      </c>
      <c r="B25" s="173">
        <v>0</v>
      </c>
      <c r="C25" s="442" t="s">
        <v>408</v>
      </c>
      <c r="D25" s="174">
        <v>0</v>
      </c>
    </row>
    <row r="26" spans="1:5" s="21" customFormat="1" ht="40.700000000000003" customHeight="1">
      <c r="A26" s="169">
        <f>A27</f>
        <v>64594</v>
      </c>
      <c r="B26" s="170">
        <f>B27</f>
        <v>68000</v>
      </c>
      <c r="C26" s="441" t="s">
        <v>1167</v>
      </c>
      <c r="D26" s="171">
        <f>D27</f>
        <v>68000</v>
      </c>
    </row>
    <row r="27" spans="1:5" s="21" customFormat="1" ht="36" customHeight="1">
      <c r="A27" s="172">
        <f>A28</f>
        <v>64594</v>
      </c>
      <c r="B27" s="173">
        <f>B28</f>
        <v>68000</v>
      </c>
      <c r="C27" s="442" t="s">
        <v>404</v>
      </c>
      <c r="D27" s="174">
        <f>D28</f>
        <v>68000</v>
      </c>
    </row>
    <row r="28" spans="1:5" s="21" customFormat="1" ht="28.15" customHeight="1">
      <c r="A28" s="172">
        <v>64594</v>
      </c>
      <c r="B28" s="256">
        <v>68000</v>
      </c>
      <c r="C28" s="442" t="s">
        <v>168</v>
      </c>
      <c r="D28" s="174">
        <v>68000</v>
      </c>
    </row>
    <row r="29" spans="1:5" s="21" customFormat="1" ht="34.5" customHeight="1">
      <c r="A29" s="169">
        <f>A30</f>
        <v>37973414</v>
      </c>
      <c r="B29" s="170">
        <f>B30</f>
        <v>0</v>
      </c>
      <c r="C29" s="441" t="s">
        <v>409</v>
      </c>
      <c r="D29" s="175">
        <f>D30</f>
        <v>0</v>
      </c>
    </row>
    <row r="30" spans="1:5" s="21" customFormat="1" ht="33.6" customHeight="1">
      <c r="A30" s="172">
        <f>A31</f>
        <v>37973414</v>
      </c>
      <c r="B30" s="173">
        <f>B31</f>
        <v>0</v>
      </c>
      <c r="C30" s="442" t="s">
        <v>407</v>
      </c>
      <c r="D30" s="174">
        <f>D31</f>
        <v>0</v>
      </c>
    </row>
    <row r="31" spans="1:5" s="21" customFormat="1" ht="36.6" customHeight="1">
      <c r="A31" s="172">
        <v>37973414</v>
      </c>
      <c r="B31" s="173">
        <v>0</v>
      </c>
      <c r="C31" s="442" t="s">
        <v>212</v>
      </c>
      <c r="D31" s="174">
        <v>0</v>
      </c>
    </row>
    <row r="32" spans="1:5" s="21" customFormat="1" ht="30" customHeight="1">
      <c r="A32" s="169">
        <f>A33+A40+1</f>
        <v>2044631</v>
      </c>
      <c r="B32" s="170">
        <f>B33+B40</f>
        <v>556</v>
      </c>
      <c r="C32" s="440" t="s">
        <v>133</v>
      </c>
      <c r="D32" s="171">
        <f>D33+D40</f>
        <v>581</v>
      </c>
      <c r="E32" s="632">
        <f>+E33+E40</f>
        <v>2044631</v>
      </c>
    </row>
    <row r="33" spans="1:5" s="21" customFormat="1" ht="31.35" customHeight="1">
      <c r="A33" s="169">
        <f>A34+A36+A38-1</f>
        <v>45893</v>
      </c>
      <c r="B33" s="170">
        <f>B34+B36+B38</f>
        <v>556</v>
      </c>
      <c r="C33" s="441" t="s">
        <v>300</v>
      </c>
      <c r="D33" s="175">
        <f>D34+D36+D38</f>
        <v>581</v>
      </c>
      <c r="E33" s="632">
        <f>+A34+A36+A38</f>
        <v>45894</v>
      </c>
    </row>
    <row r="34" spans="1:5" s="21" customFormat="1" ht="29.1" customHeight="1">
      <c r="A34" s="172">
        <f>SUM(A35)</f>
        <v>332</v>
      </c>
      <c r="B34" s="173">
        <f>SUM(B35)</f>
        <v>556</v>
      </c>
      <c r="C34" s="442" t="s">
        <v>404</v>
      </c>
      <c r="D34" s="174">
        <f>SUM(D35)</f>
        <v>581</v>
      </c>
    </row>
    <row r="35" spans="1:5" s="21" customFormat="1" ht="43.5" customHeight="1" thickBot="1">
      <c r="A35" s="176">
        <v>332</v>
      </c>
      <c r="B35" s="323">
        <v>556</v>
      </c>
      <c r="C35" s="443" t="s">
        <v>161</v>
      </c>
      <c r="D35" s="177">
        <v>581</v>
      </c>
    </row>
    <row r="36" spans="1:5" s="21" customFormat="1" ht="29.45" hidden="1" customHeight="1">
      <c r="A36" s="172">
        <f>SUM(A37)</f>
        <v>0</v>
      </c>
      <c r="B36" s="173">
        <f>SUM(B37)</f>
        <v>0</v>
      </c>
      <c r="C36" s="442" t="s">
        <v>315</v>
      </c>
      <c r="D36" s="174">
        <f>SUM(D37)</f>
        <v>0</v>
      </c>
    </row>
    <row r="37" spans="1:5" s="21" customFormat="1" ht="30" hidden="1" customHeight="1">
      <c r="A37" s="172">
        <v>0</v>
      </c>
      <c r="B37" s="256">
        <v>0</v>
      </c>
      <c r="C37" s="442" t="s">
        <v>171</v>
      </c>
      <c r="D37" s="174">
        <v>0</v>
      </c>
    </row>
    <row r="38" spans="1:5" s="732" customFormat="1" ht="31.35" customHeight="1">
      <c r="A38" s="172">
        <f>A39</f>
        <v>45562</v>
      </c>
      <c r="B38" s="173">
        <f>B39</f>
        <v>0</v>
      </c>
      <c r="C38" s="442" t="s">
        <v>407</v>
      </c>
      <c r="D38" s="174">
        <f>D39</f>
        <v>0</v>
      </c>
    </row>
    <row r="39" spans="1:5" s="732" customFormat="1" ht="31.35" customHeight="1">
      <c r="A39" s="172">
        <v>45562</v>
      </c>
      <c r="B39" s="173">
        <v>0</v>
      </c>
      <c r="C39" s="442" t="s">
        <v>36</v>
      </c>
      <c r="D39" s="174">
        <v>0</v>
      </c>
    </row>
    <row r="40" spans="1:5" s="21" customFormat="1" ht="31.35" customHeight="1">
      <c r="A40" s="169">
        <f>A41</f>
        <v>1998737</v>
      </c>
      <c r="B40" s="170">
        <f>B41</f>
        <v>0</v>
      </c>
      <c r="C40" s="441" t="s">
        <v>409</v>
      </c>
      <c r="D40" s="175">
        <f>D41</f>
        <v>0</v>
      </c>
      <c r="E40" s="632">
        <f>+A40</f>
        <v>1998737</v>
      </c>
    </row>
    <row r="41" spans="1:5" s="21" customFormat="1" ht="31.35" customHeight="1">
      <c r="A41" s="172">
        <f>A42</f>
        <v>1998737</v>
      </c>
      <c r="B41" s="173">
        <f>B42</f>
        <v>0</v>
      </c>
      <c r="C41" s="442" t="s">
        <v>407</v>
      </c>
      <c r="D41" s="174">
        <f>D42</f>
        <v>0</v>
      </c>
    </row>
    <row r="42" spans="1:5" s="21" customFormat="1" ht="32.85" customHeight="1">
      <c r="A42" s="172">
        <v>1998737</v>
      </c>
      <c r="B42" s="173">
        <v>0</v>
      </c>
      <c r="C42" s="442" t="s">
        <v>36</v>
      </c>
      <c r="D42" s="174">
        <v>0</v>
      </c>
    </row>
    <row r="43" spans="1:5" ht="14.45" customHeight="1">
      <c r="A43" s="620"/>
      <c r="B43" s="256"/>
      <c r="C43" s="442"/>
      <c r="D43" s="174"/>
    </row>
    <row r="44" spans="1:5" s="1026" customFormat="1" ht="29.45" customHeight="1">
      <c r="A44" s="603">
        <f>A45</f>
        <v>58</v>
      </c>
      <c r="B44" s="605">
        <f>B45</f>
        <v>7</v>
      </c>
      <c r="C44" s="440" t="s">
        <v>1054</v>
      </c>
      <c r="D44" s="171">
        <f>D45</f>
        <v>9</v>
      </c>
      <c r="E44" s="632"/>
    </row>
    <row r="45" spans="1:5" s="1026" customFormat="1" ht="30" customHeight="1">
      <c r="A45" s="603">
        <f>A46+A48</f>
        <v>58</v>
      </c>
      <c r="B45" s="605">
        <f>B46+B48</f>
        <v>7</v>
      </c>
      <c r="C45" s="441" t="s">
        <v>300</v>
      </c>
      <c r="D45" s="175">
        <f>D46+D48</f>
        <v>9</v>
      </c>
    </row>
    <row r="46" spans="1:5" s="1026" customFormat="1" ht="29.45" customHeight="1">
      <c r="A46" s="620">
        <f>SUM(A47)</f>
        <v>5</v>
      </c>
      <c r="B46" s="256">
        <f>SUM(B47)</f>
        <v>7</v>
      </c>
      <c r="C46" s="442" t="s">
        <v>157</v>
      </c>
      <c r="D46" s="174">
        <f>SUM(D47)</f>
        <v>9</v>
      </c>
    </row>
    <row r="47" spans="1:5" ht="30.75" customHeight="1">
      <c r="A47" s="620">
        <v>5</v>
      </c>
      <c r="B47" s="256">
        <v>7</v>
      </c>
      <c r="C47" s="442" t="s">
        <v>161</v>
      </c>
      <c r="D47" s="174">
        <v>9</v>
      </c>
    </row>
    <row r="48" spans="1:5" s="1290" customFormat="1" ht="31.35" customHeight="1">
      <c r="A48" s="172">
        <f>A49</f>
        <v>53</v>
      </c>
      <c r="B48" s="173">
        <f>B49</f>
        <v>0</v>
      </c>
      <c r="C48" s="442" t="s">
        <v>407</v>
      </c>
      <c r="D48" s="174">
        <f>D49</f>
        <v>0</v>
      </c>
    </row>
    <row r="49" spans="1:4" s="1290" customFormat="1" ht="32.85" customHeight="1">
      <c r="A49" s="172">
        <v>53</v>
      </c>
      <c r="B49" s="173">
        <v>0</v>
      </c>
      <c r="C49" s="442" t="s">
        <v>36</v>
      </c>
      <c r="D49" s="174">
        <v>0</v>
      </c>
    </row>
    <row r="50" spans="1:4" ht="186" customHeight="1">
      <c r="A50" s="172"/>
      <c r="B50" s="173"/>
      <c r="C50" s="442"/>
      <c r="D50" s="174"/>
    </row>
    <row r="51" spans="1:4" ht="73.5" customHeight="1">
      <c r="A51" s="606"/>
      <c r="B51" s="1295"/>
      <c r="C51" s="669"/>
      <c r="D51" s="607"/>
    </row>
    <row r="52" spans="1:4" ht="38.25" customHeight="1" thickBot="1">
      <c r="A52" s="608"/>
      <c r="B52" s="610"/>
      <c r="C52" s="670"/>
      <c r="D52" s="609"/>
    </row>
    <row r="53" spans="1:4" ht="157.5" hidden="1" customHeight="1" thickBot="1">
      <c r="A53" s="608"/>
      <c r="B53" s="610"/>
      <c r="C53" s="670"/>
      <c r="D53" s="609"/>
    </row>
  </sheetData>
  <mergeCells count="4">
    <mergeCell ref="A1:D1"/>
    <mergeCell ref="A2:D2"/>
    <mergeCell ref="A3:D3"/>
    <mergeCell ref="A4:D4"/>
  </mergeCells>
  <phoneticPr fontId="6" type="noConversion"/>
  <printOptions horizontalCentered="1"/>
  <pageMargins left="0.59055118110236227" right="0.59055118110236227" top="0.59055118110236227" bottom="0.78740157480314965" header="0.51181102362204722" footer="0.51181102362204722"/>
  <pageSetup paperSize="9" firstPageNumber="29" orientation="portrait" useFirstPageNumber="1" r:id="rId1"/>
  <headerFooter alignWithMargins="0">
    <oddFooter>&amp;C&amp;"Times New Roman,標準"&amp;P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K34"/>
  <sheetViews>
    <sheetView view="pageBreakPreview" zoomScaleNormal="100" zoomScaleSheetLayoutView="100" workbookViewId="0">
      <selection activeCell="G28" sqref="G28"/>
    </sheetView>
  </sheetViews>
  <sheetFormatPr defaultColWidth="9" defaultRowHeight="15.75"/>
  <cols>
    <col min="1" max="1" width="32" style="12" customWidth="1"/>
    <col min="2" max="2" width="58" style="12" customWidth="1"/>
    <col min="3" max="16384" width="9" style="12"/>
  </cols>
  <sheetData>
    <row r="1" spans="1:11" ht="21" customHeight="1">
      <c r="A1" s="1369" t="s">
        <v>40</v>
      </c>
      <c r="B1" s="1369"/>
      <c r="C1" s="11"/>
      <c r="D1" s="11"/>
      <c r="E1" s="11"/>
      <c r="F1" s="11"/>
      <c r="G1" s="11"/>
      <c r="H1" s="11"/>
    </row>
    <row r="2" spans="1:11" ht="21">
      <c r="A2" s="1369" t="s">
        <v>41</v>
      </c>
      <c r="B2" s="1369"/>
      <c r="C2" s="11"/>
      <c r="D2" s="11"/>
      <c r="E2" s="11"/>
      <c r="F2" s="11"/>
      <c r="G2" s="11"/>
      <c r="H2" s="11"/>
    </row>
    <row r="3" spans="1:11" ht="24.75" customHeight="1">
      <c r="A3" s="1400" t="s">
        <v>1131</v>
      </c>
      <c r="B3" s="1401"/>
      <c r="C3" s="13"/>
      <c r="D3" s="13"/>
      <c r="E3" s="13"/>
      <c r="F3" s="13"/>
      <c r="G3" s="13"/>
      <c r="H3" s="13"/>
    </row>
    <row r="4" spans="1:11" ht="24.75" customHeight="1" thickBot="1">
      <c r="A4" s="1523" t="s">
        <v>1275</v>
      </c>
      <c r="B4" s="1524"/>
      <c r="C4" s="14"/>
      <c r="D4" s="14"/>
      <c r="E4" s="14"/>
      <c r="F4" s="14"/>
      <c r="G4" s="14"/>
      <c r="H4" s="14"/>
    </row>
    <row r="5" spans="1:11" s="16" customFormat="1" ht="30" customHeight="1">
      <c r="A5" s="18" t="s">
        <v>147</v>
      </c>
      <c r="B5" s="387" t="s">
        <v>76</v>
      </c>
      <c r="C5" s="15"/>
      <c r="D5" s="15"/>
      <c r="E5" s="15"/>
      <c r="F5" s="15"/>
      <c r="G5" s="15"/>
      <c r="H5" s="15"/>
    </row>
    <row r="6" spans="1:11" s="17" customFormat="1" ht="8.25" customHeight="1">
      <c r="A6" s="459"/>
      <c r="B6" s="219"/>
      <c r="C6" s="43"/>
      <c r="D6" s="43"/>
      <c r="E6" s="43"/>
      <c r="F6" s="43"/>
      <c r="G6" s="43"/>
      <c r="H6" s="43"/>
    </row>
    <row r="7" spans="1:11" s="17" customFormat="1" ht="39" customHeight="1">
      <c r="A7" s="431" t="s">
        <v>146</v>
      </c>
      <c r="B7" s="1180" t="s">
        <v>1478</v>
      </c>
    </row>
    <row r="8" spans="1:11" s="17" customFormat="1" ht="21.75" customHeight="1">
      <c r="A8" s="433" t="s">
        <v>130</v>
      </c>
      <c r="B8" s="44"/>
    </row>
    <row r="9" spans="1:11" s="21" customFormat="1" ht="21" customHeight="1">
      <c r="A9" s="462" t="s">
        <v>303</v>
      </c>
      <c r="B9" s="45"/>
    </row>
    <row r="10" spans="1:11" s="21" customFormat="1" ht="23.25" customHeight="1">
      <c r="A10" s="434" t="s">
        <v>410</v>
      </c>
      <c r="B10" s="45"/>
    </row>
    <row r="11" spans="1:11" s="23" customFormat="1" ht="30" hidden="1" customHeight="1">
      <c r="A11" s="434" t="s">
        <v>411</v>
      </c>
      <c r="B11" s="715" t="s">
        <v>487</v>
      </c>
    </row>
    <row r="12" spans="1:11" s="23" customFormat="1" ht="30" hidden="1" customHeight="1">
      <c r="A12" s="434" t="s">
        <v>354</v>
      </c>
      <c r="B12" s="735" t="s">
        <v>502</v>
      </c>
    </row>
    <row r="13" spans="1:11" s="23" customFormat="1" ht="30" hidden="1" customHeight="1">
      <c r="A13" s="434" t="s">
        <v>412</v>
      </c>
      <c r="B13" s="735" t="s">
        <v>503</v>
      </c>
    </row>
    <row r="14" spans="1:11" s="23" customFormat="1" ht="38.1" customHeight="1">
      <c r="A14" s="434" t="s">
        <v>413</v>
      </c>
      <c r="B14" s="1181" t="s">
        <v>1480</v>
      </c>
    </row>
    <row r="15" spans="1:11" s="21" customFormat="1" ht="88.15" customHeight="1">
      <c r="A15" s="460" t="s">
        <v>414</v>
      </c>
      <c r="B15" s="1184" t="s">
        <v>1479</v>
      </c>
    </row>
    <row r="16" spans="1:11" s="17" customFormat="1" ht="26.25" hidden="1" customHeight="1">
      <c r="A16" s="434" t="s">
        <v>355</v>
      </c>
      <c r="B16" s="635"/>
      <c r="K16" s="110"/>
    </row>
    <row r="17" spans="1:11" s="17" customFormat="1" ht="27" hidden="1" customHeight="1">
      <c r="A17" s="434" t="s">
        <v>415</v>
      </c>
      <c r="B17" s="735" t="s">
        <v>504</v>
      </c>
    </row>
    <row r="18" spans="1:11" s="17" customFormat="1" ht="27.95" customHeight="1">
      <c r="A18" s="433" t="s">
        <v>205</v>
      </c>
      <c r="B18" s="45"/>
    </row>
    <row r="19" spans="1:11" s="17" customFormat="1" ht="26.25" customHeight="1">
      <c r="A19" s="434" t="s">
        <v>410</v>
      </c>
      <c r="B19" s="45"/>
      <c r="K19" s="110"/>
    </row>
    <row r="20" spans="1:11" s="17" customFormat="1" ht="52.35" customHeight="1">
      <c r="A20" s="434" t="s">
        <v>413</v>
      </c>
      <c r="B20" s="22" t="s">
        <v>858</v>
      </c>
    </row>
    <row r="21" spans="1:11" s="17" customFormat="1" ht="26.25" customHeight="1">
      <c r="A21" s="433" t="s">
        <v>133</v>
      </c>
      <c r="B21" s="44"/>
    </row>
    <row r="22" spans="1:11" s="21" customFormat="1" ht="24" customHeight="1">
      <c r="A22" s="462" t="s">
        <v>303</v>
      </c>
      <c r="B22" s="45"/>
    </row>
    <row r="23" spans="1:11" s="21" customFormat="1" ht="23.25" customHeight="1">
      <c r="A23" s="434" t="s">
        <v>410</v>
      </c>
      <c r="B23" s="45"/>
    </row>
    <row r="24" spans="1:11" s="23" customFormat="1" ht="29.25" customHeight="1">
      <c r="A24" s="434" t="s">
        <v>413</v>
      </c>
      <c r="B24" s="877" t="s">
        <v>1434</v>
      </c>
    </row>
    <row r="25" spans="1:11" s="23" customFormat="1" ht="29.25" hidden="1" customHeight="1">
      <c r="A25" s="434" t="s">
        <v>356</v>
      </c>
      <c r="B25" s="715"/>
    </row>
    <row r="26" spans="1:11" s="23" customFormat="1" ht="39" hidden="1" customHeight="1">
      <c r="A26" s="434" t="s">
        <v>416</v>
      </c>
      <c r="B26" s="22" t="s">
        <v>595</v>
      </c>
    </row>
    <row r="27" spans="1:11" s="23" customFormat="1" ht="21" customHeight="1">
      <c r="A27" s="434"/>
      <c r="B27" s="877"/>
    </row>
    <row r="28" spans="1:11" s="17" customFormat="1" ht="26.25" customHeight="1">
      <c r="A28" s="1038" t="s">
        <v>859</v>
      </c>
      <c r="B28" s="44"/>
    </row>
    <row r="29" spans="1:11" s="1026" customFormat="1" ht="30.75" customHeight="1">
      <c r="A29" s="462" t="s">
        <v>303</v>
      </c>
      <c r="B29" s="45"/>
    </row>
    <row r="30" spans="1:11" s="1026" customFormat="1" ht="26.25" customHeight="1">
      <c r="A30" s="1039" t="s">
        <v>410</v>
      </c>
      <c r="B30" s="45"/>
    </row>
    <row r="31" spans="1:11" s="23" customFormat="1" ht="21" customHeight="1">
      <c r="A31" s="1039" t="s">
        <v>413</v>
      </c>
      <c r="B31" s="877" t="s">
        <v>1550</v>
      </c>
    </row>
    <row r="32" spans="1:11" s="23" customFormat="1" ht="21" customHeight="1">
      <c r="A32" s="1039"/>
      <c r="B32" s="877"/>
    </row>
    <row r="33" spans="1:2" s="23" customFormat="1" ht="31.5" customHeight="1">
      <c r="A33" s="1039"/>
      <c r="B33" s="877"/>
    </row>
    <row r="34" spans="1:2" s="23" customFormat="1" ht="36.6" customHeight="1" thickBot="1">
      <c r="A34" s="436"/>
      <c r="B34" s="220"/>
    </row>
  </sheetData>
  <mergeCells count="4">
    <mergeCell ref="A1:B1"/>
    <mergeCell ref="A2:B2"/>
    <mergeCell ref="A3:B3"/>
    <mergeCell ref="A4:B4"/>
  </mergeCells>
  <phoneticPr fontId="6" type="noConversion"/>
  <printOptions horizontalCentered="1"/>
  <pageMargins left="0.59055118110236227" right="0.59055118110236227" top="0.59055118110236227" bottom="0.78740157480314965" header="0.51181102362204722" footer="0.51181102362204722"/>
  <pageSetup paperSize="9" firstPageNumber="31" orientation="portrait" useFirstPageNumber="1" r:id="rId1"/>
  <headerFooter alignWithMargins="0">
    <oddFooter>&amp;C&amp;"Times New Roman,標準"&amp;P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F52"/>
  <sheetViews>
    <sheetView view="pageBreakPreview" zoomScaleNormal="100" zoomScaleSheetLayoutView="100" workbookViewId="0">
      <selection activeCell="G28" sqref="G28"/>
    </sheetView>
  </sheetViews>
  <sheetFormatPr defaultColWidth="9" defaultRowHeight="15.75"/>
  <cols>
    <col min="1" max="2" width="19.625" style="2" customWidth="1"/>
    <col min="3" max="3" width="31.375" style="2" customWidth="1"/>
    <col min="4" max="4" width="19.5" style="2" customWidth="1"/>
    <col min="5" max="5" width="15.125" style="2" hidden="1" customWidth="1"/>
    <col min="6" max="6" width="10.625" style="2" hidden="1" customWidth="1"/>
    <col min="7" max="7" width="0" style="2" hidden="1" customWidth="1"/>
    <col min="8" max="16384" width="9" style="2"/>
  </cols>
  <sheetData>
    <row r="1" spans="1:6" s="6" customFormat="1" ht="21">
      <c r="A1" s="1368" t="s">
        <v>30</v>
      </c>
      <c r="B1" s="1369"/>
      <c r="C1" s="1369"/>
      <c r="D1" s="1369"/>
    </row>
    <row r="2" spans="1:6" s="6" customFormat="1" ht="21">
      <c r="A2" s="1368" t="s">
        <v>17</v>
      </c>
      <c r="B2" s="1369"/>
      <c r="C2" s="1369"/>
      <c r="D2" s="1369"/>
    </row>
    <row r="3" spans="1:6" s="6" customFormat="1" ht="24.95" customHeight="1">
      <c r="A3" s="1370" t="s">
        <v>12</v>
      </c>
      <c r="B3" s="1370"/>
      <c r="C3" s="1370"/>
      <c r="D3" s="1370"/>
    </row>
    <row r="4" spans="1:6" s="6" customFormat="1" ht="24.95" customHeight="1" thickBot="1">
      <c r="A4" s="1372" t="s">
        <v>1285</v>
      </c>
      <c r="B4" s="1373"/>
      <c r="C4" s="1373"/>
      <c r="D4" s="1373"/>
    </row>
    <row r="5" spans="1:6" s="55" customFormat="1" ht="29.45" customHeight="1">
      <c r="A5" s="644" t="s">
        <v>4</v>
      </c>
      <c r="B5" s="1322" t="s">
        <v>5</v>
      </c>
      <c r="C5" s="1322" t="s">
        <v>6</v>
      </c>
      <c r="D5" s="96" t="s">
        <v>3</v>
      </c>
    </row>
    <row r="6" spans="1:6" s="55" customFormat="1" ht="6.6" customHeight="1">
      <c r="A6" s="645"/>
      <c r="B6" s="1323"/>
      <c r="C6" s="1323"/>
      <c r="D6" s="74"/>
    </row>
    <row r="7" spans="1:6" s="9" customFormat="1" ht="32.85" customHeight="1">
      <c r="A7" s="646">
        <f>A8+A19+A30+A43</f>
        <v>530555494</v>
      </c>
      <c r="B7" s="78">
        <f>B8+B19+B30+B43</f>
        <v>588382016</v>
      </c>
      <c r="C7" s="253" t="s">
        <v>13</v>
      </c>
      <c r="D7" s="179">
        <f>D8+D19+D30+D43</f>
        <v>692223625</v>
      </c>
      <c r="E7" s="634">
        <f>+A8+A19+A30+A43</f>
        <v>530555494</v>
      </c>
      <c r="F7" s="634">
        <f>+A7-E7</f>
        <v>0</v>
      </c>
    </row>
    <row r="8" spans="1:6" s="9" customFormat="1" ht="27" customHeight="1">
      <c r="A8" s="646">
        <f>A9+A12+A15</f>
        <v>482160916</v>
      </c>
      <c r="B8" s="78">
        <f>B9+B12+B15</f>
        <v>543118220</v>
      </c>
      <c r="C8" s="254" t="s">
        <v>28</v>
      </c>
      <c r="D8" s="179">
        <f>D9+D12+D15</f>
        <v>641814808</v>
      </c>
      <c r="E8" s="636">
        <f>+A9+A12+A15</f>
        <v>482160916</v>
      </c>
      <c r="F8" s="634">
        <f>+A8-E8</f>
        <v>0</v>
      </c>
    </row>
    <row r="9" spans="1:6" s="182" customFormat="1" ht="27" customHeight="1">
      <c r="A9" s="646">
        <f>A10</f>
        <v>481427175</v>
      </c>
      <c r="B9" s="27">
        <f>B10</f>
        <v>536712433</v>
      </c>
      <c r="C9" s="254" t="s">
        <v>7</v>
      </c>
      <c r="D9" s="180">
        <f>D10</f>
        <v>543211117</v>
      </c>
    </row>
    <row r="10" spans="1:6" s="9" customFormat="1" ht="27" customHeight="1">
      <c r="A10" s="647">
        <f>A11</f>
        <v>481427175</v>
      </c>
      <c r="B10" s="31">
        <f>B11</f>
        <v>536712433</v>
      </c>
      <c r="C10" s="255" t="s">
        <v>33</v>
      </c>
      <c r="D10" s="184">
        <f>D11</f>
        <v>543211117</v>
      </c>
    </row>
    <row r="11" spans="1:6" s="9" customFormat="1" ht="27" customHeight="1">
      <c r="A11" s="647">
        <v>481427175</v>
      </c>
      <c r="B11" s="31">
        <v>536712433</v>
      </c>
      <c r="C11" s="255" t="s">
        <v>34</v>
      </c>
      <c r="D11" s="184">
        <v>543211117</v>
      </c>
    </row>
    <row r="12" spans="1:6" s="9" customFormat="1" ht="27" customHeight="1">
      <c r="A12" s="1020">
        <f>A13</f>
        <v>0</v>
      </c>
      <c r="B12" s="142">
        <f>B13</f>
        <v>5641046</v>
      </c>
      <c r="C12" s="254" t="s">
        <v>11</v>
      </c>
      <c r="D12" s="638">
        <f>D13</f>
        <v>97931897</v>
      </c>
    </row>
    <row r="13" spans="1:6" s="9" customFormat="1" ht="27" customHeight="1">
      <c r="A13" s="186">
        <f>A14</f>
        <v>0</v>
      </c>
      <c r="B13" s="185">
        <f>B14</f>
        <v>5641046</v>
      </c>
      <c r="C13" s="255" t="s">
        <v>33</v>
      </c>
      <c r="D13" s="174">
        <f>D14</f>
        <v>97931897</v>
      </c>
    </row>
    <row r="14" spans="1:6" s="9" customFormat="1" ht="27" customHeight="1">
      <c r="A14" s="186">
        <v>0</v>
      </c>
      <c r="B14" s="185">
        <f>4641046+1000000</f>
        <v>5641046</v>
      </c>
      <c r="C14" s="255" t="s">
        <v>35</v>
      </c>
      <c r="D14" s="174">
        <f>77931897+20000000</f>
        <v>97931897</v>
      </c>
    </row>
    <row r="15" spans="1:6" s="9" customFormat="1" ht="27" customHeight="1">
      <c r="A15" s="347">
        <f>A16</f>
        <v>733741</v>
      </c>
      <c r="B15" s="27">
        <f>B16</f>
        <v>764741</v>
      </c>
      <c r="C15" s="254" t="s">
        <v>0</v>
      </c>
      <c r="D15" s="180">
        <f>D16</f>
        <v>671794</v>
      </c>
    </row>
    <row r="16" spans="1:6" s="9" customFormat="1" ht="27" customHeight="1">
      <c r="A16" s="346">
        <f>A17</f>
        <v>733741</v>
      </c>
      <c r="B16" s="31">
        <f>B17</f>
        <v>764741</v>
      </c>
      <c r="C16" s="255" t="s">
        <v>33</v>
      </c>
      <c r="D16" s="184">
        <f>D17</f>
        <v>671794</v>
      </c>
    </row>
    <row r="17" spans="1:6" s="9" customFormat="1" ht="27" customHeight="1">
      <c r="A17" s="346">
        <v>733741</v>
      </c>
      <c r="B17" s="31">
        <v>764741</v>
      </c>
      <c r="C17" s="255" t="s">
        <v>36</v>
      </c>
      <c r="D17" s="184">
        <v>671794</v>
      </c>
    </row>
    <row r="18" spans="1:6" s="9" customFormat="1" ht="27" customHeight="1">
      <c r="A18" s="648"/>
      <c r="B18" s="31"/>
      <c r="C18" s="255"/>
      <c r="D18" s="184"/>
    </row>
    <row r="19" spans="1:6" s="9" customFormat="1" ht="27" customHeight="1">
      <c r="A19" s="646">
        <f>A20+A23+A26</f>
        <v>32722268</v>
      </c>
      <c r="B19" s="78">
        <f>B20+B23+B26</f>
        <v>28480319</v>
      </c>
      <c r="C19" s="254" t="s">
        <v>29</v>
      </c>
      <c r="D19" s="179">
        <f>D20+D23+D26</f>
        <v>29995584</v>
      </c>
      <c r="E19" s="637">
        <f>+A20+A23+A26</f>
        <v>32722268</v>
      </c>
      <c r="F19" s="637">
        <f>+A19-E19</f>
        <v>0</v>
      </c>
    </row>
    <row r="20" spans="1:6" s="182" customFormat="1" ht="27" customHeight="1">
      <c r="A20" s="646">
        <f>A21</f>
        <v>20840606</v>
      </c>
      <c r="B20" s="27">
        <f>B21</f>
        <v>25351364</v>
      </c>
      <c r="C20" s="254" t="s">
        <v>7</v>
      </c>
      <c r="D20" s="180">
        <f>D21</f>
        <v>24949551</v>
      </c>
    </row>
    <row r="21" spans="1:6" s="9" customFormat="1" ht="27" customHeight="1">
      <c r="A21" s="647">
        <f>A22</f>
        <v>20840606</v>
      </c>
      <c r="B21" s="31">
        <f>B22</f>
        <v>25351364</v>
      </c>
      <c r="C21" s="255" t="s">
        <v>33</v>
      </c>
      <c r="D21" s="184">
        <f>D22</f>
        <v>24949551</v>
      </c>
    </row>
    <row r="22" spans="1:6" s="9" customFormat="1" ht="27" customHeight="1">
      <c r="A22" s="647">
        <v>20840606</v>
      </c>
      <c r="B22" s="31">
        <v>25351364</v>
      </c>
      <c r="C22" s="255" t="s">
        <v>34</v>
      </c>
      <c r="D22" s="184">
        <v>24949551</v>
      </c>
    </row>
    <row r="23" spans="1:6" s="9" customFormat="1" ht="27" customHeight="1">
      <c r="A23" s="646">
        <f>A24</f>
        <v>11838931</v>
      </c>
      <c r="B23" s="27">
        <f>B24</f>
        <v>3083789</v>
      </c>
      <c r="C23" s="254" t="s">
        <v>11</v>
      </c>
      <c r="D23" s="180">
        <f>D24</f>
        <v>5010180</v>
      </c>
    </row>
    <row r="24" spans="1:6" s="9" customFormat="1" ht="27" customHeight="1">
      <c r="A24" s="647">
        <f>A25</f>
        <v>11838931</v>
      </c>
      <c r="B24" s="31">
        <f>B25</f>
        <v>3083789</v>
      </c>
      <c r="C24" s="255" t="s">
        <v>33</v>
      </c>
      <c r="D24" s="184">
        <f>D25</f>
        <v>5010180</v>
      </c>
    </row>
    <row r="25" spans="1:6" s="9" customFormat="1" ht="27" customHeight="1">
      <c r="A25" s="647">
        <v>11838931</v>
      </c>
      <c r="B25" s="31">
        <f>3077004+6785</f>
        <v>3083789</v>
      </c>
      <c r="C25" s="255" t="s">
        <v>35</v>
      </c>
      <c r="D25" s="184">
        <v>5010180</v>
      </c>
    </row>
    <row r="26" spans="1:6" s="9" customFormat="1" ht="27" customHeight="1">
      <c r="A26" s="347">
        <f>A27</f>
        <v>42731</v>
      </c>
      <c r="B26" s="27">
        <f>B27</f>
        <v>45166</v>
      </c>
      <c r="C26" s="254" t="s">
        <v>0</v>
      </c>
      <c r="D26" s="180">
        <f>D27</f>
        <v>35853</v>
      </c>
    </row>
    <row r="27" spans="1:6" s="9" customFormat="1" ht="27" customHeight="1">
      <c r="A27" s="346">
        <f>A28</f>
        <v>42731</v>
      </c>
      <c r="B27" s="31">
        <f>B28</f>
        <v>45166</v>
      </c>
      <c r="C27" s="255" t="s">
        <v>33</v>
      </c>
      <c r="D27" s="184">
        <f>D28</f>
        <v>35853</v>
      </c>
    </row>
    <row r="28" spans="1:6" s="9" customFormat="1" ht="29.45" customHeight="1">
      <c r="A28" s="346">
        <v>42731</v>
      </c>
      <c r="B28" s="31">
        <v>45166</v>
      </c>
      <c r="C28" s="255" t="s">
        <v>36</v>
      </c>
      <c r="D28" s="184">
        <v>35853</v>
      </c>
    </row>
    <row r="29" spans="1:6" s="9" customFormat="1" ht="54.75" customHeight="1" thickBot="1">
      <c r="A29" s="656"/>
      <c r="B29" s="98"/>
      <c r="C29" s="286"/>
      <c r="D29" s="880"/>
    </row>
    <row r="30" spans="1:6" s="9" customFormat="1" ht="27.95" customHeight="1">
      <c r="A30" s="646">
        <f>A31+A39+A36</f>
        <v>7099141</v>
      </c>
      <c r="B30" s="78">
        <f>B31+B39+B36</f>
        <v>6935035</v>
      </c>
      <c r="C30" s="254" t="s">
        <v>546</v>
      </c>
      <c r="D30" s="179">
        <f>D31+D39+D36</f>
        <v>11132246</v>
      </c>
      <c r="E30" s="636">
        <f>+A31+A39+A36</f>
        <v>7099141</v>
      </c>
      <c r="F30" s="637">
        <f>+A30-E30</f>
        <v>0</v>
      </c>
    </row>
    <row r="31" spans="1:6" s="182" customFormat="1" ht="27.95" customHeight="1">
      <c r="A31" s="646">
        <f>A32</f>
        <v>7075333</v>
      </c>
      <c r="B31" s="27">
        <f>B32</f>
        <v>6928465</v>
      </c>
      <c r="C31" s="254" t="s">
        <v>7</v>
      </c>
      <c r="D31" s="180">
        <f>D32</f>
        <v>11126966</v>
      </c>
    </row>
    <row r="32" spans="1:6" s="9" customFormat="1" ht="27.95" customHeight="1">
      <c r="A32" s="346">
        <f>A33</f>
        <v>7075333</v>
      </c>
      <c r="B32" s="31">
        <f>B33</f>
        <v>6928465</v>
      </c>
      <c r="C32" s="255" t="s">
        <v>33</v>
      </c>
      <c r="D32" s="184">
        <f>D33</f>
        <v>11126966</v>
      </c>
    </row>
    <row r="33" spans="1:6" s="9" customFormat="1" ht="27.95" customHeight="1">
      <c r="A33" s="346">
        <f>+A34+A35</f>
        <v>7075333</v>
      </c>
      <c r="B33" s="31">
        <f>+B34+B35</f>
        <v>6928465</v>
      </c>
      <c r="C33" s="255" t="s">
        <v>34</v>
      </c>
      <c r="D33" s="184">
        <f>+D34+D35</f>
        <v>11126966</v>
      </c>
    </row>
    <row r="34" spans="1:6" s="788" customFormat="1" ht="27.95" customHeight="1">
      <c r="A34" s="647">
        <v>6997444</v>
      </c>
      <c r="B34" s="185">
        <v>6755991</v>
      </c>
      <c r="C34" s="255" t="s">
        <v>544</v>
      </c>
      <c r="D34" s="201">
        <v>10888472</v>
      </c>
    </row>
    <row r="35" spans="1:6" s="788" customFormat="1" ht="27.95" customHeight="1">
      <c r="A35" s="328">
        <v>77889</v>
      </c>
      <c r="B35" s="256">
        <v>172474</v>
      </c>
      <c r="C35" s="255" t="s">
        <v>545</v>
      </c>
      <c r="D35" s="174">
        <v>238494</v>
      </c>
    </row>
    <row r="36" spans="1:6" s="874" customFormat="1" ht="27.95" customHeight="1">
      <c r="A36" s="646">
        <f>A37</f>
        <v>18859</v>
      </c>
      <c r="B36" s="142">
        <f>B37</f>
        <v>0</v>
      </c>
      <c r="C36" s="254" t="s">
        <v>674</v>
      </c>
      <c r="D36" s="638">
        <f>D37</f>
        <v>0</v>
      </c>
    </row>
    <row r="37" spans="1:6" s="874" customFormat="1" ht="27.95" customHeight="1">
      <c r="A37" s="647">
        <f>A38</f>
        <v>18859</v>
      </c>
      <c r="B37" s="185">
        <f>B38</f>
        <v>0</v>
      </c>
      <c r="C37" s="255" t="s">
        <v>33</v>
      </c>
      <c r="D37" s="201">
        <f>D38</f>
        <v>0</v>
      </c>
    </row>
    <row r="38" spans="1:6" s="874" customFormat="1" ht="27.95" customHeight="1">
      <c r="A38" s="647">
        <v>18859</v>
      </c>
      <c r="B38" s="185">
        <v>0</v>
      </c>
      <c r="C38" s="255" t="s">
        <v>35</v>
      </c>
      <c r="D38" s="201">
        <v>0</v>
      </c>
    </row>
    <row r="39" spans="1:6" s="9" customFormat="1" ht="27.95" customHeight="1">
      <c r="A39" s="347">
        <f>A40</f>
        <v>4949</v>
      </c>
      <c r="B39" s="27">
        <f>B40</f>
        <v>6570</v>
      </c>
      <c r="C39" s="254" t="s">
        <v>673</v>
      </c>
      <c r="D39" s="180">
        <f>D40</f>
        <v>5280</v>
      </c>
    </row>
    <row r="40" spans="1:6" s="9" customFormat="1" ht="27.95" customHeight="1">
      <c r="A40" s="346">
        <f>A41</f>
        <v>4949</v>
      </c>
      <c r="B40" s="31">
        <f>B41</f>
        <v>6570</v>
      </c>
      <c r="C40" s="255" t="s">
        <v>33</v>
      </c>
      <c r="D40" s="184">
        <f>D41</f>
        <v>5280</v>
      </c>
    </row>
    <row r="41" spans="1:6" s="9" customFormat="1" ht="27.95" customHeight="1">
      <c r="A41" s="346">
        <v>4949</v>
      </c>
      <c r="B41" s="185">
        <v>6570</v>
      </c>
      <c r="C41" s="255" t="s">
        <v>36</v>
      </c>
      <c r="D41" s="201">
        <v>5280</v>
      </c>
    </row>
    <row r="42" spans="1:6" s="9" customFormat="1" ht="24.95" customHeight="1">
      <c r="A42" s="346"/>
      <c r="B42" s="31"/>
      <c r="C42" s="255"/>
      <c r="D42" s="184"/>
    </row>
    <row r="43" spans="1:6" s="1025" customFormat="1" ht="27.95" customHeight="1">
      <c r="A43" s="347">
        <f>A44++A47+A50-1</f>
        <v>8573169</v>
      </c>
      <c r="B43" s="142">
        <f>B44++B47+B50</f>
        <v>9848442</v>
      </c>
      <c r="C43" s="254" t="s">
        <v>860</v>
      </c>
      <c r="D43" s="179">
        <f>D44++D47+D50</f>
        <v>9280987</v>
      </c>
      <c r="E43" s="637">
        <f>A44+A47+A50</f>
        <v>8573170</v>
      </c>
      <c r="F43" s="637">
        <f>A43-E43</f>
        <v>-1</v>
      </c>
    </row>
    <row r="44" spans="1:6" s="182" customFormat="1" ht="27.95" customHeight="1">
      <c r="A44" s="347">
        <f>A45</f>
        <v>7095379</v>
      </c>
      <c r="B44" s="142">
        <f>B45</f>
        <v>9754202</v>
      </c>
      <c r="C44" s="254" t="s">
        <v>7</v>
      </c>
      <c r="D44" s="180">
        <f>D45</f>
        <v>7664166</v>
      </c>
    </row>
    <row r="45" spans="1:6" s="1025" customFormat="1" ht="27.95" customHeight="1">
      <c r="A45" s="346">
        <f>A46</f>
        <v>7095379</v>
      </c>
      <c r="B45" s="848">
        <f>B46</f>
        <v>9754202</v>
      </c>
      <c r="C45" s="255" t="s">
        <v>33</v>
      </c>
      <c r="D45" s="184">
        <f>D46</f>
        <v>7664166</v>
      </c>
    </row>
    <row r="46" spans="1:6" s="1025" customFormat="1" ht="27.95" customHeight="1">
      <c r="A46" s="868">
        <v>7095379</v>
      </c>
      <c r="B46" s="848">
        <v>9754202</v>
      </c>
      <c r="C46" s="255" t="s">
        <v>34</v>
      </c>
      <c r="D46" s="184">
        <v>7664166</v>
      </c>
    </row>
    <row r="47" spans="1:6" s="1178" customFormat="1" ht="27.95" customHeight="1">
      <c r="A47" s="646">
        <f>A48</f>
        <v>1453745</v>
      </c>
      <c r="B47" s="142">
        <f>B48</f>
        <v>0</v>
      </c>
      <c r="C47" s="254" t="s">
        <v>11</v>
      </c>
      <c r="D47" s="638">
        <f>D48</f>
        <v>1584201</v>
      </c>
    </row>
    <row r="48" spans="1:6" s="1178" customFormat="1" ht="27.95" customHeight="1">
      <c r="A48" s="647">
        <f>A49</f>
        <v>1453745</v>
      </c>
      <c r="B48" s="185">
        <f>B49</f>
        <v>0</v>
      </c>
      <c r="C48" s="255" t="s">
        <v>33</v>
      </c>
      <c r="D48" s="174">
        <f>D49</f>
        <v>1584201</v>
      </c>
    </row>
    <row r="49" spans="1:4" s="1178" customFormat="1" ht="27.95" customHeight="1">
      <c r="A49" s="647">
        <v>1453745</v>
      </c>
      <c r="B49" s="185">
        <v>0</v>
      </c>
      <c r="C49" s="255" t="s">
        <v>35</v>
      </c>
      <c r="D49" s="174">
        <f>1578402+5799</f>
        <v>1584201</v>
      </c>
    </row>
    <row r="50" spans="1:4" s="1025" customFormat="1" ht="27.95" customHeight="1">
      <c r="A50" s="347">
        <f>A51</f>
        <v>24046</v>
      </c>
      <c r="B50" s="142">
        <f>B51</f>
        <v>94240</v>
      </c>
      <c r="C50" s="254" t="s">
        <v>0</v>
      </c>
      <c r="D50" s="180">
        <f>D51</f>
        <v>32620</v>
      </c>
    </row>
    <row r="51" spans="1:4" s="1025" customFormat="1" ht="27.95" customHeight="1">
      <c r="A51" s="346">
        <f>A52</f>
        <v>24046</v>
      </c>
      <c r="B51" s="848">
        <f>B52</f>
        <v>94240</v>
      </c>
      <c r="C51" s="255" t="s">
        <v>33</v>
      </c>
      <c r="D51" s="184">
        <f>D52</f>
        <v>32620</v>
      </c>
    </row>
    <row r="52" spans="1:4" s="1025" customFormat="1" ht="44.25" customHeight="1" thickBot="1">
      <c r="A52" s="656">
        <v>24046</v>
      </c>
      <c r="B52" s="189">
        <v>94240</v>
      </c>
      <c r="C52" s="286" t="s">
        <v>36</v>
      </c>
      <c r="D52" s="880">
        <v>32620</v>
      </c>
    </row>
  </sheetData>
  <mergeCells count="4">
    <mergeCell ref="A4:D4"/>
    <mergeCell ref="A3:D3"/>
    <mergeCell ref="A2:D2"/>
    <mergeCell ref="A1:D1"/>
  </mergeCells>
  <phoneticPr fontId="6" type="noConversion"/>
  <printOptions horizontalCentered="1"/>
  <pageMargins left="0.59055118110236227" right="0.59055118110236227" top="0.59055118110236227" bottom="0.78740157480314965" header="0.51181102362204722" footer="0.51181102362204722"/>
  <pageSetup paperSize="9" firstPageNumber="32" fitToHeight="2" orientation="portrait" useFirstPageNumber="1" r:id="rId1"/>
  <headerFooter alignWithMargins="0">
    <oddFooter>&amp;C&amp;"Times New Roman,標準"&amp;P</oddFooter>
  </headerFooter>
  <rowBreaks count="1" manualBreakCount="1">
    <brk id="29" max="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G65"/>
  <sheetViews>
    <sheetView view="pageBreakPreview" topLeftCell="A49" zoomScaleNormal="100" zoomScaleSheetLayoutView="100" workbookViewId="0">
      <selection activeCell="G28" sqref="G28"/>
    </sheetView>
  </sheetViews>
  <sheetFormatPr defaultColWidth="9" defaultRowHeight="15.75"/>
  <cols>
    <col min="1" max="1" width="29.125" style="241" customWidth="1"/>
    <col min="2" max="2" width="2.5" style="241" customWidth="1"/>
    <col min="3" max="3" width="58.625" style="241" customWidth="1"/>
    <col min="4" max="4" width="9" style="241"/>
    <col min="5" max="5" width="11.75" style="241" hidden="1" customWidth="1"/>
    <col min="6" max="6" width="16.625" style="241" hidden="1" customWidth="1"/>
    <col min="7" max="7" width="15.625" style="241" hidden="1" customWidth="1"/>
    <col min="8" max="8" width="0" style="241" hidden="1" customWidth="1"/>
    <col min="9" max="16384" width="9" style="241"/>
  </cols>
  <sheetData>
    <row r="1" spans="1:7" ht="21">
      <c r="A1" s="1537" t="s">
        <v>40</v>
      </c>
      <c r="B1" s="1537"/>
      <c r="C1" s="1537"/>
    </row>
    <row r="2" spans="1:7" ht="21">
      <c r="A2" s="1537" t="s">
        <v>41</v>
      </c>
      <c r="B2" s="1537"/>
      <c r="C2" s="1537"/>
    </row>
    <row r="3" spans="1:7" ht="24.75" customHeight="1">
      <c r="A3" s="1538" t="s">
        <v>1121</v>
      </c>
      <c r="B3" s="1539"/>
      <c r="C3" s="1539"/>
    </row>
    <row r="4" spans="1:7" ht="24.75" customHeight="1" thickBot="1">
      <c r="A4" s="1523" t="s">
        <v>1275</v>
      </c>
      <c r="B4" s="1524"/>
      <c r="C4" s="1524"/>
    </row>
    <row r="5" spans="1:7" s="242" customFormat="1" ht="30" customHeight="1">
      <c r="A5" s="386" t="s">
        <v>75</v>
      </c>
      <c r="B5" s="1541" t="s">
        <v>76</v>
      </c>
      <c r="C5" s="1542"/>
    </row>
    <row r="6" spans="1:7" s="242" customFormat="1" ht="7.15" customHeight="1">
      <c r="A6" s="49"/>
      <c r="B6" s="244"/>
      <c r="C6" s="50"/>
    </row>
    <row r="7" spans="1:7" s="43" customFormat="1" ht="35.450000000000003" customHeight="1">
      <c r="A7" s="26" t="s">
        <v>13</v>
      </c>
      <c r="B7" s="1470" t="s">
        <v>1544</v>
      </c>
      <c r="C7" s="1388"/>
      <c r="E7" s="1045">
        <v>252141</v>
      </c>
      <c r="F7" s="1045">
        <f>582482044+6785</f>
        <v>582488829</v>
      </c>
      <c r="G7" s="1045">
        <f>+E7+F7</f>
        <v>582740970</v>
      </c>
    </row>
    <row r="8" spans="1:7" s="43" customFormat="1" ht="25.15" customHeight="1">
      <c r="A8" s="133" t="s">
        <v>28</v>
      </c>
      <c r="B8" s="245"/>
      <c r="C8" s="47"/>
    </row>
    <row r="9" spans="1:7" s="43" customFormat="1" ht="25.15" customHeight="1">
      <c r="A9" s="133" t="s">
        <v>7</v>
      </c>
      <c r="B9" s="245"/>
      <c r="C9" s="47"/>
      <c r="E9" s="43" t="s">
        <v>1445</v>
      </c>
    </row>
    <row r="10" spans="1:7" s="43" customFormat="1" ht="25.15" customHeight="1">
      <c r="A10" s="138" t="s">
        <v>33</v>
      </c>
      <c r="B10" s="245"/>
      <c r="C10" s="47"/>
    </row>
    <row r="11" spans="1:7" s="43" customFormat="1" ht="53.1" customHeight="1">
      <c r="A11" s="138" t="s">
        <v>34</v>
      </c>
      <c r="B11" s="1543" t="s">
        <v>1447</v>
      </c>
      <c r="C11" s="1544"/>
    </row>
    <row r="12" spans="1:7" s="43" customFormat="1" ht="25.15" customHeight="1">
      <c r="A12" s="133" t="s">
        <v>11</v>
      </c>
      <c r="B12" s="246"/>
      <c r="C12" s="292"/>
    </row>
    <row r="13" spans="1:7" s="43" customFormat="1" ht="25.15" customHeight="1">
      <c r="A13" s="138" t="s">
        <v>33</v>
      </c>
      <c r="B13" s="246"/>
      <c r="C13" s="292"/>
    </row>
    <row r="14" spans="1:7" s="43" customFormat="1" ht="35.1" customHeight="1">
      <c r="A14" s="138" t="s">
        <v>35</v>
      </c>
      <c r="B14" s="1534" t="s">
        <v>1545</v>
      </c>
      <c r="C14" s="1535"/>
    </row>
    <row r="15" spans="1:7" s="43" customFormat="1" ht="25.15" customHeight="1">
      <c r="A15" s="133" t="s">
        <v>0</v>
      </c>
      <c r="B15" s="388"/>
      <c r="C15" s="819"/>
    </row>
    <row r="16" spans="1:7" s="43" customFormat="1" ht="25.15" customHeight="1">
      <c r="A16" s="138" t="s">
        <v>33</v>
      </c>
      <c r="B16" s="388"/>
      <c r="C16" s="819"/>
    </row>
    <row r="17" spans="1:3" s="243" customFormat="1" ht="33" customHeight="1">
      <c r="A17" s="138" t="s">
        <v>36</v>
      </c>
      <c r="B17" s="1540" t="s">
        <v>1435</v>
      </c>
      <c r="C17" s="1465"/>
    </row>
    <row r="18" spans="1:3" s="243" customFormat="1" ht="10.5" customHeight="1">
      <c r="A18" s="46"/>
      <c r="B18" s="823"/>
      <c r="C18" s="818"/>
    </row>
    <row r="19" spans="1:3" s="43" customFormat="1" ht="25.15" customHeight="1">
      <c r="A19" s="133" t="s">
        <v>29</v>
      </c>
      <c r="B19" s="245"/>
      <c r="C19" s="47"/>
    </row>
    <row r="20" spans="1:3" s="43" customFormat="1" ht="25.15" customHeight="1">
      <c r="A20" s="133" t="s">
        <v>7</v>
      </c>
      <c r="B20" s="245"/>
      <c r="C20" s="47"/>
    </row>
    <row r="21" spans="1:3" s="43" customFormat="1" ht="25.15" customHeight="1">
      <c r="A21" s="138" t="s">
        <v>33</v>
      </c>
      <c r="B21" s="245"/>
      <c r="C21" s="47"/>
    </row>
    <row r="22" spans="1:3" s="43" customFormat="1" ht="58.35" customHeight="1">
      <c r="A22" s="138" t="s">
        <v>34</v>
      </c>
      <c r="B22" s="1527" t="s">
        <v>1436</v>
      </c>
      <c r="C22" s="1528"/>
    </row>
    <row r="23" spans="1:3" s="43" customFormat="1" ht="25.15" customHeight="1">
      <c r="A23" s="133" t="s">
        <v>11</v>
      </c>
      <c r="B23" s="824"/>
      <c r="C23" s="820"/>
    </row>
    <row r="24" spans="1:3" s="43" customFormat="1" ht="25.15" customHeight="1">
      <c r="A24" s="138" t="s">
        <v>33</v>
      </c>
      <c r="B24" s="824"/>
      <c r="C24" s="820"/>
    </row>
    <row r="25" spans="1:3" s="43" customFormat="1" ht="36" customHeight="1">
      <c r="A25" s="138" t="s">
        <v>35</v>
      </c>
      <c r="B25" s="1534" t="s">
        <v>1448</v>
      </c>
      <c r="C25" s="1535"/>
    </row>
    <row r="26" spans="1:3" s="43" customFormat="1" ht="25.15" customHeight="1">
      <c r="A26" s="133" t="s">
        <v>0</v>
      </c>
      <c r="B26" s="388"/>
      <c r="C26" s="1097"/>
    </row>
    <row r="27" spans="1:3" s="43" customFormat="1" ht="25.15" customHeight="1">
      <c r="A27" s="138" t="s">
        <v>33</v>
      </c>
      <c r="B27" s="388"/>
      <c r="C27" s="1097"/>
    </row>
    <row r="28" spans="1:3" s="243" customFormat="1" ht="42" customHeight="1" thickBot="1">
      <c r="A28" s="463" t="s">
        <v>36</v>
      </c>
      <c r="B28" s="1536" t="s">
        <v>1437</v>
      </c>
      <c r="C28" s="1530"/>
    </row>
    <row r="29" spans="1:3" s="243" customFormat="1" ht="6.75" customHeight="1">
      <c r="A29" s="46"/>
      <c r="B29" s="823"/>
      <c r="C29" s="1321"/>
    </row>
    <row r="30" spans="1:3" s="43" customFormat="1" ht="25.5" customHeight="1">
      <c r="A30" s="133" t="s">
        <v>546</v>
      </c>
      <c r="B30" s="245"/>
      <c r="C30" s="47"/>
    </row>
    <row r="31" spans="1:3" s="43" customFormat="1" ht="24" customHeight="1">
      <c r="A31" s="133" t="s">
        <v>7</v>
      </c>
      <c r="B31" s="245"/>
      <c r="C31" s="47"/>
    </row>
    <row r="32" spans="1:3" s="43" customFormat="1" ht="25.5" customHeight="1">
      <c r="A32" s="138" t="s">
        <v>33</v>
      </c>
      <c r="B32" s="245"/>
      <c r="C32" s="47"/>
    </row>
    <row r="33" spans="1:3" s="43" customFormat="1" ht="33" customHeight="1">
      <c r="A33" s="138" t="s">
        <v>34</v>
      </c>
      <c r="B33" s="1527" t="s">
        <v>1438</v>
      </c>
      <c r="C33" s="1528"/>
    </row>
    <row r="34" spans="1:3" s="345" customFormat="1" ht="34.15" customHeight="1">
      <c r="A34" s="464"/>
      <c r="B34" s="1068" t="s">
        <v>1028</v>
      </c>
      <c r="C34" s="1149" t="s">
        <v>1439</v>
      </c>
    </row>
    <row r="35" spans="1:3" s="345" customFormat="1" ht="33" customHeight="1">
      <c r="A35" s="464"/>
      <c r="B35" s="1068" t="s">
        <v>1029</v>
      </c>
      <c r="C35" s="1149" t="s">
        <v>1440</v>
      </c>
    </row>
    <row r="36" spans="1:3" s="43" customFormat="1" ht="23.25" customHeight="1">
      <c r="A36" s="133" t="s">
        <v>0</v>
      </c>
      <c r="B36" s="246"/>
      <c r="C36" s="292"/>
    </row>
    <row r="37" spans="1:3" s="43" customFormat="1" ht="26.25" customHeight="1">
      <c r="A37" s="138" t="s">
        <v>33</v>
      </c>
      <c r="B37" s="246"/>
      <c r="C37" s="292"/>
    </row>
    <row r="38" spans="1:3" s="243" customFormat="1" ht="31.5" customHeight="1">
      <c r="A38" s="138" t="s">
        <v>36</v>
      </c>
      <c r="B38" s="1533" t="s">
        <v>1441</v>
      </c>
      <c r="C38" s="1465"/>
    </row>
    <row r="39" spans="1:3" s="243" customFormat="1" ht="6" customHeight="1">
      <c r="A39" s="465"/>
      <c r="B39" s="824"/>
      <c r="C39" s="820"/>
    </row>
    <row r="40" spans="1:3" s="43" customFormat="1" ht="5.25" customHeight="1">
      <c r="A40" s="133"/>
      <c r="B40" s="1099"/>
      <c r="C40" s="1100"/>
    </row>
    <row r="41" spans="1:3" s="43" customFormat="1" ht="29.45" customHeight="1">
      <c r="A41" s="133" t="s">
        <v>860</v>
      </c>
      <c r="B41" s="1531" t="s">
        <v>1520</v>
      </c>
      <c r="C41" s="1532"/>
    </row>
    <row r="42" spans="1:3" s="43" customFormat="1" ht="21.75" customHeight="1">
      <c r="A42" s="133" t="s">
        <v>7</v>
      </c>
      <c r="B42" s="1531"/>
      <c r="C42" s="1532"/>
    </row>
    <row r="43" spans="1:3" s="43" customFormat="1" ht="26.25" customHeight="1">
      <c r="A43" s="138" t="s">
        <v>33</v>
      </c>
      <c r="B43" s="245"/>
      <c r="C43" s="47"/>
    </row>
    <row r="44" spans="1:3" s="43" customFormat="1" ht="23.25" customHeight="1">
      <c r="A44" s="138" t="s">
        <v>34</v>
      </c>
      <c r="B44" s="1527" t="s">
        <v>1442</v>
      </c>
      <c r="C44" s="1528"/>
    </row>
    <row r="45" spans="1:3" s="345" customFormat="1" ht="55.5" customHeight="1">
      <c r="A45" s="464"/>
      <c r="B45" s="1068" t="s">
        <v>1028</v>
      </c>
      <c r="C45" s="1337" t="s">
        <v>1551</v>
      </c>
    </row>
    <row r="46" spans="1:3" s="345" customFormat="1" ht="57.75" customHeight="1">
      <c r="A46" s="464"/>
      <c r="B46" s="1068" t="s">
        <v>1029</v>
      </c>
      <c r="C46" s="1185" t="s">
        <v>1555</v>
      </c>
    </row>
    <row r="47" spans="1:3" s="43" customFormat="1" ht="25.15" customHeight="1">
      <c r="A47" s="133" t="s">
        <v>11</v>
      </c>
      <c r="B47" s="1320"/>
      <c r="C47" s="1318"/>
    </row>
    <row r="48" spans="1:3" s="43" customFormat="1" ht="22.5" customHeight="1">
      <c r="A48" s="138" t="s">
        <v>33</v>
      </c>
      <c r="B48" s="1320"/>
      <c r="C48" s="1318"/>
    </row>
    <row r="49" spans="1:3" s="43" customFormat="1" ht="33" customHeight="1">
      <c r="A49" s="138" t="s">
        <v>35</v>
      </c>
      <c r="B49" s="1534" t="s">
        <v>1516</v>
      </c>
      <c r="C49" s="1535"/>
    </row>
    <row r="50" spans="1:3" s="43" customFormat="1" ht="24.75" customHeight="1">
      <c r="A50" s="133" t="s">
        <v>0</v>
      </c>
      <c r="B50" s="246"/>
      <c r="C50" s="292"/>
    </row>
    <row r="51" spans="1:3" s="43" customFormat="1" ht="24.75" customHeight="1">
      <c r="A51" s="138" t="s">
        <v>33</v>
      </c>
      <c r="B51" s="246"/>
      <c r="C51" s="292"/>
    </row>
    <row r="52" spans="1:3" s="243" customFormat="1" ht="36.75" customHeight="1" thickBot="1">
      <c r="A52" s="463" t="s">
        <v>36</v>
      </c>
      <c r="B52" s="1529" t="s">
        <v>1443</v>
      </c>
      <c r="C52" s="1530"/>
    </row>
    <row r="53" spans="1:3" s="43" customFormat="1" ht="99.6" hidden="1" customHeight="1">
      <c r="A53" s="138"/>
      <c r="B53" s="821"/>
      <c r="C53" s="822"/>
    </row>
    <row r="54" spans="1:3" s="243" customFormat="1" ht="114" hidden="1" customHeight="1">
      <c r="A54" s="138"/>
      <c r="B54" s="1526"/>
      <c r="C54" s="1388"/>
    </row>
    <row r="55" spans="1:3" s="243" customFormat="1" ht="76.900000000000006" hidden="1" customHeight="1">
      <c r="A55" s="138"/>
      <c r="B55" s="824"/>
      <c r="C55" s="820"/>
    </row>
    <row r="56" spans="1:3" s="243" customFormat="1" ht="30.6" hidden="1" customHeight="1">
      <c r="A56" s="138"/>
      <c r="B56" s="388"/>
      <c r="C56" s="819"/>
    </row>
    <row r="57" spans="1:3" s="243" customFormat="1" ht="31.35" hidden="1" customHeight="1" thickBot="1">
      <c r="A57" s="463"/>
      <c r="B57" s="451"/>
      <c r="C57" s="452"/>
    </row>
    <row r="58" spans="1:3" s="243" customFormat="1" ht="39" customHeight="1">
      <c r="A58" s="329"/>
      <c r="B58" s="247"/>
      <c r="C58" s="247"/>
    </row>
    <row r="59" spans="1:3" s="243" customFormat="1" ht="30" customHeight="1">
      <c r="A59" s="248"/>
      <c r="B59" s="247"/>
      <c r="C59" s="247"/>
    </row>
    <row r="60" spans="1:3" s="243" customFormat="1" ht="30" customHeight="1">
      <c r="A60" s="248"/>
      <c r="B60" s="247"/>
      <c r="C60" s="247"/>
    </row>
    <row r="61" spans="1:3" s="243" customFormat="1" ht="30" customHeight="1">
      <c r="A61" s="248"/>
      <c r="B61" s="247"/>
      <c r="C61" s="247"/>
    </row>
    <row r="62" spans="1:3" s="243" customFormat="1" ht="30" customHeight="1">
      <c r="A62" s="248"/>
      <c r="B62" s="247"/>
      <c r="C62" s="247"/>
    </row>
    <row r="63" spans="1:3" s="243" customFormat="1" ht="30" customHeight="1">
      <c r="A63" s="248"/>
      <c r="B63" s="247"/>
      <c r="C63" s="247"/>
    </row>
    <row r="64" spans="1:3" s="243" customFormat="1" ht="30" customHeight="1">
      <c r="A64" s="248"/>
      <c r="B64" s="247"/>
      <c r="C64" s="247"/>
    </row>
    <row r="65" spans="1:3" s="243" customFormat="1" ht="30" customHeight="1">
      <c r="A65" s="248"/>
      <c r="B65" s="247"/>
      <c r="C65" s="247"/>
    </row>
  </sheetData>
  <mergeCells count="19">
    <mergeCell ref="B22:C22"/>
    <mergeCell ref="B25:C25"/>
    <mergeCell ref="B28:C28"/>
    <mergeCell ref="B33:C33"/>
    <mergeCell ref="A1:C1"/>
    <mergeCell ref="A2:C2"/>
    <mergeCell ref="A3:C3"/>
    <mergeCell ref="A4:C4"/>
    <mergeCell ref="B17:C17"/>
    <mergeCell ref="B5:C5"/>
    <mergeCell ref="B11:C11"/>
    <mergeCell ref="B14:C14"/>
    <mergeCell ref="B7:C7"/>
    <mergeCell ref="B54:C54"/>
    <mergeCell ref="B44:C44"/>
    <mergeCell ref="B52:C52"/>
    <mergeCell ref="B41:C42"/>
    <mergeCell ref="B38:C38"/>
    <mergeCell ref="B49:C49"/>
  </mergeCells>
  <phoneticPr fontId="6" type="noConversion"/>
  <printOptions horizontalCentered="1"/>
  <pageMargins left="0.59055118110236227" right="0.59055118110236227" top="0.59055118110236227" bottom="0.78740157480314965" header="0.51181102362204722" footer="0.51181102362204722"/>
  <pageSetup paperSize="9" firstPageNumber="34" orientation="portrait" useFirstPageNumber="1" r:id="rId1"/>
  <headerFooter alignWithMargins="0">
    <oddFooter>&amp;C&amp;"Times New Roman,標準"&amp;P</oddFooter>
  </headerFooter>
  <rowBreaks count="2" manualBreakCount="2">
    <brk id="28" max="2" man="1"/>
    <brk id="52" max="2" man="1"/>
  </rowBreak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E54"/>
  <sheetViews>
    <sheetView view="pageBreakPreview" topLeftCell="A49" zoomScaleNormal="100" zoomScaleSheetLayoutView="100" workbookViewId="0">
      <selection activeCell="G28" sqref="G28"/>
    </sheetView>
  </sheetViews>
  <sheetFormatPr defaultColWidth="9" defaultRowHeight="15.75"/>
  <cols>
    <col min="1" max="2" width="18.875" style="2" customWidth="1"/>
    <col min="3" max="3" width="32.625" style="2" customWidth="1"/>
    <col min="4" max="4" width="19.75" style="2" customWidth="1"/>
    <col min="5" max="5" width="10.875" style="2" hidden="1" customWidth="1"/>
    <col min="6" max="16384" width="9" style="2"/>
  </cols>
  <sheetData>
    <row r="1" spans="1:5" s="6" customFormat="1" ht="21">
      <c r="A1" s="1369" t="s">
        <v>787</v>
      </c>
      <c r="B1" s="1369"/>
      <c r="C1" s="1369"/>
      <c r="D1" s="1369"/>
    </row>
    <row r="2" spans="1:5" s="6" customFormat="1" ht="21">
      <c r="A2" s="1369" t="s">
        <v>786</v>
      </c>
      <c r="B2" s="1369"/>
      <c r="C2" s="1369"/>
      <c r="D2" s="1369"/>
    </row>
    <row r="3" spans="1:5" s="6" customFormat="1" ht="24.95" customHeight="1">
      <c r="A3" s="1370" t="s">
        <v>1139</v>
      </c>
      <c r="B3" s="1371"/>
      <c r="C3" s="1371"/>
      <c r="D3" s="1371"/>
    </row>
    <row r="4" spans="1:5" s="6" customFormat="1" ht="24.95" customHeight="1" thickBot="1">
      <c r="A4" s="1441" t="s">
        <v>1286</v>
      </c>
      <c r="B4" s="1373"/>
      <c r="C4" s="1373"/>
      <c r="D4" s="1373"/>
    </row>
    <row r="5" spans="1:5" s="55" customFormat="1" ht="30" customHeight="1">
      <c r="A5" s="390" t="s">
        <v>74</v>
      </c>
      <c r="B5" s="391" t="s">
        <v>57</v>
      </c>
      <c r="C5" s="912" t="s">
        <v>6</v>
      </c>
      <c r="D5" s="1297" t="s">
        <v>1408</v>
      </c>
    </row>
    <row r="6" spans="1:5" s="55" customFormat="1" ht="8.25" customHeight="1">
      <c r="A6" s="7"/>
      <c r="B6" s="911"/>
      <c r="C6" s="913"/>
      <c r="D6" s="393"/>
    </row>
    <row r="7" spans="1:5" s="910" customFormat="1" ht="30" customHeight="1">
      <c r="A7" s="178">
        <f>A8+A13+A18+1</f>
        <v>3972891</v>
      </c>
      <c r="B7" s="78">
        <f>B8+B13+B18</f>
        <v>5228218</v>
      </c>
      <c r="C7" s="253" t="s">
        <v>785</v>
      </c>
      <c r="D7" s="179">
        <f>D8+D13+D18</f>
        <v>5959146</v>
      </c>
      <c r="E7" s="634">
        <f>+A8+A13+A18</f>
        <v>3972890</v>
      </c>
    </row>
    <row r="8" spans="1:5" s="910" customFormat="1" ht="30" customHeight="1">
      <c r="A8" s="178">
        <f t="shared" ref="A8:B10" si="0">A9</f>
        <v>3104765</v>
      </c>
      <c r="B8" s="78">
        <f t="shared" si="0"/>
        <v>4041431</v>
      </c>
      <c r="C8" s="254" t="s">
        <v>784</v>
      </c>
      <c r="D8" s="179">
        <f>D9</f>
        <v>4459467</v>
      </c>
      <c r="E8" s="634"/>
    </row>
    <row r="9" spans="1:5" s="182" customFormat="1" ht="30" customHeight="1">
      <c r="A9" s="178">
        <f t="shared" si="0"/>
        <v>3104765</v>
      </c>
      <c r="B9" s="27">
        <f t="shared" si="0"/>
        <v>4041431</v>
      </c>
      <c r="C9" s="254" t="s">
        <v>783</v>
      </c>
      <c r="D9" s="180">
        <f>D10</f>
        <v>4459467</v>
      </c>
      <c r="E9" s="634"/>
    </row>
    <row r="10" spans="1:5" s="910" customFormat="1" ht="30" customHeight="1">
      <c r="A10" s="186">
        <f t="shared" si="0"/>
        <v>3104765</v>
      </c>
      <c r="B10" s="31">
        <f t="shared" si="0"/>
        <v>4041431</v>
      </c>
      <c r="C10" s="255" t="s">
        <v>782</v>
      </c>
      <c r="D10" s="184">
        <f>D11</f>
        <v>4459467</v>
      </c>
      <c r="E10" s="634"/>
    </row>
    <row r="11" spans="1:5" s="910" customFormat="1" ht="30" customHeight="1">
      <c r="A11" s="186">
        <v>3104765</v>
      </c>
      <c r="B11" s="31">
        <f>4048216-6785</f>
        <v>4041431</v>
      </c>
      <c r="C11" s="255" t="s">
        <v>781</v>
      </c>
      <c r="D11" s="184">
        <v>4459467</v>
      </c>
      <c r="E11" s="634"/>
    </row>
    <row r="12" spans="1:5" s="910" customFormat="1" ht="26.45" customHeight="1">
      <c r="A12" s="187"/>
      <c r="B12" s="31"/>
      <c r="C12" s="255"/>
      <c r="D12" s="184"/>
      <c r="E12" s="634"/>
    </row>
    <row r="13" spans="1:5" s="910" customFormat="1" ht="30" customHeight="1">
      <c r="A13" s="178">
        <f t="shared" ref="A13:B15" si="1">A14</f>
        <v>26213</v>
      </c>
      <c r="B13" s="78">
        <f t="shared" si="1"/>
        <v>24265</v>
      </c>
      <c r="C13" s="254" t="s">
        <v>780</v>
      </c>
      <c r="D13" s="179">
        <f>D14</f>
        <v>101398</v>
      </c>
      <c r="E13" s="634"/>
    </row>
    <row r="14" spans="1:5" s="182" customFormat="1" ht="30" customHeight="1">
      <c r="A14" s="178">
        <f t="shared" si="1"/>
        <v>26213</v>
      </c>
      <c r="B14" s="27">
        <f t="shared" si="1"/>
        <v>24265</v>
      </c>
      <c r="C14" s="254" t="s">
        <v>779</v>
      </c>
      <c r="D14" s="180">
        <f>D15</f>
        <v>101398</v>
      </c>
      <c r="E14" s="634"/>
    </row>
    <row r="15" spans="1:5" s="910" customFormat="1" ht="30" customHeight="1">
      <c r="A15" s="183">
        <f t="shared" si="1"/>
        <v>26213</v>
      </c>
      <c r="B15" s="31">
        <f t="shared" si="1"/>
        <v>24265</v>
      </c>
      <c r="C15" s="255" t="s">
        <v>778</v>
      </c>
      <c r="D15" s="184">
        <f>D16</f>
        <v>101398</v>
      </c>
      <c r="E15" s="634"/>
    </row>
    <row r="16" spans="1:5" s="910" customFormat="1" ht="30" customHeight="1">
      <c r="A16" s="183">
        <v>26213</v>
      </c>
      <c r="B16" s="31">
        <f>23864+401</f>
        <v>24265</v>
      </c>
      <c r="C16" s="255" t="s">
        <v>777</v>
      </c>
      <c r="D16" s="184">
        <f>97145+4253</f>
        <v>101398</v>
      </c>
      <c r="E16" s="634"/>
    </row>
    <row r="17" spans="1:5" s="910" customFormat="1" ht="25.5" customHeight="1">
      <c r="A17" s="187"/>
      <c r="B17" s="31"/>
      <c r="C17" s="255"/>
      <c r="D17" s="171"/>
      <c r="E17" s="634"/>
    </row>
    <row r="18" spans="1:5" s="965" customFormat="1" ht="30" customHeight="1">
      <c r="A18" s="1020">
        <f>A19</f>
        <v>841912</v>
      </c>
      <c r="B18" s="142">
        <f>B19</f>
        <v>1162522</v>
      </c>
      <c r="C18" s="1018" t="s">
        <v>813</v>
      </c>
      <c r="D18" s="179">
        <f>D19</f>
        <v>1398281</v>
      </c>
    </row>
    <row r="19" spans="1:5" s="182" customFormat="1" ht="30" customHeight="1">
      <c r="A19" s="1020">
        <f>SUM(A20,A31,A35,A41,A43,A45)</f>
        <v>841912</v>
      </c>
      <c r="B19" s="142">
        <f>SUM(B20,B31,B35,B41,B43,B45)</f>
        <v>1162522</v>
      </c>
      <c r="C19" s="1018" t="s">
        <v>814</v>
      </c>
      <c r="D19" s="180">
        <f>SUM(D20,D31,D35,D41,D43,D45)</f>
        <v>1398281</v>
      </c>
    </row>
    <row r="20" spans="1:5" s="965" customFormat="1" ht="26.1" customHeight="1">
      <c r="A20" s="186">
        <f>SUM(A21:A30)+1</f>
        <v>563481</v>
      </c>
      <c r="B20" s="185">
        <f>SUM(B21:B30)</f>
        <v>486470</v>
      </c>
      <c r="C20" s="1017" t="s">
        <v>815</v>
      </c>
      <c r="D20" s="184">
        <f>SUM(D21:D30)</f>
        <v>530253</v>
      </c>
    </row>
    <row r="21" spans="1:5" s="965" customFormat="1" ht="26.1" customHeight="1">
      <c r="A21" s="186">
        <v>305</v>
      </c>
      <c r="B21" s="185">
        <v>763</v>
      </c>
      <c r="C21" s="1017" t="s">
        <v>816</v>
      </c>
      <c r="D21" s="201">
        <v>0</v>
      </c>
    </row>
    <row r="22" spans="1:5" s="965" customFormat="1" ht="26.1" customHeight="1">
      <c r="A22" s="186">
        <v>349</v>
      </c>
      <c r="B22" s="185">
        <v>409</v>
      </c>
      <c r="C22" s="1019" t="s">
        <v>817</v>
      </c>
      <c r="D22" s="201">
        <v>389</v>
      </c>
    </row>
    <row r="23" spans="1:5" s="965" customFormat="1" ht="27" customHeight="1">
      <c r="A23" s="186">
        <v>7082</v>
      </c>
      <c r="B23" s="185">
        <v>8465</v>
      </c>
      <c r="C23" s="1019" t="s">
        <v>818</v>
      </c>
      <c r="D23" s="201">
        <v>11523</v>
      </c>
    </row>
    <row r="24" spans="1:5" s="965" customFormat="1" ht="26.1" customHeight="1">
      <c r="A24" s="186">
        <v>809</v>
      </c>
      <c r="B24" s="185">
        <v>3393</v>
      </c>
      <c r="C24" s="1019" t="s">
        <v>1055</v>
      </c>
      <c r="D24" s="201">
        <f>5299-299</f>
        <v>5000</v>
      </c>
    </row>
    <row r="25" spans="1:5" s="1286" customFormat="1" ht="27" customHeight="1">
      <c r="A25" s="186">
        <v>415</v>
      </c>
      <c r="B25" s="185">
        <v>0</v>
      </c>
      <c r="C25" s="1019" t="s">
        <v>1403</v>
      </c>
      <c r="D25" s="201">
        <v>0</v>
      </c>
    </row>
    <row r="26" spans="1:5" s="965" customFormat="1" ht="26.1" customHeight="1">
      <c r="A26" s="186">
        <v>45</v>
      </c>
      <c r="B26" s="185">
        <v>194</v>
      </c>
      <c r="C26" s="1019" t="s">
        <v>819</v>
      </c>
      <c r="D26" s="201">
        <v>200</v>
      </c>
    </row>
    <row r="27" spans="1:5" s="965" customFormat="1" ht="26.1" customHeight="1">
      <c r="A27" s="186">
        <v>193294</v>
      </c>
      <c r="B27" s="185">
        <v>135671</v>
      </c>
      <c r="C27" s="1019" t="s">
        <v>820</v>
      </c>
      <c r="D27" s="201">
        <f>140706</f>
        <v>140706</v>
      </c>
    </row>
    <row r="28" spans="1:5" s="965" customFormat="1" ht="26.1" customHeight="1">
      <c r="A28" s="186">
        <f>11476+247530+93500</f>
        <v>352506</v>
      </c>
      <c r="B28" s="185">
        <v>323045</v>
      </c>
      <c r="C28" s="1019" t="s">
        <v>821</v>
      </c>
      <c r="D28" s="201">
        <f>41495+313500</f>
        <v>354995</v>
      </c>
    </row>
    <row r="29" spans="1:5" s="965" customFormat="1" ht="36.75" customHeight="1" thickBot="1">
      <c r="A29" s="188">
        <v>113</v>
      </c>
      <c r="B29" s="189">
        <v>5300</v>
      </c>
      <c r="C29" s="1189" t="s">
        <v>854</v>
      </c>
      <c r="D29" s="216">
        <f>8240-500</f>
        <v>7740</v>
      </c>
    </row>
    <row r="30" spans="1:5" s="965" customFormat="1" ht="26.1" customHeight="1">
      <c r="A30" s="186">
        <v>8562</v>
      </c>
      <c r="B30" s="185">
        <v>9230</v>
      </c>
      <c r="C30" s="1019" t="s">
        <v>1242</v>
      </c>
      <c r="D30" s="201">
        <v>9700</v>
      </c>
    </row>
    <row r="31" spans="1:5" s="965" customFormat="1" ht="26.1" customHeight="1">
      <c r="A31" s="186">
        <v>4244</v>
      </c>
      <c r="B31" s="185">
        <f>SUM(B32:B33)</f>
        <v>4643</v>
      </c>
      <c r="C31" s="1019" t="s">
        <v>822</v>
      </c>
      <c r="D31" s="201">
        <f>SUM(D32:D33)</f>
        <v>3309</v>
      </c>
    </row>
    <row r="32" spans="1:5" s="965" customFormat="1" ht="26.1" customHeight="1">
      <c r="A32" s="186">
        <v>445</v>
      </c>
      <c r="B32" s="185">
        <v>1734</v>
      </c>
      <c r="C32" s="1019" t="s">
        <v>823</v>
      </c>
      <c r="D32" s="201">
        <v>450</v>
      </c>
    </row>
    <row r="33" spans="1:4" s="965" customFormat="1" ht="26.1" customHeight="1">
      <c r="A33" s="186">
        <v>3784</v>
      </c>
      <c r="B33" s="185">
        <v>2909</v>
      </c>
      <c r="C33" s="1019" t="s">
        <v>824</v>
      </c>
      <c r="D33" s="201">
        <v>2859</v>
      </c>
    </row>
    <row r="34" spans="1:4" s="1286" customFormat="1" ht="26.1" customHeight="1">
      <c r="A34" s="186">
        <v>16</v>
      </c>
      <c r="B34" s="185">
        <v>0</v>
      </c>
      <c r="C34" s="1019" t="s">
        <v>1404</v>
      </c>
      <c r="D34" s="201">
        <v>0</v>
      </c>
    </row>
    <row r="35" spans="1:4" s="965" customFormat="1" ht="26.1" customHeight="1">
      <c r="A35" s="186">
        <v>2773</v>
      </c>
      <c r="B35" s="185">
        <f>SUM(B36:B40)</f>
        <v>3949</v>
      </c>
      <c r="C35" s="1017" t="s">
        <v>825</v>
      </c>
      <c r="D35" s="201">
        <f>SUM(D36:D40)</f>
        <v>7902</v>
      </c>
    </row>
    <row r="36" spans="1:4" s="965" customFormat="1" ht="26.1" customHeight="1">
      <c r="A36" s="186">
        <v>23</v>
      </c>
      <c r="B36" s="185">
        <v>977</v>
      </c>
      <c r="C36" s="1017" t="s">
        <v>826</v>
      </c>
      <c r="D36" s="201">
        <v>300</v>
      </c>
    </row>
    <row r="37" spans="1:4" s="965" customFormat="1" ht="26.1" customHeight="1">
      <c r="A37" s="186">
        <v>966</v>
      </c>
      <c r="B37" s="185">
        <v>742</v>
      </c>
      <c r="C37" s="1017" t="s">
        <v>827</v>
      </c>
      <c r="D37" s="201">
        <v>1952</v>
      </c>
    </row>
    <row r="38" spans="1:4" s="965" customFormat="1" ht="26.1" customHeight="1">
      <c r="A38" s="186">
        <v>199</v>
      </c>
      <c r="B38" s="185">
        <v>150</v>
      </c>
      <c r="C38" s="1017" t="s">
        <v>828</v>
      </c>
      <c r="D38" s="201">
        <v>950</v>
      </c>
    </row>
    <row r="39" spans="1:4" s="965" customFormat="1" ht="26.1" customHeight="1">
      <c r="A39" s="186">
        <v>1257</v>
      </c>
      <c r="B39" s="185">
        <v>1644</v>
      </c>
      <c r="C39" s="1017" t="s">
        <v>829</v>
      </c>
      <c r="D39" s="201">
        <v>4100</v>
      </c>
    </row>
    <row r="40" spans="1:4" ht="26.1" customHeight="1">
      <c r="A40" s="186">
        <v>328</v>
      </c>
      <c r="B40" s="185">
        <v>436</v>
      </c>
      <c r="C40" s="1017" t="s">
        <v>830</v>
      </c>
      <c r="D40" s="201">
        <v>600</v>
      </c>
    </row>
    <row r="41" spans="1:4" ht="26.1" customHeight="1">
      <c r="A41" s="186">
        <v>0</v>
      </c>
      <c r="B41" s="185">
        <v>0</v>
      </c>
      <c r="C41" s="1296" t="s">
        <v>1462</v>
      </c>
      <c r="D41" s="201">
        <f>D42</f>
        <v>4858</v>
      </c>
    </row>
    <row r="42" spans="1:4" ht="26.1" customHeight="1">
      <c r="A42" s="186">
        <v>0</v>
      </c>
      <c r="B42" s="185">
        <v>0</v>
      </c>
      <c r="C42" s="1296" t="s">
        <v>1463</v>
      </c>
      <c r="D42" s="201">
        <v>4858</v>
      </c>
    </row>
    <row r="43" spans="1:4" ht="26.1" customHeight="1">
      <c r="A43" s="186">
        <v>73</v>
      </c>
      <c r="B43" s="185">
        <v>0</v>
      </c>
      <c r="C43" s="1017" t="s">
        <v>1407</v>
      </c>
      <c r="D43" s="201">
        <f>D44</f>
        <v>0</v>
      </c>
    </row>
    <row r="44" spans="1:4" ht="26.1" customHeight="1">
      <c r="A44" s="186">
        <v>73</v>
      </c>
      <c r="B44" s="185">
        <v>0</v>
      </c>
      <c r="C44" s="1017" t="s">
        <v>1405</v>
      </c>
      <c r="D44" s="201">
        <v>0</v>
      </c>
    </row>
    <row r="45" spans="1:4" ht="40.35" customHeight="1">
      <c r="A45" s="186">
        <v>271341</v>
      </c>
      <c r="B45" s="185">
        <f>SUM(B46:B48)</f>
        <v>667460</v>
      </c>
      <c r="C45" s="1017" t="s">
        <v>831</v>
      </c>
      <c r="D45" s="201">
        <f>SUM(D46:D48)</f>
        <v>851959</v>
      </c>
    </row>
    <row r="46" spans="1:4" ht="26.45" customHeight="1">
      <c r="A46" s="186">
        <v>249644</v>
      </c>
      <c r="B46" s="185">
        <f>644460-5000-2000</f>
        <v>637460</v>
      </c>
      <c r="C46" s="1017" t="s">
        <v>832</v>
      </c>
      <c r="D46" s="201">
        <f>826959-5000</f>
        <v>821959</v>
      </c>
    </row>
    <row r="47" spans="1:4" ht="26.45" customHeight="1">
      <c r="A47" s="186">
        <v>1948</v>
      </c>
      <c r="B47" s="185">
        <v>0</v>
      </c>
      <c r="C47" s="1017" t="s">
        <v>1406</v>
      </c>
      <c r="D47" s="201">
        <v>0</v>
      </c>
    </row>
    <row r="48" spans="1:4" ht="33.6" customHeight="1">
      <c r="A48" s="186">
        <v>19750</v>
      </c>
      <c r="B48" s="185">
        <v>30000</v>
      </c>
      <c r="C48" s="1017" t="s">
        <v>833</v>
      </c>
      <c r="D48" s="201">
        <v>30000</v>
      </c>
    </row>
    <row r="49" spans="1:5" s="910" customFormat="1" ht="12.75" customHeight="1">
      <c r="A49" s="186"/>
      <c r="B49" s="256"/>
      <c r="C49" s="255"/>
      <c r="D49" s="174"/>
      <c r="E49" s="634"/>
    </row>
    <row r="50" spans="1:5" s="1172" customFormat="1" ht="28.5" customHeight="1">
      <c r="A50" s="186"/>
      <c r="B50" s="256"/>
      <c r="C50" s="255"/>
      <c r="D50" s="174"/>
      <c r="E50" s="634"/>
    </row>
    <row r="51" spans="1:5" s="910" customFormat="1" ht="75" hidden="1" customHeight="1">
      <c r="A51" s="186"/>
      <c r="B51" s="185"/>
      <c r="C51" s="255"/>
      <c r="D51" s="201"/>
      <c r="E51" s="634"/>
    </row>
    <row r="52" spans="1:5" ht="95.25" customHeight="1" thickBot="1">
      <c r="A52" s="188"/>
      <c r="B52" s="189"/>
      <c r="C52" s="444"/>
      <c r="D52" s="216"/>
      <c r="E52" s="634"/>
    </row>
    <row r="54" spans="1:5">
      <c r="C54" s="1090"/>
    </row>
  </sheetData>
  <mergeCells count="4">
    <mergeCell ref="A4:D4"/>
    <mergeCell ref="A3:D3"/>
    <mergeCell ref="A2:D2"/>
    <mergeCell ref="A1:D1"/>
  </mergeCells>
  <phoneticPr fontId="6" type="noConversion"/>
  <printOptions horizontalCentered="1"/>
  <pageMargins left="0.59055118110236227" right="0.59055118110236227" top="0.59055118110236227" bottom="0.78740157480314965" header="0.51181102362204722" footer="0.51181102362204722"/>
  <pageSetup paperSize="9" firstPageNumber="36" orientation="portrait" useFirstPageNumber="1" r:id="rId1"/>
  <headerFooter alignWithMargins="0">
    <oddFooter>&amp;C&amp;"Times New Roman,標準"&amp;P</oddFooter>
  </headerFooter>
  <legacy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H54"/>
  <sheetViews>
    <sheetView view="pageBreakPreview" zoomScaleNormal="100" zoomScaleSheetLayoutView="100" workbookViewId="0">
      <selection activeCell="G28" sqref="G28"/>
    </sheetView>
  </sheetViews>
  <sheetFormatPr defaultColWidth="9" defaultRowHeight="15.75"/>
  <cols>
    <col min="1" max="1" width="31" style="12" customWidth="1"/>
    <col min="2" max="2" width="59.25" style="12" customWidth="1"/>
    <col min="3" max="3" width="9" style="12"/>
    <col min="4" max="4" width="13.875" style="12" hidden="1" customWidth="1"/>
    <col min="5" max="5" width="11.75" style="12" hidden="1" customWidth="1"/>
    <col min="6" max="7" width="13.875" style="12" hidden="1" customWidth="1"/>
    <col min="8" max="8" width="0" style="12" hidden="1" customWidth="1"/>
    <col min="9" max="16384" width="9" style="12"/>
  </cols>
  <sheetData>
    <row r="1" spans="1:8" ht="21">
      <c r="A1" s="1369" t="s">
        <v>40</v>
      </c>
      <c r="B1" s="1369"/>
    </row>
    <row r="2" spans="1:8" ht="21">
      <c r="A2" s="1369" t="s">
        <v>41</v>
      </c>
      <c r="B2" s="1369"/>
    </row>
    <row r="3" spans="1:8" ht="24.75" customHeight="1">
      <c r="A3" s="1400" t="s">
        <v>1128</v>
      </c>
      <c r="B3" s="1401"/>
    </row>
    <row r="4" spans="1:8" ht="24.95" customHeight="1" thickBot="1">
      <c r="A4" s="1523" t="s">
        <v>1275</v>
      </c>
      <c r="B4" s="1524"/>
    </row>
    <row r="5" spans="1:8" s="16" customFormat="1" ht="30" customHeight="1">
      <c r="A5" s="18" t="s">
        <v>147</v>
      </c>
      <c r="B5" s="375" t="s">
        <v>76</v>
      </c>
    </row>
    <row r="6" spans="1:8" s="16" customFormat="1" ht="4.3499999999999996" customHeight="1">
      <c r="A6" s="445"/>
      <c r="B6" s="50"/>
    </row>
    <row r="7" spans="1:8" s="17" customFormat="1" ht="56.25" customHeight="1">
      <c r="A7" s="431" t="s">
        <v>417</v>
      </c>
      <c r="B7" s="1117" t="s">
        <v>1517</v>
      </c>
      <c r="C7" s="388"/>
      <c r="D7" s="1069">
        <f>4048216-6785</f>
        <v>4041431</v>
      </c>
      <c r="E7" s="1069">
        <f>23864+304500+401</f>
        <v>328765</v>
      </c>
      <c r="F7" s="1069">
        <v>860022</v>
      </c>
      <c r="G7" s="1069">
        <f>SUM(D7:F7)</f>
        <v>5230218</v>
      </c>
      <c r="H7" s="1069"/>
    </row>
    <row r="8" spans="1:8" s="17" customFormat="1" ht="22.15" customHeight="1">
      <c r="A8" s="433" t="s">
        <v>29</v>
      </c>
      <c r="B8" s="389"/>
    </row>
    <row r="9" spans="1:8" s="17" customFormat="1" ht="22.15" customHeight="1">
      <c r="A9" s="433" t="s">
        <v>418</v>
      </c>
      <c r="B9" s="389"/>
    </row>
    <row r="10" spans="1:8" s="17" customFormat="1" ht="22.15" customHeight="1">
      <c r="A10" s="434" t="s">
        <v>150</v>
      </c>
      <c r="B10" s="353"/>
    </row>
    <row r="11" spans="1:8" s="17" customFormat="1" ht="65.45" customHeight="1">
      <c r="A11" s="434" t="s">
        <v>167</v>
      </c>
      <c r="B11" s="1117" t="s">
        <v>1449</v>
      </c>
    </row>
    <row r="12" spans="1:8" s="17" customFormat="1" ht="11.1" customHeight="1">
      <c r="A12" s="434"/>
      <c r="B12" s="353"/>
    </row>
    <row r="13" spans="1:8" s="17" customFormat="1" ht="22.15" customHeight="1">
      <c r="A13" s="433" t="s">
        <v>592</v>
      </c>
      <c r="B13" s="389"/>
    </row>
    <row r="14" spans="1:8" s="17" customFormat="1" ht="22.15" customHeight="1">
      <c r="A14" s="433" t="s">
        <v>418</v>
      </c>
      <c r="B14" s="389"/>
    </row>
    <row r="15" spans="1:8" s="17" customFormat="1" ht="22.15" customHeight="1">
      <c r="A15" s="434" t="s">
        <v>148</v>
      </c>
      <c r="B15" s="353"/>
    </row>
    <row r="16" spans="1:8" s="39" customFormat="1" ht="65.45" customHeight="1">
      <c r="A16" s="434" t="s">
        <v>419</v>
      </c>
      <c r="B16" s="1545" t="s">
        <v>1518</v>
      </c>
    </row>
    <row r="17" spans="1:6" s="39" customFormat="1" ht="16.350000000000001" customHeight="1">
      <c r="A17" s="434"/>
      <c r="B17" s="1546"/>
    </row>
    <row r="18" spans="1:6" s="17" customFormat="1" ht="22.15" hidden="1" customHeight="1">
      <c r="A18" s="433" t="s">
        <v>19</v>
      </c>
      <c r="B18" s="389"/>
    </row>
    <row r="19" spans="1:6" s="17" customFormat="1" ht="22.15" hidden="1" customHeight="1">
      <c r="A19" s="433" t="s">
        <v>418</v>
      </c>
      <c r="B19" s="389"/>
    </row>
    <row r="20" spans="1:6" s="17" customFormat="1" ht="22.15" hidden="1" customHeight="1">
      <c r="A20" s="434" t="s">
        <v>407</v>
      </c>
      <c r="B20" s="353"/>
    </row>
    <row r="21" spans="1:6" s="17" customFormat="1" ht="66" hidden="1" customHeight="1">
      <c r="A21" s="1039" t="s">
        <v>151</v>
      </c>
      <c r="B21" s="1022" t="s">
        <v>1109</v>
      </c>
    </row>
    <row r="22" spans="1:6" s="17" customFormat="1" ht="6.6" customHeight="1">
      <c r="A22" s="1039"/>
      <c r="B22" s="1056"/>
    </row>
    <row r="23" spans="1:6" s="17" customFormat="1" ht="22.15" customHeight="1">
      <c r="A23" s="1038" t="s">
        <v>834</v>
      </c>
      <c r="B23" s="1057"/>
    </row>
    <row r="24" spans="1:6" s="17" customFormat="1" ht="68.45" customHeight="1">
      <c r="A24" s="1038" t="s">
        <v>835</v>
      </c>
      <c r="B24" s="1092" t="s">
        <v>1547</v>
      </c>
      <c r="D24" s="1069">
        <v>304500</v>
      </c>
      <c r="E24" s="1069">
        <v>865022</v>
      </c>
      <c r="F24" s="1070">
        <f>SUM(D24:E24)</f>
        <v>1169522</v>
      </c>
    </row>
    <row r="25" spans="1:6" s="17" customFormat="1" ht="22.35" customHeight="1">
      <c r="A25" s="1039" t="s">
        <v>836</v>
      </c>
      <c r="B25" s="954"/>
    </row>
    <row r="26" spans="1:6" s="17" customFormat="1" ht="22.15" hidden="1" customHeight="1">
      <c r="A26" s="1039" t="s">
        <v>837</v>
      </c>
      <c r="B26" s="1092" t="s">
        <v>1248</v>
      </c>
    </row>
    <row r="27" spans="1:6" s="17" customFormat="1" ht="22.15" customHeight="1">
      <c r="A27" s="1039" t="s">
        <v>838</v>
      </c>
      <c r="B27" s="1092" t="s">
        <v>1450</v>
      </c>
    </row>
    <row r="28" spans="1:6" s="17" customFormat="1" ht="39.950000000000003" customHeight="1">
      <c r="A28" s="1039" t="s">
        <v>839</v>
      </c>
      <c r="B28" s="1103" t="s">
        <v>1451</v>
      </c>
    </row>
    <row r="29" spans="1:6" s="17" customFormat="1" ht="38.450000000000003" customHeight="1">
      <c r="A29" s="1039" t="s">
        <v>1055</v>
      </c>
      <c r="B29" s="1023" t="s">
        <v>1513</v>
      </c>
    </row>
    <row r="30" spans="1:6" s="17" customFormat="1" ht="24" customHeight="1">
      <c r="A30" s="1039" t="s">
        <v>840</v>
      </c>
      <c r="B30" s="1103" t="s">
        <v>1452</v>
      </c>
    </row>
    <row r="31" spans="1:6" s="17" customFormat="1" ht="68.25" customHeight="1" thickBot="1">
      <c r="A31" s="436" t="s">
        <v>841</v>
      </c>
      <c r="B31" s="1067" t="s">
        <v>1515</v>
      </c>
    </row>
    <row r="32" spans="1:6" s="17" customFormat="1" ht="58.35" customHeight="1">
      <c r="A32" s="434" t="s">
        <v>842</v>
      </c>
      <c r="B32" s="1021" t="s">
        <v>1453</v>
      </c>
    </row>
    <row r="33" spans="1:2" s="17" customFormat="1" ht="90" customHeight="1">
      <c r="A33" s="434" t="s">
        <v>855</v>
      </c>
      <c r="B33" s="1185" t="s">
        <v>1553</v>
      </c>
    </row>
    <row r="34" spans="1:2" s="17" customFormat="1" ht="54.6" customHeight="1">
      <c r="A34" s="1190" t="s">
        <v>1242</v>
      </c>
      <c r="B34" s="1021" t="s">
        <v>1454</v>
      </c>
    </row>
    <row r="35" spans="1:2" s="966" customFormat="1" ht="26.45" customHeight="1">
      <c r="A35" s="434" t="s">
        <v>843</v>
      </c>
      <c r="B35" s="1021"/>
    </row>
    <row r="36" spans="1:2" ht="24" customHeight="1">
      <c r="A36" s="434" t="s">
        <v>844</v>
      </c>
      <c r="B36" s="1021" t="s">
        <v>1455</v>
      </c>
    </row>
    <row r="37" spans="1:2" ht="24" customHeight="1">
      <c r="A37" s="434" t="s">
        <v>845</v>
      </c>
      <c r="B37" s="1021" t="s">
        <v>1456</v>
      </c>
    </row>
    <row r="38" spans="1:2" ht="26.45" customHeight="1">
      <c r="A38" s="434" t="s">
        <v>825</v>
      </c>
      <c r="B38" s="1021"/>
    </row>
    <row r="39" spans="1:2" ht="24" customHeight="1">
      <c r="A39" s="434" t="s">
        <v>846</v>
      </c>
      <c r="B39" s="1023" t="s">
        <v>1457</v>
      </c>
    </row>
    <row r="40" spans="1:2" ht="24" customHeight="1">
      <c r="A40" s="434" t="s">
        <v>847</v>
      </c>
      <c r="B40" s="1021" t="s">
        <v>1458</v>
      </c>
    </row>
    <row r="41" spans="1:2" ht="24" customHeight="1">
      <c r="A41" s="434" t="s">
        <v>848</v>
      </c>
      <c r="B41" s="1021" t="s">
        <v>1459</v>
      </c>
    </row>
    <row r="42" spans="1:2" ht="24" customHeight="1">
      <c r="A42" s="434" t="s">
        <v>849</v>
      </c>
      <c r="B42" s="1021" t="s">
        <v>1460</v>
      </c>
    </row>
    <row r="43" spans="1:2" ht="24" customHeight="1">
      <c r="A43" s="434" t="s">
        <v>850</v>
      </c>
      <c r="B43" s="1021" t="s">
        <v>1461</v>
      </c>
    </row>
    <row r="44" spans="1:2" ht="24" customHeight="1">
      <c r="A44" s="1039" t="s">
        <v>1462</v>
      </c>
      <c r="B44" s="1211"/>
    </row>
    <row r="45" spans="1:2" ht="24" customHeight="1">
      <c r="A45" s="1039" t="s">
        <v>1464</v>
      </c>
      <c r="B45" s="1211" t="s">
        <v>1465</v>
      </c>
    </row>
    <row r="46" spans="1:2" ht="39.6" customHeight="1">
      <c r="A46" s="434" t="s">
        <v>851</v>
      </c>
      <c r="B46" s="1021"/>
    </row>
    <row r="47" spans="1:2" ht="74.099999999999994" customHeight="1">
      <c r="A47" s="434" t="s">
        <v>852</v>
      </c>
      <c r="B47" s="1021" t="s">
        <v>1514</v>
      </c>
    </row>
    <row r="48" spans="1:2" ht="34.15" customHeight="1">
      <c r="A48" s="138" t="s">
        <v>833</v>
      </c>
      <c r="B48" s="1024" t="s">
        <v>1030</v>
      </c>
    </row>
    <row r="49" spans="1:2" ht="17.100000000000001" hidden="1" customHeight="1">
      <c r="A49" s="138"/>
      <c r="B49" s="1101"/>
    </row>
    <row r="50" spans="1:2" ht="26.85" hidden="1" customHeight="1">
      <c r="A50" s="138"/>
      <c r="B50" s="1101"/>
    </row>
    <row r="51" spans="1:2" ht="12.75" customHeight="1">
      <c r="A51" s="138"/>
      <c r="B51" s="1101"/>
    </row>
    <row r="52" spans="1:2" ht="18.75" hidden="1" customHeight="1">
      <c r="A52" s="138"/>
      <c r="B52" s="1101"/>
    </row>
    <row r="53" spans="1:2" s="21" customFormat="1" ht="26.25" customHeight="1" thickBot="1">
      <c r="A53" s="446"/>
      <c r="B53" s="48"/>
    </row>
    <row r="54" spans="1:2" ht="30" customHeight="1"/>
  </sheetData>
  <mergeCells count="5">
    <mergeCell ref="A1:B1"/>
    <mergeCell ref="A2:B2"/>
    <mergeCell ref="A3:B3"/>
    <mergeCell ref="A4:B4"/>
    <mergeCell ref="B16:B17"/>
  </mergeCells>
  <phoneticPr fontId="6" type="noConversion"/>
  <printOptions horizontalCentered="1"/>
  <pageMargins left="0.59055118110236227" right="0.59055118110236227" top="0.59055118110236227" bottom="0.78740157480314965" header="0.51181102362204722" footer="0.51181102362204722"/>
  <pageSetup paperSize="9" firstPageNumber="38" orientation="portrait" useFirstPageNumber="1" r:id="rId1"/>
  <headerFooter alignWithMargins="0">
    <oddFooter>&amp;C&amp;"Times New Roman,標準"&amp;P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F47"/>
  <sheetViews>
    <sheetView view="pageBreakPreview" topLeftCell="A7" zoomScaleNormal="100" zoomScaleSheetLayoutView="100" workbookViewId="0">
      <selection activeCell="G28" sqref="G28"/>
    </sheetView>
  </sheetViews>
  <sheetFormatPr defaultColWidth="9" defaultRowHeight="15.75"/>
  <cols>
    <col min="1" max="2" width="19" style="2" customWidth="1"/>
    <col min="3" max="3" width="32.75" style="2" bestFit="1" customWidth="1"/>
    <col min="4" max="4" width="19.5" style="2" customWidth="1"/>
    <col min="5" max="16384" width="9" style="2"/>
  </cols>
  <sheetData>
    <row r="1" spans="1:6" s="6" customFormat="1" ht="21">
      <c r="A1" s="1369" t="s">
        <v>40</v>
      </c>
      <c r="B1" s="1369"/>
      <c r="C1" s="1369"/>
      <c r="D1" s="1369"/>
      <c r="E1" s="1"/>
      <c r="F1" s="1"/>
    </row>
    <row r="2" spans="1:6" s="6" customFormat="1" ht="21">
      <c r="A2" s="1525" t="s">
        <v>41</v>
      </c>
      <c r="B2" s="1369"/>
      <c r="C2" s="1369"/>
      <c r="D2" s="1369"/>
      <c r="E2" s="1"/>
      <c r="F2" s="1"/>
    </row>
    <row r="3" spans="1:6" s="6" customFormat="1" ht="24.95" customHeight="1">
      <c r="A3" s="1370" t="s">
        <v>1122</v>
      </c>
      <c r="B3" s="1371"/>
      <c r="C3" s="1371"/>
      <c r="D3" s="1371"/>
      <c r="E3" s="3"/>
      <c r="F3" s="3"/>
    </row>
    <row r="4" spans="1:6" s="6" customFormat="1" ht="24.95" customHeight="1" thickBot="1">
      <c r="A4" s="1441" t="s">
        <v>1287</v>
      </c>
      <c r="B4" s="1373"/>
      <c r="C4" s="1373"/>
      <c r="D4" s="1373"/>
      <c r="E4" s="4"/>
      <c r="F4" s="4"/>
    </row>
    <row r="5" spans="1:6" s="55" customFormat="1" ht="30" customHeight="1">
      <c r="A5" s="390" t="s">
        <v>74</v>
      </c>
      <c r="B5" s="391" t="s">
        <v>57</v>
      </c>
      <c r="C5" s="51" t="s">
        <v>6</v>
      </c>
      <c r="D5" s="392" t="s">
        <v>58</v>
      </c>
      <c r="E5" s="97"/>
      <c r="F5" s="371"/>
    </row>
    <row r="6" spans="1:6" s="55" customFormat="1" ht="8.25" customHeight="1">
      <c r="A6" s="7"/>
      <c r="B6" s="373"/>
      <c r="C6" s="73"/>
      <c r="D6" s="393"/>
      <c r="E6" s="371"/>
      <c r="F6" s="371"/>
    </row>
    <row r="7" spans="1:6" s="9" customFormat="1" ht="30" customHeight="1">
      <c r="A7" s="178">
        <v>723</v>
      </c>
      <c r="B7" s="78">
        <f>B8+B14+B20</f>
        <v>155</v>
      </c>
      <c r="C7" s="253" t="s">
        <v>26</v>
      </c>
      <c r="D7" s="179">
        <f>D8+D14+D20</f>
        <v>2034</v>
      </c>
      <c r="E7" s="634"/>
    </row>
    <row r="8" spans="1:6" s="182" customFormat="1" ht="30" customHeight="1">
      <c r="A8" s="178">
        <v>645</v>
      </c>
      <c r="B8" s="27">
        <f>B9</f>
        <v>144</v>
      </c>
      <c r="C8" s="254" t="s">
        <v>130</v>
      </c>
      <c r="D8" s="180">
        <f>D9</f>
        <v>2023</v>
      </c>
      <c r="E8" s="181"/>
      <c r="F8" s="181"/>
    </row>
    <row r="9" spans="1:6" s="182" customFormat="1" ht="30" customHeight="1">
      <c r="A9" s="178">
        <v>645</v>
      </c>
      <c r="B9" s="27">
        <f>B10</f>
        <v>144</v>
      </c>
      <c r="C9" s="254" t="s">
        <v>152</v>
      </c>
      <c r="D9" s="180">
        <f>D10</f>
        <v>2023</v>
      </c>
      <c r="E9" s="181"/>
      <c r="F9" s="181"/>
    </row>
    <row r="10" spans="1:6" s="30" customFormat="1" ht="30" customHeight="1">
      <c r="A10" s="178">
        <v>645</v>
      </c>
      <c r="B10" s="27">
        <f>B11</f>
        <v>144</v>
      </c>
      <c r="C10" s="254" t="s">
        <v>153</v>
      </c>
      <c r="D10" s="180">
        <f>D11</f>
        <v>2023</v>
      </c>
    </row>
    <row r="11" spans="1:6" s="9" customFormat="1" ht="30" customHeight="1">
      <c r="A11" s="183">
        <v>645</v>
      </c>
      <c r="B11" s="31">
        <f>B12</f>
        <v>144</v>
      </c>
      <c r="C11" s="255" t="s">
        <v>420</v>
      </c>
      <c r="D11" s="184">
        <f>D12</f>
        <v>2023</v>
      </c>
    </row>
    <row r="12" spans="1:6" s="9" customFormat="1" ht="30" customHeight="1">
      <c r="A12" s="183">
        <v>645</v>
      </c>
      <c r="B12" s="31">
        <v>144</v>
      </c>
      <c r="C12" s="255" t="s">
        <v>172</v>
      </c>
      <c r="D12" s="184">
        <v>2023</v>
      </c>
    </row>
    <row r="13" spans="1:6" s="9" customFormat="1" ht="26.45" customHeight="1">
      <c r="A13" s="187"/>
      <c r="B13" s="31"/>
      <c r="C13" s="255"/>
      <c r="D13" s="184"/>
    </row>
    <row r="14" spans="1:6" s="182" customFormat="1" ht="30" customHeight="1">
      <c r="A14" s="178">
        <v>58</v>
      </c>
      <c r="B14" s="142">
        <f>B15</f>
        <v>11</v>
      </c>
      <c r="C14" s="254" t="s">
        <v>133</v>
      </c>
      <c r="D14" s="638">
        <f>D15</f>
        <v>11</v>
      </c>
      <c r="E14" s="181"/>
      <c r="F14" s="181"/>
    </row>
    <row r="15" spans="1:6" s="182" customFormat="1" ht="30" customHeight="1">
      <c r="A15" s="178">
        <v>58</v>
      </c>
      <c r="B15" s="142">
        <f>B16</f>
        <v>11</v>
      </c>
      <c r="C15" s="254" t="s">
        <v>152</v>
      </c>
      <c r="D15" s="638">
        <f>D16</f>
        <v>11</v>
      </c>
      <c r="E15" s="181"/>
      <c r="F15" s="181"/>
    </row>
    <row r="16" spans="1:6" s="30" customFormat="1" ht="30" customHeight="1">
      <c r="A16" s="178">
        <v>58</v>
      </c>
      <c r="B16" s="142">
        <f>B17</f>
        <v>11</v>
      </c>
      <c r="C16" s="254" t="s">
        <v>153</v>
      </c>
      <c r="D16" s="638">
        <f>D17</f>
        <v>11</v>
      </c>
    </row>
    <row r="17" spans="1:6" s="9" customFormat="1" ht="30" customHeight="1">
      <c r="A17" s="183">
        <v>58</v>
      </c>
      <c r="B17" s="185">
        <f>B18</f>
        <v>11</v>
      </c>
      <c r="C17" s="255" t="s">
        <v>421</v>
      </c>
      <c r="D17" s="201">
        <f>D18</f>
        <v>11</v>
      </c>
    </row>
    <row r="18" spans="1:6" s="9" customFormat="1" ht="30" customHeight="1">
      <c r="A18" s="183">
        <v>58</v>
      </c>
      <c r="B18" s="185">
        <v>11</v>
      </c>
      <c r="C18" s="255" t="s">
        <v>422</v>
      </c>
      <c r="D18" s="201">
        <v>11</v>
      </c>
    </row>
    <row r="19" spans="1:6" s="9" customFormat="1" ht="33.6" customHeight="1">
      <c r="A19" s="183"/>
      <c r="B19" s="31"/>
      <c r="C19" s="255"/>
      <c r="D19" s="184"/>
    </row>
    <row r="20" spans="1:6" s="182" customFormat="1" ht="30" customHeight="1">
      <c r="A20" s="178">
        <v>19</v>
      </c>
      <c r="B20" s="142">
        <f>B21</f>
        <v>0</v>
      </c>
      <c r="C20" s="254" t="s">
        <v>795</v>
      </c>
      <c r="D20" s="638">
        <f>D21</f>
        <v>0</v>
      </c>
      <c r="E20" s="181"/>
      <c r="F20" s="181"/>
    </row>
    <row r="21" spans="1:6" s="182" customFormat="1" ht="30" customHeight="1">
      <c r="A21" s="178">
        <v>19</v>
      </c>
      <c r="B21" s="142">
        <f>B22</f>
        <v>0</v>
      </c>
      <c r="C21" s="254" t="s">
        <v>152</v>
      </c>
      <c r="D21" s="638">
        <f>D22</f>
        <v>0</v>
      </c>
      <c r="E21" s="181"/>
      <c r="F21" s="181"/>
    </row>
    <row r="22" spans="1:6" s="182" customFormat="1" ht="30" customHeight="1">
      <c r="A22" s="178">
        <v>19</v>
      </c>
      <c r="B22" s="142">
        <f>B23</f>
        <v>0</v>
      </c>
      <c r="C22" s="254" t="s">
        <v>153</v>
      </c>
      <c r="D22" s="638">
        <f>D23</f>
        <v>0</v>
      </c>
      <c r="E22" s="181"/>
      <c r="F22" s="181"/>
    </row>
    <row r="23" spans="1:6" s="30" customFormat="1" ht="29.45" customHeight="1">
      <c r="A23" s="183">
        <v>19</v>
      </c>
      <c r="B23" s="185">
        <f>B24</f>
        <v>0</v>
      </c>
      <c r="C23" s="255" t="s">
        <v>421</v>
      </c>
      <c r="D23" s="201">
        <f>D24</f>
        <v>0</v>
      </c>
    </row>
    <row r="24" spans="1:6" s="790" customFormat="1" ht="31.7" customHeight="1">
      <c r="A24" s="183">
        <v>19</v>
      </c>
      <c r="B24" s="185">
        <v>0</v>
      </c>
      <c r="C24" s="255" t="s">
        <v>172</v>
      </c>
      <c r="D24" s="201">
        <v>0</v>
      </c>
    </row>
    <row r="25" spans="1:6" s="790" customFormat="1" ht="38.65" customHeight="1">
      <c r="A25" s="183"/>
      <c r="B25" s="142"/>
      <c r="C25" s="255"/>
      <c r="D25" s="638"/>
    </row>
    <row r="26" spans="1:6" s="1194" customFormat="1" ht="46.5" customHeight="1">
      <c r="A26" s="183"/>
      <c r="B26" s="142"/>
      <c r="C26" s="255"/>
      <c r="D26" s="638"/>
    </row>
    <row r="27" spans="1:6" s="790" customFormat="1" ht="28.15" customHeight="1" thickBot="1">
      <c r="A27" s="825"/>
      <c r="B27" s="826"/>
      <c r="C27" s="286"/>
      <c r="D27" s="827"/>
    </row>
    <row r="28" spans="1:6" s="9" customFormat="1"/>
    <row r="29" spans="1:6" s="9" customFormat="1"/>
    <row r="30" spans="1:6" s="9" customFormat="1"/>
    <row r="31" spans="1:6" s="9" customFormat="1"/>
    <row r="32" spans="1:6" s="9" customFormat="1"/>
    <row r="33" s="9" customFormat="1"/>
    <row r="34" s="9" customFormat="1"/>
    <row r="35" s="9" customFormat="1"/>
    <row r="36" s="9" customFormat="1"/>
    <row r="37" s="9" customFormat="1"/>
    <row r="38" s="9" customFormat="1"/>
    <row r="39" s="9" customFormat="1"/>
    <row r="40" s="9" customFormat="1"/>
    <row r="41" s="9" customFormat="1"/>
    <row r="42" s="9" customFormat="1"/>
    <row r="43" s="9" customFormat="1"/>
    <row r="44" s="9" customFormat="1"/>
    <row r="45" s="9" customFormat="1"/>
    <row r="46" s="9" customFormat="1"/>
    <row r="47" s="9" customFormat="1"/>
  </sheetData>
  <mergeCells count="4">
    <mergeCell ref="A4:D4"/>
    <mergeCell ref="A3:D3"/>
    <mergeCell ref="A2:D2"/>
    <mergeCell ref="A1:D1"/>
  </mergeCells>
  <phoneticPr fontId="6" type="noConversion"/>
  <printOptions horizontalCentered="1"/>
  <pageMargins left="0.59055118110236227" right="0.59055118110236227" top="0.59055118110236227" bottom="0.78740157480314965" header="0.51181102362204722" footer="0.51181102362204722"/>
  <pageSetup paperSize="9" firstPageNumber="40" orientation="portrait" useFirstPageNumber="1" r:id="rId1"/>
  <headerFooter alignWithMargins="0">
    <oddFooter>&amp;C&amp;"Times New Roman,標準"&amp;P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G30"/>
  <sheetViews>
    <sheetView view="pageBreakPreview" zoomScaleNormal="100" zoomScaleSheetLayoutView="100" workbookViewId="0">
      <selection activeCell="N13" sqref="N13"/>
    </sheetView>
  </sheetViews>
  <sheetFormatPr defaultColWidth="9" defaultRowHeight="15.75"/>
  <cols>
    <col min="1" max="1" width="30.5" style="12" customWidth="1"/>
    <col min="2" max="2" width="5.5" style="12" bestFit="1" customWidth="1"/>
    <col min="3" max="3" width="54.25" style="12" customWidth="1"/>
    <col min="4" max="6" width="9" style="12"/>
    <col min="7" max="7" width="0" style="12" hidden="1" customWidth="1"/>
    <col min="8" max="16384" width="9" style="12"/>
  </cols>
  <sheetData>
    <row r="1" spans="1:7" ht="21" customHeight="1">
      <c r="A1" s="1369" t="s">
        <v>40</v>
      </c>
      <c r="B1" s="1369"/>
      <c r="C1" s="1369"/>
    </row>
    <row r="2" spans="1:7" ht="21" customHeight="1">
      <c r="A2" s="1369" t="s">
        <v>41</v>
      </c>
      <c r="B2" s="1369"/>
      <c r="C2" s="1369"/>
    </row>
    <row r="3" spans="1:7" ht="24.95" customHeight="1">
      <c r="A3" s="1400" t="s">
        <v>1129</v>
      </c>
      <c r="B3" s="1401"/>
      <c r="C3" s="1401"/>
    </row>
    <row r="4" spans="1:7" ht="24.95" customHeight="1" thickBot="1">
      <c r="A4" s="1523" t="s">
        <v>1275</v>
      </c>
      <c r="B4" s="1524"/>
      <c r="C4" s="1524"/>
    </row>
    <row r="5" spans="1:7" s="16" customFormat="1" ht="30" customHeight="1">
      <c r="A5" s="18" t="s">
        <v>147</v>
      </c>
      <c r="B5" s="1549" t="s">
        <v>76</v>
      </c>
      <c r="C5" s="1542"/>
    </row>
    <row r="6" spans="1:7" s="16" customFormat="1" ht="8.25" customHeight="1">
      <c r="A6" s="445"/>
      <c r="B6" s="52"/>
      <c r="C6" s="53"/>
    </row>
    <row r="7" spans="1:7" s="17" customFormat="1" ht="30" customHeight="1">
      <c r="A7" s="46" t="s">
        <v>26</v>
      </c>
      <c r="B7" s="1547" t="s">
        <v>71</v>
      </c>
      <c r="C7" s="1465"/>
    </row>
    <row r="8" spans="1:7" s="17" customFormat="1" ht="30" customHeight="1">
      <c r="A8" s="447" t="s">
        <v>130</v>
      </c>
      <c r="B8" s="1547"/>
      <c r="C8" s="1465"/>
    </row>
    <row r="9" spans="1:7" s="17" customFormat="1" ht="30" customHeight="1">
      <c r="A9" s="46" t="s">
        <v>152</v>
      </c>
      <c r="B9" s="54"/>
      <c r="C9" s="47"/>
    </row>
    <row r="10" spans="1:7" s="17" customFormat="1" ht="30" customHeight="1">
      <c r="A10" s="447" t="s">
        <v>153</v>
      </c>
      <c r="B10" s="1547"/>
      <c r="C10" s="1465"/>
    </row>
    <row r="11" spans="1:7" s="17" customFormat="1" ht="30" customHeight="1">
      <c r="A11" s="99" t="s">
        <v>420</v>
      </c>
      <c r="B11" s="667"/>
      <c r="C11" s="666"/>
    </row>
    <row r="12" spans="1:7" s="17" customFormat="1" ht="75.599999999999994" customHeight="1">
      <c r="A12" s="434" t="s">
        <v>423</v>
      </c>
      <c r="B12" s="1548" t="s">
        <v>1466</v>
      </c>
      <c r="C12" s="1465"/>
      <c r="G12" s="867" t="s">
        <v>672</v>
      </c>
    </row>
    <row r="13" spans="1:7" s="17" customFormat="1" ht="30" customHeight="1">
      <c r="A13" s="447" t="s">
        <v>488</v>
      </c>
      <c r="B13" s="1547"/>
      <c r="C13" s="1465"/>
    </row>
    <row r="14" spans="1:7" s="17" customFormat="1" ht="30" customHeight="1">
      <c r="A14" s="46" t="s">
        <v>152</v>
      </c>
      <c r="B14" s="54"/>
      <c r="C14" s="47"/>
    </row>
    <row r="15" spans="1:7" s="17" customFormat="1" ht="30" customHeight="1">
      <c r="A15" s="447" t="s">
        <v>153</v>
      </c>
      <c r="B15" s="1547"/>
      <c r="C15" s="1465"/>
    </row>
    <row r="16" spans="1:7" s="17" customFormat="1" ht="30" customHeight="1">
      <c r="A16" s="99" t="s">
        <v>420</v>
      </c>
      <c r="B16" s="716"/>
      <c r="C16" s="714"/>
    </row>
    <row r="17" spans="1:3" s="17" customFormat="1" ht="54.6" customHeight="1">
      <c r="A17" s="434" t="s">
        <v>423</v>
      </c>
      <c r="B17" s="1547" t="s">
        <v>591</v>
      </c>
      <c r="C17" s="1465"/>
    </row>
    <row r="18" spans="1:3" s="17" customFormat="1" ht="33" customHeight="1">
      <c r="A18" s="434"/>
      <c r="B18" s="667"/>
      <c r="C18" s="666"/>
    </row>
    <row r="19" spans="1:3" s="17" customFormat="1" ht="30" hidden="1" customHeight="1">
      <c r="A19" s="447" t="s">
        <v>133</v>
      </c>
      <c r="B19" s="1547"/>
      <c r="C19" s="1465"/>
    </row>
    <row r="20" spans="1:3" s="17" customFormat="1" ht="30" hidden="1" customHeight="1">
      <c r="A20" s="46" t="s">
        <v>152</v>
      </c>
      <c r="B20" s="54"/>
      <c r="C20" s="47"/>
    </row>
    <row r="21" spans="1:3" s="17" customFormat="1" ht="30" hidden="1" customHeight="1">
      <c r="A21" s="447" t="s">
        <v>153</v>
      </c>
      <c r="B21" s="1547"/>
      <c r="C21" s="1465"/>
    </row>
    <row r="22" spans="1:3" s="17" customFormat="1" ht="30" hidden="1" customHeight="1">
      <c r="A22" s="99" t="s">
        <v>420</v>
      </c>
      <c r="B22" s="667"/>
      <c r="C22" s="666"/>
    </row>
    <row r="23" spans="1:3" s="17" customFormat="1" ht="38.25" hidden="1" customHeight="1">
      <c r="A23" s="434" t="s">
        <v>423</v>
      </c>
      <c r="B23" s="1547" t="s">
        <v>341</v>
      </c>
      <c r="C23" s="1465"/>
    </row>
    <row r="24" spans="1:3" s="17" customFormat="1" ht="38.25" customHeight="1">
      <c r="A24" s="434"/>
      <c r="B24" s="667"/>
      <c r="C24" s="666"/>
    </row>
    <row r="25" spans="1:3" s="17" customFormat="1" ht="9.6" customHeight="1">
      <c r="A25" s="434"/>
      <c r="B25" s="667"/>
      <c r="C25" s="666"/>
    </row>
    <row r="26" spans="1:3" s="17" customFormat="1" ht="25.15" customHeight="1">
      <c r="A26" s="434"/>
      <c r="B26" s="667"/>
      <c r="C26" s="666"/>
    </row>
    <row r="27" spans="1:3" s="17" customFormat="1" ht="2.4500000000000002" customHeight="1">
      <c r="A27" s="434"/>
      <c r="B27" s="667"/>
      <c r="C27" s="666"/>
    </row>
    <row r="28" spans="1:3" s="17" customFormat="1" ht="27.95" customHeight="1">
      <c r="A28" s="434"/>
      <c r="B28" s="667"/>
      <c r="C28" s="666"/>
    </row>
    <row r="29" spans="1:3" s="17" customFormat="1" ht="60.75" customHeight="1">
      <c r="A29" s="434"/>
      <c r="B29" s="667"/>
      <c r="C29" s="666"/>
    </row>
    <row r="30" spans="1:3" s="21" customFormat="1" ht="56.25" customHeight="1" thickBot="1">
      <c r="A30" s="446"/>
      <c r="B30" s="190"/>
      <c r="C30" s="191"/>
    </row>
  </sheetData>
  <mergeCells count="15">
    <mergeCell ref="B5:C5"/>
    <mergeCell ref="B10:C10"/>
    <mergeCell ref="A1:C1"/>
    <mergeCell ref="A2:C2"/>
    <mergeCell ref="A3:C3"/>
    <mergeCell ref="A4:C4"/>
    <mergeCell ref="B7:C7"/>
    <mergeCell ref="B23:C23"/>
    <mergeCell ref="B8:C8"/>
    <mergeCell ref="B19:C19"/>
    <mergeCell ref="B21:C21"/>
    <mergeCell ref="B12:C12"/>
    <mergeCell ref="B13:C13"/>
    <mergeCell ref="B15:C15"/>
    <mergeCell ref="B17:C17"/>
  </mergeCells>
  <phoneticPr fontId="6" type="noConversion"/>
  <printOptions horizontalCentered="1"/>
  <pageMargins left="0.59055118110236227" right="0.59055118110236227" top="0.59055118110236227" bottom="0.78740157480314965" header="0.51181102362204722" footer="0.51181102362204722"/>
  <pageSetup paperSize="9" firstPageNumber="41" orientation="portrait" useFirstPageNumber="1" r:id="rId1"/>
  <headerFooter alignWithMargins="0">
    <oddFooter>&amp;C&amp;"Times New Roman,標準"&amp;P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L18"/>
  <sheetViews>
    <sheetView view="pageBreakPreview" zoomScaleNormal="100" zoomScaleSheetLayoutView="100" workbookViewId="0">
      <selection activeCell="G28" sqref="G28"/>
    </sheetView>
  </sheetViews>
  <sheetFormatPr defaultColWidth="8.875" defaultRowHeight="16.5"/>
  <cols>
    <col min="1" max="1" width="12.625" style="794" customWidth="1"/>
    <col min="2" max="4" width="5.375" style="794" customWidth="1"/>
    <col min="5" max="5" width="6.75" style="794" customWidth="1"/>
    <col min="6" max="7" width="5.75" style="794" customWidth="1"/>
    <col min="8" max="8" width="6.75" style="794" customWidth="1"/>
    <col min="9" max="9" width="5.75" style="794" customWidth="1"/>
    <col min="10" max="10" width="11.5" style="806" customWidth="1"/>
    <col min="11" max="11" width="5.875" style="794" customWidth="1"/>
    <col min="12" max="12" width="12.75" style="806" customWidth="1"/>
    <col min="13" max="16384" width="8.875" style="794"/>
  </cols>
  <sheetData>
    <row r="1" spans="1:12" s="2" customFormat="1" ht="20.25">
      <c r="A1" s="1550" t="s">
        <v>40</v>
      </c>
      <c r="B1" s="1550"/>
      <c r="C1" s="1550"/>
      <c r="D1" s="1551"/>
      <c r="E1" s="1551"/>
      <c r="F1" s="1551"/>
      <c r="G1" s="1551"/>
      <c r="H1" s="1551"/>
      <c r="I1" s="1551"/>
      <c r="J1" s="1551"/>
      <c r="K1" s="1551"/>
      <c r="L1" s="1551"/>
    </row>
    <row r="2" spans="1:12" s="2" customFormat="1" ht="20.25">
      <c r="A2" s="1550" t="s">
        <v>41</v>
      </c>
      <c r="B2" s="1550"/>
      <c r="C2" s="1550"/>
      <c r="D2" s="1551"/>
      <c r="E2" s="1551"/>
      <c r="F2" s="1551"/>
      <c r="G2" s="1551"/>
      <c r="H2" s="1551"/>
      <c r="I2" s="1551"/>
      <c r="J2" s="1551"/>
      <c r="K2" s="1551"/>
      <c r="L2" s="1551"/>
    </row>
    <row r="3" spans="1:12" s="2" customFormat="1" ht="24.75" customHeight="1">
      <c r="A3" s="1552" t="s">
        <v>589</v>
      </c>
      <c r="B3" s="1553"/>
      <c r="C3" s="1553"/>
      <c r="D3" s="1554"/>
      <c r="E3" s="1554"/>
      <c r="F3" s="1554"/>
      <c r="G3" s="1554"/>
      <c r="H3" s="1554"/>
      <c r="I3" s="1554"/>
      <c r="J3" s="1554"/>
      <c r="K3" s="1554"/>
      <c r="L3" s="1554"/>
    </row>
    <row r="4" spans="1:12" s="738" customFormat="1" ht="24.75" customHeight="1" thickBot="1">
      <c r="A4" s="1555" t="s">
        <v>1288</v>
      </c>
      <c r="B4" s="1555"/>
      <c r="C4" s="1555"/>
      <c r="D4" s="1555"/>
      <c r="E4" s="1555"/>
      <c r="F4" s="1555"/>
      <c r="G4" s="1555"/>
      <c r="H4" s="1555"/>
      <c r="I4" s="1555"/>
      <c r="J4" s="1555"/>
      <c r="K4" s="1556"/>
      <c r="L4" s="1556"/>
    </row>
    <row r="5" spans="1:12" ht="54" customHeight="1">
      <c r="A5" s="1557" t="s">
        <v>577</v>
      </c>
      <c r="B5" s="1559" t="s">
        <v>569</v>
      </c>
      <c r="C5" s="1559"/>
      <c r="D5" s="1559"/>
      <c r="E5" s="1559"/>
      <c r="F5" s="1559"/>
      <c r="G5" s="1559"/>
      <c r="H5" s="1559"/>
      <c r="I5" s="1559"/>
      <c r="J5" s="1560" t="s">
        <v>570</v>
      </c>
      <c r="K5" s="1562" t="s">
        <v>558</v>
      </c>
      <c r="L5" s="1563" t="s">
        <v>671</v>
      </c>
    </row>
    <row r="6" spans="1:12" ht="50.45" customHeight="1">
      <c r="A6" s="1558"/>
      <c r="B6" s="832" t="s">
        <v>578</v>
      </c>
      <c r="C6" s="833" t="s">
        <v>559</v>
      </c>
      <c r="D6" s="833" t="s">
        <v>560</v>
      </c>
      <c r="E6" s="834" t="s">
        <v>579</v>
      </c>
      <c r="F6" s="833" t="s">
        <v>561</v>
      </c>
      <c r="G6" s="833" t="s">
        <v>562</v>
      </c>
      <c r="H6" s="833" t="s">
        <v>563</v>
      </c>
      <c r="I6" s="833" t="s">
        <v>580</v>
      </c>
      <c r="J6" s="1561"/>
      <c r="K6" s="1561"/>
      <c r="L6" s="1564"/>
    </row>
    <row r="7" spans="1:12" s="796" customFormat="1" ht="49.9" customHeight="1">
      <c r="A7" s="829" t="s">
        <v>571</v>
      </c>
      <c r="B7" s="795">
        <v>0</v>
      </c>
      <c r="C7" s="795">
        <v>0</v>
      </c>
      <c r="D7" s="795">
        <v>0</v>
      </c>
      <c r="E7" s="795">
        <v>0</v>
      </c>
      <c r="F7" s="795">
        <v>0</v>
      </c>
      <c r="G7" s="795">
        <v>0</v>
      </c>
      <c r="H7" s="795">
        <v>0</v>
      </c>
      <c r="I7" s="795">
        <v>0</v>
      </c>
      <c r="J7" s="1347">
        <v>1931021</v>
      </c>
      <c r="K7" s="797">
        <v>0</v>
      </c>
      <c r="L7" s="1346">
        <f>SUM(B7:K7)</f>
        <v>1931021</v>
      </c>
    </row>
    <row r="8" spans="1:12" s="796" customFormat="1" ht="49.9" customHeight="1">
      <c r="A8" s="828" t="s">
        <v>572</v>
      </c>
      <c r="B8" s="795">
        <v>0</v>
      </c>
      <c r="C8" s="795">
        <v>0</v>
      </c>
      <c r="D8" s="795">
        <v>0</v>
      </c>
      <c r="E8" s="795">
        <v>0</v>
      </c>
      <c r="F8" s="795">
        <v>0</v>
      </c>
      <c r="G8" s="795">
        <v>0</v>
      </c>
      <c r="H8" s="795">
        <v>0</v>
      </c>
      <c r="I8" s="795">
        <v>0</v>
      </c>
      <c r="J8" s="841">
        <v>0</v>
      </c>
      <c r="K8" s="795">
        <v>0</v>
      </c>
      <c r="L8" s="808">
        <f>SUM(B8:K8)</f>
        <v>0</v>
      </c>
    </row>
    <row r="9" spans="1:12" s="796" customFormat="1" ht="49.9" customHeight="1">
      <c r="A9" s="828" t="s">
        <v>573</v>
      </c>
      <c r="B9" s="795">
        <f t="shared" ref="B9:H9" si="0">B7-B8</f>
        <v>0</v>
      </c>
      <c r="C9" s="795">
        <f t="shared" si="0"/>
        <v>0</v>
      </c>
      <c r="D9" s="795">
        <f t="shared" si="0"/>
        <v>0</v>
      </c>
      <c r="E9" s="795">
        <f t="shared" si="0"/>
        <v>0</v>
      </c>
      <c r="F9" s="795">
        <f t="shared" si="0"/>
        <v>0</v>
      </c>
      <c r="G9" s="795">
        <f t="shared" si="0"/>
        <v>0</v>
      </c>
      <c r="H9" s="795">
        <f t="shared" si="0"/>
        <v>0</v>
      </c>
      <c r="I9" s="795">
        <v>0</v>
      </c>
      <c r="J9" s="841">
        <v>0</v>
      </c>
      <c r="K9" s="795">
        <f t="shared" ref="K9" si="1">K7-K8</f>
        <v>0</v>
      </c>
      <c r="L9" s="808">
        <f>SUM(B9:K9)</f>
        <v>0</v>
      </c>
    </row>
    <row r="10" spans="1:12" s="796" customFormat="1" ht="49.9" customHeight="1">
      <c r="A10" s="828" t="s">
        <v>574</v>
      </c>
      <c r="B10" s="795">
        <v>0</v>
      </c>
      <c r="C10" s="795">
        <v>0</v>
      </c>
      <c r="D10" s="795">
        <v>0</v>
      </c>
      <c r="E10" s="795">
        <v>0</v>
      </c>
      <c r="F10" s="795">
        <v>0</v>
      </c>
      <c r="G10" s="795">
        <v>0</v>
      </c>
      <c r="H10" s="795">
        <v>0</v>
      </c>
      <c r="I10" s="795">
        <v>0</v>
      </c>
      <c r="J10" s="841">
        <v>0</v>
      </c>
      <c r="K10" s="795">
        <v>0</v>
      </c>
      <c r="L10" s="808">
        <f t="shared" ref="L10:L14" si="2">SUM(B10:K10)</f>
        <v>0</v>
      </c>
    </row>
    <row r="11" spans="1:12" ht="49.9" customHeight="1">
      <c r="A11" s="830" t="s">
        <v>575</v>
      </c>
      <c r="B11" s="795">
        <v>0</v>
      </c>
      <c r="C11" s="795">
        <v>0</v>
      </c>
      <c r="D11" s="795">
        <v>0</v>
      </c>
      <c r="E11" s="795">
        <v>0</v>
      </c>
      <c r="F11" s="795">
        <v>0</v>
      </c>
      <c r="G11" s="795">
        <v>0</v>
      </c>
      <c r="H11" s="795">
        <v>0</v>
      </c>
      <c r="I11" s="795">
        <v>0</v>
      </c>
      <c r="J11" s="801">
        <v>1931021</v>
      </c>
      <c r="K11" s="795">
        <v>0</v>
      </c>
      <c r="L11" s="807">
        <f t="shared" si="2"/>
        <v>1931021</v>
      </c>
    </row>
    <row r="12" spans="1:12" ht="49.9" customHeight="1">
      <c r="A12" s="830" t="s">
        <v>576</v>
      </c>
      <c r="B12" s="795">
        <v>0</v>
      </c>
      <c r="C12" s="795">
        <v>0</v>
      </c>
      <c r="D12" s="795">
        <v>0</v>
      </c>
      <c r="E12" s="795">
        <v>0</v>
      </c>
      <c r="F12" s="795">
        <v>0</v>
      </c>
      <c r="G12" s="795">
        <v>0</v>
      </c>
      <c r="H12" s="795">
        <v>0</v>
      </c>
      <c r="I12" s="795">
        <v>0</v>
      </c>
      <c r="J12" s="802">
        <f>J13</f>
        <v>16151</v>
      </c>
      <c r="K12" s="795">
        <v>0</v>
      </c>
      <c r="L12" s="807">
        <f t="shared" si="2"/>
        <v>16151</v>
      </c>
    </row>
    <row r="13" spans="1:12" ht="49.9" customHeight="1">
      <c r="A13" s="842" t="s">
        <v>582</v>
      </c>
      <c r="B13" s="795">
        <v>0</v>
      </c>
      <c r="C13" s="795">
        <v>0</v>
      </c>
      <c r="D13" s="795">
        <v>0</v>
      </c>
      <c r="E13" s="795">
        <v>0</v>
      </c>
      <c r="F13" s="795">
        <v>0</v>
      </c>
      <c r="G13" s="795">
        <v>0</v>
      </c>
      <c r="H13" s="795">
        <v>0</v>
      </c>
      <c r="I13" s="795">
        <v>0</v>
      </c>
      <c r="J13" s="802">
        <f>J14</f>
        <v>16151</v>
      </c>
      <c r="K13" s="795">
        <v>0</v>
      </c>
      <c r="L13" s="807">
        <f t="shared" si="2"/>
        <v>16151</v>
      </c>
    </row>
    <row r="14" spans="1:12" ht="49.9" customHeight="1">
      <c r="A14" s="831" t="s">
        <v>581</v>
      </c>
      <c r="B14" s="795">
        <v>0</v>
      </c>
      <c r="C14" s="795">
        <v>0</v>
      </c>
      <c r="D14" s="795">
        <v>0</v>
      </c>
      <c r="E14" s="795">
        <v>0</v>
      </c>
      <c r="F14" s="795">
        <v>0</v>
      </c>
      <c r="G14" s="795">
        <v>0</v>
      </c>
      <c r="H14" s="795">
        <v>0</v>
      </c>
      <c r="I14" s="795">
        <v>0</v>
      </c>
      <c r="J14" s="802">
        <v>16151</v>
      </c>
      <c r="K14" s="795">
        <v>0</v>
      </c>
      <c r="L14" s="807">
        <f t="shared" si="2"/>
        <v>16151</v>
      </c>
    </row>
    <row r="15" spans="1:12" ht="65.45" customHeight="1">
      <c r="A15" s="799"/>
      <c r="B15" s="795"/>
      <c r="C15" s="795"/>
      <c r="D15" s="795"/>
      <c r="E15" s="795"/>
      <c r="F15" s="795"/>
      <c r="G15" s="795"/>
      <c r="H15" s="795"/>
      <c r="I15" s="795"/>
      <c r="J15" s="803"/>
      <c r="K15" s="797"/>
      <c r="L15" s="807"/>
    </row>
    <row r="16" spans="1:12" ht="75" customHeight="1">
      <c r="A16" s="799"/>
      <c r="B16" s="797"/>
      <c r="C16" s="797"/>
      <c r="D16" s="797"/>
      <c r="E16" s="797"/>
      <c r="F16" s="797"/>
      <c r="G16" s="797"/>
      <c r="H16" s="797"/>
      <c r="I16" s="795"/>
      <c r="J16" s="804"/>
      <c r="K16" s="797"/>
      <c r="L16" s="808"/>
    </row>
    <row r="17" spans="1:12" ht="49.9" customHeight="1" thickBot="1">
      <c r="A17" s="800"/>
      <c r="B17" s="798"/>
      <c r="C17" s="798"/>
      <c r="D17" s="798"/>
      <c r="E17" s="798"/>
      <c r="F17" s="798"/>
      <c r="G17" s="798"/>
      <c r="H17" s="798"/>
      <c r="I17" s="798"/>
      <c r="J17" s="805"/>
      <c r="K17" s="798"/>
      <c r="L17" s="835"/>
    </row>
    <row r="18" spans="1:12">
      <c r="A18" s="794" t="s">
        <v>564</v>
      </c>
    </row>
  </sheetData>
  <mergeCells count="9">
    <mergeCell ref="A1:L1"/>
    <mergeCell ref="A2:L2"/>
    <mergeCell ref="A3:L3"/>
    <mergeCell ref="A4:L4"/>
    <mergeCell ref="A5:A6"/>
    <mergeCell ref="B5:I5"/>
    <mergeCell ref="J5:J6"/>
    <mergeCell ref="K5:K6"/>
    <mergeCell ref="L5:L6"/>
  </mergeCells>
  <phoneticPr fontId="6" type="noConversion"/>
  <printOptions horizontalCentered="1"/>
  <pageMargins left="0.59055118110236227" right="0.59055118110236227" top="0.59055118110236227" bottom="0.78740157480314965" header="0.51181102362204722" footer="0.51181102362204722"/>
  <pageSetup paperSize="9" firstPageNumber="42" orientation="portrait" useFirstPageNumber="1" r:id="rId1"/>
  <headerFooter scaleWithDoc="0">
    <oddFooter>&amp;C&amp;"Times New Roman,標準"&amp;P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H34"/>
  <sheetViews>
    <sheetView view="pageBreakPreview" zoomScaleNormal="100" zoomScaleSheetLayoutView="100" workbookViewId="0">
      <selection activeCell="G28" sqref="G28"/>
    </sheetView>
  </sheetViews>
  <sheetFormatPr defaultColWidth="9" defaultRowHeight="15.75"/>
  <cols>
    <col min="1" max="1" width="34.625" style="6" customWidth="1"/>
    <col min="2" max="2" width="22.875" style="6" customWidth="1"/>
    <col min="3" max="3" width="32.5" style="6" customWidth="1"/>
    <col min="4" max="4" width="10.5" style="6" bestFit="1" customWidth="1"/>
    <col min="5" max="5" width="5.5" style="6" bestFit="1" customWidth="1"/>
    <col min="6" max="6" width="39" style="6" customWidth="1"/>
    <col min="7" max="7" width="9" style="6"/>
    <col min="8" max="8" width="26.375" style="6" customWidth="1"/>
    <col min="9" max="9" width="19.875" style="6" customWidth="1"/>
    <col min="10" max="16384" width="9" style="6"/>
  </cols>
  <sheetData>
    <row r="1" spans="1:8" s="2" customFormat="1" ht="21">
      <c r="A1" s="1369" t="s">
        <v>40</v>
      </c>
      <c r="B1" s="1369"/>
      <c r="C1" s="1369"/>
      <c r="D1" s="144"/>
      <c r="E1" s="144"/>
      <c r="F1" s="1"/>
      <c r="G1" s="1"/>
      <c r="H1" s="1"/>
    </row>
    <row r="2" spans="1:8" s="2" customFormat="1" ht="21">
      <c r="A2" s="1369" t="s">
        <v>41</v>
      </c>
      <c r="B2" s="1369"/>
      <c r="C2" s="1369"/>
      <c r="D2" s="144"/>
      <c r="E2" s="144"/>
      <c r="F2" s="1"/>
      <c r="G2" s="1"/>
      <c r="H2" s="1"/>
    </row>
    <row r="3" spans="1:8" s="2" customFormat="1" ht="24.75" customHeight="1">
      <c r="A3" s="1370" t="s">
        <v>1140</v>
      </c>
      <c r="B3" s="1371"/>
      <c r="C3" s="1371"/>
      <c r="D3" s="145"/>
      <c r="E3" s="145"/>
      <c r="F3" s="3"/>
      <c r="G3" s="3"/>
      <c r="H3" s="3"/>
    </row>
    <row r="4" spans="1:8" s="2" customFormat="1" ht="24.95" customHeight="1" thickBot="1">
      <c r="A4" s="1389" t="s">
        <v>1289</v>
      </c>
      <c r="B4" s="1390"/>
      <c r="C4" s="1390"/>
      <c r="D4" s="4"/>
      <c r="E4" s="4"/>
      <c r="F4" s="4"/>
      <c r="G4" s="4"/>
      <c r="H4" s="4"/>
    </row>
    <row r="5" spans="1:8" ht="30" customHeight="1">
      <c r="A5" s="395" t="s">
        <v>42</v>
      </c>
      <c r="B5" s="394" t="s">
        <v>80</v>
      </c>
      <c r="C5" s="396" t="s">
        <v>79</v>
      </c>
    </row>
    <row r="6" spans="1:8" ht="8.25" customHeight="1">
      <c r="A6" s="397"/>
      <c r="B6" s="161"/>
      <c r="C6" s="162"/>
    </row>
    <row r="7" spans="1:8" s="9" customFormat="1" ht="32.1" customHeight="1">
      <c r="A7" s="449" t="s">
        <v>424</v>
      </c>
      <c r="B7" s="197">
        <v>625</v>
      </c>
      <c r="C7" s="34"/>
    </row>
    <row r="8" spans="1:8" s="9" customFormat="1" ht="32.1" customHeight="1">
      <c r="A8" s="449" t="s">
        <v>425</v>
      </c>
      <c r="B8" s="173"/>
      <c r="C8" s="42"/>
    </row>
    <row r="9" spans="1:8" s="9" customFormat="1" ht="32.1" customHeight="1">
      <c r="A9" s="449" t="s">
        <v>426</v>
      </c>
      <c r="B9" s="147" t="s">
        <v>14</v>
      </c>
      <c r="C9" s="42"/>
    </row>
    <row r="10" spans="1:8" s="9" customFormat="1" ht="32.1" customHeight="1">
      <c r="A10" s="449" t="s">
        <v>427</v>
      </c>
      <c r="B10" s="147" t="s">
        <v>14</v>
      </c>
      <c r="C10" s="22"/>
    </row>
    <row r="11" spans="1:8" s="9" customFormat="1" ht="32.1" customHeight="1">
      <c r="A11" s="449" t="s">
        <v>1117</v>
      </c>
      <c r="B11" s="147" t="s">
        <v>14</v>
      </c>
      <c r="C11" s="22"/>
    </row>
    <row r="12" spans="1:8" s="9" customFormat="1" ht="32.1" customHeight="1">
      <c r="A12" s="671" t="s">
        <v>516</v>
      </c>
      <c r="B12" s="147" t="s">
        <v>14</v>
      </c>
      <c r="C12" s="148"/>
    </row>
    <row r="13" spans="1:8" s="9" customFormat="1" ht="32.1" customHeight="1">
      <c r="A13" s="671" t="s">
        <v>428</v>
      </c>
      <c r="B13" s="147" t="s">
        <v>14</v>
      </c>
      <c r="C13" s="148"/>
    </row>
    <row r="14" spans="1:8" s="9" customFormat="1" ht="32.1" customHeight="1">
      <c r="A14" s="671" t="s">
        <v>429</v>
      </c>
      <c r="B14" s="173"/>
      <c r="C14" s="148"/>
    </row>
    <row r="15" spans="1:8" s="9" customFormat="1" ht="32.1" customHeight="1">
      <c r="A15" s="671" t="s">
        <v>430</v>
      </c>
      <c r="B15" s="147" t="s">
        <v>14</v>
      </c>
      <c r="C15" s="148"/>
    </row>
    <row r="16" spans="1:8" s="9" customFormat="1" ht="32.1" customHeight="1">
      <c r="A16" s="671" t="s">
        <v>484</v>
      </c>
      <c r="B16" s="147" t="s">
        <v>14</v>
      </c>
      <c r="C16" s="148"/>
    </row>
    <row r="17" spans="1:3" s="9" customFormat="1" ht="32.1" customHeight="1">
      <c r="A17" s="671" t="s">
        <v>428</v>
      </c>
      <c r="B17" s="147" t="s">
        <v>14</v>
      </c>
      <c r="C17" s="148"/>
    </row>
    <row r="18" spans="1:3" s="9" customFormat="1" ht="32.1" customHeight="1">
      <c r="A18" s="671" t="s">
        <v>431</v>
      </c>
      <c r="B18" s="198">
        <f>B7+B8</f>
        <v>625</v>
      </c>
      <c r="C18" s="148"/>
    </row>
    <row r="19" spans="1:3">
      <c r="A19" s="149"/>
      <c r="B19" s="146"/>
      <c r="C19" s="148"/>
    </row>
    <row r="20" spans="1:3">
      <c r="A20" s="149"/>
      <c r="B20" s="146"/>
      <c r="C20" s="148"/>
    </row>
    <row r="21" spans="1:3">
      <c r="A21" s="150"/>
      <c r="B21" s="94"/>
      <c r="C21" s="100"/>
    </row>
    <row r="22" spans="1:3">
      <c r="A22" s="150"/>
      <c r="B22" s="94"/>
      <c r="C22" s="100"/>
    </row>
    <row r="23" spans="1:3">
      <c r="A23" s="150"/>
      <c r="B23" s="94"/>
      <c r="C23" s="100"/>
    </row>
    <row r="24" spans="1:3" ht="15.6" customHeight="1">
      <c r="A24" s="150"/>
      <c r="B24" s="94"/>
      <c r="C24" s="100"/>
    </row>
    <row r="25" spans="1:3">
      <c r="A25" s="150"/>
      <c r="B25" s="94"/>
      <c r="C25" s="100"/>
    </row>
    <row r="26" spans="1:3" ht="8.25" customHeight="1">
      <c r="A26" s="150"/>
      <c r="B26" s="94"/>
      <c r="C26" s="100"/>
    </row>
    <row r="27" spans="1:3" ht="8.25" customHeight="1">
      <c r="A27" s="150"/>
      <c r="B27" s="94"/>
      <c r="C27" s="100"/>
    </row>
    <row r="28" spans="1:3" ht="25.5" customHeight="1">
      <c r="A28" s="150"/>
      <c r="B28" s="94"/>
      <c r="C28" s="100"/>
    </row>
    <row r="29" spans="1:3" ht="9.9499999999999993" customHeight="1">
      <c r="A29" s="150"/>
      <c r="B29" s="94"/>
      <c r="C29" s="100"/>
    </row>
    <row r="30" spans="1:3" ht="10.15" customHeight="1">
      <c r="A30" s="150"/>
      <c r="B30" s="94"/>
      <c r="C30" s="100"/>
    </row>
    <row r="31" spans="1:3" ht="6.75" customHeight="1">
      <c r="A31" s="150"/>
      <c r="B31" s="94"/>
      <c r="C31" s="100"/>
    </row>
    <row r="32" spans="1:3" ht="7.15" customHeight="1">
      <c r="A32" s="150"/>
      <c r="B32" s="94"/>
      <c r="C32" s="100"/>
    </row>
    <row r="33" spans="1:3" ht="27" customHeight="1">
      <c r="A33" s="149"/>
      <c r="B33" s="146"/>
      <c r="C33" s="151"/>
    </row>
    <row r="34" spans="1:3" ht="56.25" customHeight="1" thickBot="1">
      <c r="A34" s="152"/>
      <c r="B34" s="153"/>
      <c r="C34" s="108"/>
    </row>
  </sheetData>
  <mergeCells count="4">
    <mergeCell ref="A1:C1"/>
    <mergeCell ref="A2:C2"/>
    <mergeCell ref="A3:C3"/>
    <mergeCell ref="A4:C4"/>
  </mergeCells>
  <phoneticPr fontId="6" type="noConversion"/>
  <printOptions horizontalCentered="1"/>
  <pageMargins left="0.59055118110236227" right="0.59055118110236227" top="0.59055118110236227" bottom="0.78740157480314965" header="0.51181102362204722" footer="0.51181102362204722"/>
  <pageSetup paperSize="9" firstPageNumber="43" orientation="portrait" useFirstPageNumber="1" r:id="rId1"/>
  <headerFooter alignWithMargins="0">
    <oddFooter>&amp;C&amp;"Times New Roman,標準"&amp;P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K22"/>
  <sheetViews>
    <sheetView view="pageBreakPreview" zoomScaleNormal="100" zoomScaleSheetLayoutView="100" workbookViewId="0">
      <selection activeCell="G28" sqref="G28"/>
    </sheetView>
  </sheetViews>
  <sheetFormatPr defaultColWidth="9" defaultRowHeight="15.75"/>
  <cols>
    <col min="1" max="1" width="14" style="12" customWidth="1"/>
    <col min="2" max="2" width="13.875" style="12" customWidth="1"/>
    <col min="3" max="3" width="26.125" style="12" customWidth="1"/>
    <col min="4" max="4" width="14.5" style="12" customWidth="1"/>
    <col min="5" max="5" width="2.375" style="12" customWidth="1"/>
    <col min="6" max="6" width="19.125" style="12" customWidth="1"/>
    <col min="7" max="257" width="9" style="12"/>
    <col min="258" max="258" width="14.625" style="12" customWidth="1"/>
    <col min="259" max="259" width="13.875" style="12" customWidth="1"/>
    <col min="260" max="260" width="26.125" style="12" customWidth="1"/>
    <col min="261" max="261" width="15.375" style="12" customWidth="1"/>
    <col min="262" max="262" width="24.125" style="12" customWidth="1"/>
    <col min="263" max="513" width="9" style="12"/>
    <col min="514" max="514" width="14.625" style="12" customWidth="1"/>
    <col min="515" max="515" width="13.875" style="12" customWidth="1"/>
    <col min="516" max="516" width="26.125" style="12" customWidth="1"/>
    <col min="517" max="517" width="15.375" style="12" customWidth="1"/>
    <col min="518" max="518" width="24.125" style="12" customWidth="1"/>
    <col min="519" max="769" width="9" style="12"/>
    <col min="770" max="770" width="14.625" style="12" customWidth="1"/>
    <col min="771" max="771" width="13.875" style="12" customWidth="1"/>
    <col min="772" max="772" width="26.125" style="12" customWidth="1"/>
    <col min="773" max="773" width="15.375" style="12" customWidth="1"/>
    <col min="774" max="774" width="24.125" style="12" customWidth="1"/>
    <col min="775" max="1025" width="9" style="12"/>
    <col min="1026" max="1026" width="14.625" style="12" customWidth="1"/>
    <col min="1027" max="1027" width="13.875" style="12" customWidth="1"/>
    <col min="1028" max="1028" width="26.125" style="12" customWidth="1"/>
    <col min="1029" max="1029" width="15.375" style="12" customWidth="1"/>
    <col min="1030" max="1030" width="24.125" style="12" customWidth="1"/>
    <col min="1031" max="1281" width="9" style="12"/>
    <col min="1282" max="1282" width="14.625" style="12" customWidth="1"/>
    <col min="1283" max="1283" width="13.875" style="12" customWidth="1"/>
    <col min="1284" max="1284" width="26.125" style="12" customWidth="1"/>
    <col min="1285" max="1285" width="15.375" style="12" customWidth="1"/>
    <col min="1286" max="1286" width="24.125" style="12" customWidth="1"/>
    <col min="1287" max="1537" width="9" style="12"/>
    <col min="1538" max="1538" width="14.625" style="12" customWidth="1"/>
    <col min="1539" max="1539" width="13.875" style="12" customWidth="1"/>
    <col min="1540" max="1540" width="26.125" style="12" customWidth="1"/>
    <col min="1541" max="1541" width="15.375" style="12" customWidth="1"/>
    <col min="1542" max="1542" width="24.125" style="12" customWidth="1"/>
    <col min="1543" max="1793" width="9" style="12"/>
    <col min="1794" max="1794" width="14.625" style="12" customWidth="1"/>
    <col min="1795" max="1795" width="13.875" style="12" customWidth="1"/>
    <col min="1796" max="1796" width="26.125" style="12" customWidth="1"/>
    <col min="1797" max="1797" width="15.375" style="12" customWidth="1"/>
    <col min="1798" max="1798" width="24.125" style="12" customWidth="1"/>
    <col min="1799" max="2049" width="9" style="12"/>
    <col min="2050" max="2050" width="14.625" style="12" customWidth="1"/>
    <col min="2051" max="2051" width="13.875" style="12" customWidth="1"/>
    <col min="2052" max="2052" width="26.125" style="12" customWidth="1"/>
    <col min="2053" max="2053" width="15.375" style="12" customWidth="1"/>
    <col min="2054" max="2054" width="24.125" style="12" customWidth="1"/>
    <col min="2055" max="2305" width="9" style="12"/>
    <col min="2306" max="2306" width="14.625" style="12" customWidth="1"/>
    <col min="2307" max="2307" width="13.875" style="12" customWidth="1"/>
    <col min="2308" max="2308" width="26.125" style="12" customWidth="1"/>
    <col min="2309" max="2309" width="15.375" style="12" customWidth="1"/>
    <col min="2310" max="2310" width="24.125" style="12" customWidth="1"/>
    <col min="2311" max="2561" width="9" style="12"/>
    <col min="2562" max="2562" width="14.625" style="12" customWidth="1"/>
    <col min="2563" max="2563" width="13.875" style="12" customWidth="1"/>
    <col min="2564" max="2564" width="26.125" style="12" customWidth="1"/>
    <col min="2565" max="2565" width="15.375" style="12" customWidth="1"/>
    <col min="2566" max="2566" width="24.125" style="12" customWidth="1"/>
    <col min="2567" max="2817" width="9" style="12"/>
    <col min="2818" max="2818" width="14.625" style="12" customWidth="1"/>
    <col min="2819" max="2819" width="13.875" style="12" customWidth="1"/>
    <col min="2820" max="2820" width="26.125" style="12" customWidth="1"/>
    <col min="2821" max="2821" width="15.375" style="12" customWidth="1"/>
    <col min="2822" max="2822" width="24.125" style="12" customWidth="1"/>
    <col min="2823" max="3073" width="9" style="12"/>
    <col min="3074" max="3074" width="14.625" style="12" customWidth="1"/>
    <col min="3075" max="3075" width="13.875" style="12" customWidth="1"/>
    <col min="3076" max="3076" width="26.125" style="12" customWidth="1"/>
    <col min="3077" max="3077" width="15.375" style="12" customWidth="1"/>
    <col min="3078" max="3078" width="24.125" style="12" customWidth="1"/>
    <col min="3079" max="3329" width="9" style="12"/>
    <col min="3330" max="3330" width="14.625" style="12" customWidth="1"/>
    <col min="3331" max="3331" width="13.875" style="12" customWidth="1"/>
    <col min="3332" max="3332" width="26.125" style="12" customWidth="1"/>
    <col min="3333" max="3333" width="15.375" style="12" customWidth="1"/>
    <col min="3334" max="3334" width="24.125" style="12" customWidth="1"/>
    <col min="3335" max="3585" width="9" style="12"/>
    <col min="3586" max="3586" width="14.625" style="12" customWidth="1"/>
    <col min="3587" max="3587" width="13.875" style="12" customWidth="1"/>
    <col min="3588" max="3588" width="26.125" style="12" customWidth="1"/>
    <col min="3589" max="3589" width="15.375" style="12" customWidth="1"/>
    <col min="3590" max="3590" width="24.125" style="12" customWidth="1"/>
    <col min="3591" max="3841" width="9" style="12"/>
    <col min="3842" max="3842" width="14.625" style="12" customWidth="1"/>
    <col min="3843" max="3843" width="13.875" style="12" customWidth="1"/>
    <col min="3844" max="3844" width="26.125" style="12" customWidth="1"/>
    <col min="3845" max="3845" width="15.375" style="12" customWidth="1"/>
    <col min="3846" max="3846" width="24.125" style="12" customWidth="1"/>
    <col min="3847" max="4097" width="9" style="12"/>
    <col min="4098" max="4098" width="14.625" style="12" customWidth="1"/>
    <col min="4099" max="4099" width="13.875" style="12" customWidth="1"/>
    <col min="4100" max="4100" width="26.125" style="12" customWidth="1"/>
    <col min="4101" max="4101" width="15.375" style="12" customWidth="1"/>
    <col min="4102" max="4102" width="24.125" style="12" customWidth="1"/>
    <col min="4103" max="4353" width="9" style="12"/>
    <col min="4354" max="4354" width="14.625" style="12" customWidth="1"/>
    <col min="4355" max="4355" width="13.875" style="12" customWidth="1"/>
    <col min="4356" max="4356" width="26.125" style="12" customWidth="1"/>
    <col min="4357" max="4357" width="15.375" style="12" customWidth="1"/>
    <col min="4358" max="4358" width="24.125" style="12" customWidth="1"/>
    <col min="4359" max="4609" width="9" style="12"/>
    <col min="4610" max="4610" width="14.625" style="12" customWidth="1"/>
    <col min="4611" max="4611" width="13.875" style="12" customWidth="1"/>
    <col min="4612" max="4612" width="26.125" style="12" customWidth="1"/>
    <col min="4613" max="4613" width="15.375" style="12" customWidth="1"/>
    <col min="4614" max="4614" width="24.125" style="12" customWidth="1"/>
    <col min="4615" max="4865" width="9" style="12"/>
    <col min="4866" max="4866" width="14.625" style="12" customWidth="1"/>
    <col min="4867" max="4867" width="13.875" style="12" customWidth="1"/>
    <col min="4868" max="4868" width="26.125" style="12" customWidth="1"/>
    <col min="4869" max="4869" width="15.375" style="12" customWidth="1"/>
    <col min="4870" max="4870" width="24.125" style="12" customWidth="1"/>
    <col min="4871" max="5121" width="9" style="12"/>
    <col min="5122" max="5122" width="14.625" style="12" customWidth="1"/>
    <col min="5123" max="5123" width="13.875" style="12" customWidth="1"/>
    <col min="5124" max="5124" width="26.125" style="12" customWidth="1"/>
    <col min="5125" max="5125" width="15.375" style="12" customWidth="1"/>
    <col min="5126" max="5126" width="24.125" style="12" customWidth="1"/>
    <col min="5127" max="5377" width="9" style="12"/>
    <col min="5378" max="5378" width="14.625" style="12" customWidth="1"/>
    <col min="5379" max="5379" width="13.875" style="12" customWidth="1"/>
    <col min="5380" max="5380" width="26.125" style="12" customWidth="1"/>
    <col min="5381" max="5381" width="15.375" style="12" customWidth="1"/>
    <col min="5382" max="5382" width="24.125" style="12" customWidth="1"/>
    <col min="5383" max="5633" width="9" style="12"/>
    <col min="5634" max="5634" width="14.625" style="12" customWidth="1"/>
    <col min="5635" max="5635" width="13.875" style="12" customWidth="1"/>
    <col min="5636" max="5636" width="26.125" style="12" customWidth="1"/>
    <col min="5637" max="5637" width="15.375" style="12" customWidth="1"/>
    <col min="5638" max="5638" width="24.125" style="12" customWidth="1"/>
    <col min="5639" max="5889" width="9" style="12"/>
    <col min="5890" max="5890" width="14.625" style="12" customWidth="1"/>
    <col min="5891" max="5891" width="13.875" style="12" customWidth="1"/>
    <col min="5892" max="5892" width="26.125" style="12" customWidth="1"/>
    <col min="5893" max="5893" width="15.375" style="12" customWidth="1"/>
    <col min="5894" max="5894" width="24.125" style="12" customWidth="1"/>
    <col min="5895" max="6145" width="9" style="12"/>
    <col min="6146" max="6146" width="14.625" style="12" customWidth="1"/>
    <col min="6147" max="6147" width="13.875" style="12" customWidth="1"/>
    <col min="6148" max="6148" width="26.125" style="12" customWidth="1"/>
    <col min="6149" max="6149" width="15.375" style="12" customWidth="1"/>
    <col min="6150" max="6150" width="24.125" style="12" customWidth="1"/>
    <col min="6151" max="6401" width="9" style="12"/>
    <col min="6402" max="6402" width="14.625" style="12" customWidth="1"/>
    <col min="6403" max="6403" width="13.875" style="12" customWidth="1"/>
    <col min="6404" max="6404" width="26.125" style="12" customWidth="1"/>
    <col min="6405" max="6405" width="15.375" style="12" customWidth="1"/>
    <col min="6406" max="6406" width="24.125" style="12" customWidth="1"/>
    <col min="6407" max="6657" width="9" style="12"/>
    <col min="6658" max="6658" width="14.625" style="12" customWidth="1"/>
    <col min="6659" max="6659" width="13.875" style="12" customWidth="1"/>
    <col min="6660" max="6660" width="26.125" style="12" customWidth="1"/>
    <col min="6661" max="6661" width="15.375" style="12" customWidth="1"/>
    <col min="6662" max="6662" width="24.125" style="12" customWidth="1"/>
    <col min="6663" max="6913" width="9" style="12"/>
    <col min="6914" max="6914" width="14.625" style="12" customWidth="1"/>
    <col min="6915" max="6915" width="13.875" style="12" customWidth="1"/>
    <col min="6916" max="6916" width="26.125" style="12" customWidth="1"/>
    <col min="6917" max="6917" width="15.375" style="12" customWidth="1"/>
    <col min="6918" max="6918" width="24.125" style="12" customWidth="1"/>
    <col min="6919" max="7169" width="9" style="12"/>
    <col min="7170" max="7170" width="14.625" style="12" customWidth="1"/>
    <col min="7171" max="7171" width="13.875" style="12" customWidth="1"/>
    <col min="7172" max="7172" width="26.125" style="12" customWidth="1"/>
    <col min="7173" max="7173" width="15.375" style="12" customWidth="1"/>
    <col min="7174" max="7174" width="24.125" style="12" customWidth="1"/>
    <col min="7175" max="7425" width="9" style="12"/>
    <col min="7426" max="7426" width="14.625" style="12" customWidth="1"/>
    <col min="7427" max="7427" width="13.875" style="12" customWidth="1"/>
    <col min="7428" max="7428" width="26.125" style="12" customWidth="1"/>
    <col min="7429" max="7429" width="15.375" style="12" customWidth="1"/>
    <col min="7430" max="7430" width="24.125" style="12" customWidth="1"/>
    <col min="7431" max="7681" width="9" style="12"/>
    <col min="7682" max="7682" width="14.625" style="12" customWidth="1"/>
    <col min="7683" max="7683" width="13.875" style="12" customWidth="1"/>
    <col min="7684" max="7684" width="26.125" style="12" customWidth="1"/>
    <col min="7685" max="7685" width="15.375" style="12" customWidth="1"/>
    <col min="7686" max="7686" width="24.125" style="12" customWidth="1"/>
    <col min="7687" max="7937" width="9" style="12"/>
    <col min="7938" max="7938" width="14.625" style="12" customWidth="1"/>
    <col min="7939" max="7939" width="13.875" style="12" customWidth="1"/>
    <col min="7940" max="7940" width="26.125" style="12" customWidth="1"/>
    <col min="7941" max="7941" width="15.375" style="12" customWidth="1"/>
    <col min="7942" max="7942" width="24.125" style="12" customWidth="1"/>
    <col min="7943" max="8193" width="9" style="12"/>
    <col min="8194" max="8194" width="14.625" style="12" customWidth="1"/>
    <col min="8195" max="8195" width="13.875" style="12" customWidth="1"/>
    <col min="8196" max="8196" width="26.125" style="12" customWidth="1"/>
    <col min="8197" max="8197" width="15.375" style="12" customWidth="1"/>
    <col min="8198" max="8198" width="24.125" style="12" customWidth="1"/>
    <col min="8199" max="8449" width="9" style="12"/>
    <col min="8450" max="8450" width="14.625" style="12" customWidth="1"/>
    <col min="8451" max="8451" width="13.875" style="12" customWidth="1"/>
    <col min="8452" max="8452" width="26.125" style="12" customWidth="1"/>
    <col min="8453" max="8453" width="15.375" style="12" customWidth="1"/>
    <col min="8454" max="8454" width="24.125" style="12" customWidth="1"/>
    <col min="8455" max="8705" width="9" style="12"/>
    <col min="8706" max="8706" width="14.625" style="12" customWidth="1"/>
    <col min="8707" max="8707" width="13.875" style="12" customWidth="1"/>
    <col min="8708" max="8708" width="26.125" style="12" customWidth="1"/>
    <col min="8709" max="8709" width="15.375" style="12" customWidth="1"/>
    <col min="8710" max="8710" width="24.125" style="12" customWidth="1"/>
    <col min="8711" max="8961" width="9" style="12"/>
    <col min="8962" max="8962" width="14.625" style="12" customWidth="1"/>
    <col min="8963" max="8963" width="13.875" style="12" customWidth="1"/>
    <col min="8964" max="8964" width="26.125" style="12" customWidth="1"/>
    <col min="8965" max="8965" width="15.375" style="12" customWidth="1"/>
    <col min="8966" max="8966" width="24.125" style="12" customWidth="1"/>
    <col min="8967" max="9217" width="9" style="12"/>
    <col min="9218" max="9218" width="14.625" style="12" customWidth="1"/>
    <col min="9219" max="9219" width="13.875" style="12" customWidth="1"/>
    <col min="9220" max="9220" width="26.125" style="12" customWidth="1"/>
    <col min="9221" max="9221" width="15.375" style="12" customWidth="1"/>
    <col min="9222" max="9222" width="24.125" style="12" customWidth="1"/>
    <col min="9223" max="9473" width="9" style="12"/>
    <col min="9474" max="9474" width="14.625" style="12" customWidth="1"/>
    <col min="9475" max="9475" width="13.875" style="12" customWidth="1"/>
    <col min="9476" max="9476" width="26.125" style="12" customWidth="1"/>
    <col min="9477" max="9477" width="15.375" style="12" customWidth="1"/>
    <col min="9478" max="9478" width="24.125" style="12" customWidth="1"/>
    <col min="9479" max="9729" width="9" style="12"/>
    <col min="9730" max="9730" width="14.625" style="12" customWidth="1"/>
    <col min="9731" max="9731" width="13.875" style="12" customWidth="1"/>
    <col min="9732" max="9732" width="26.125" style="12" customWidth="1"/>
    <col min="9733" max="9733" width="15.375" style="12" customWidth="1"/>
    <col min="9734" max="9734" width="24.125" style="12" customWidth="1"/>
    <col min="9735" max="9985" width="9" style="12"/>
    <col min="9986" max="9986" width="14.625" style="12" customWidth="1"/>
    <col min="9987" max="9987" width="13.875" style="12" customWidth="1"/>
    <col min="9988" max="9988" width="26.125" style="12" customWidth="1"/>
    <col min="9989" max="9989" width="15.375" style="12" customWidth="1"/>
    <col min="9990" max="9990" width="24.125" style="12" customWidth="1"/>
    <col min="9991" max="10241" width="9" style="12"/>
    <col min="10242" max="10242" width="14.625" style="12" customWidth="1"/>
    <col min="10243" max="10243" width="13.875" style="12" customWidth="1"/>
    <col min="10244" max="10244" width="26.125" style="12" customWidth="1"/>
    <col min="10245" max="10245" width="15.375" style="12" customWidth="1"/>
    <col min="10246" max="10246" width="24.125" style="12" customWidth="1"/>
    <col min="10247" max="10497" width="9" style="12"/>
    <col min="10498" max="10498" width="14.625" style="12" customWidth="1"/>
    <col min="10499" max="10499" width="13.875" style="12" customWidth="1"/>
    <col min="10500" max="10500" width="26.125" style="12" customWidth="1"/>
    <col min="10501" max="10501" width="15.375" style="12" customWidth="1"/>
    <col min="10502" max="10502" width="24.125" style="12" customWidth="1"/>
    <col min="10503" max="10753" width="9" style="12"/>
    <col min="10754" max="10754" width="14.625" style="12" customWidth="1"/>
    <col min="10755" max="10755" width="13.875" style="12" customWidth="1"/>
    <col min="10756" max="10756" width="26.125" style="12" customWidth="1"/>
    <col min="10757" max="10757" width="15.375" style="12" customWidth="1"/>
    <col min="10758" max="10758" width="24.125" style="12" customWidth="1"/>
    <col min="10759" max="11009" width="9" style="12"/>
    <col min="11010" max="11010" width="14.625" style="12" customWidth="1"/>
    <col min="11011" max="11011" width="13.875" style="12" customWidth="1"/>
    <col min="11012" max="11012" width="26.125" style="12" customWidth="1"/>
    <col min="11013" max="11013" width="15.375" style="12" customWidth="1"/>
    <col min="11014" max="11014" width="24.125" style="12" customWidth="1"/>
    <col min="11015" max="11265" width="9" style="12"/>
    <col min="11266" max="11266" width="14.625" style="12" customWidth="1"/>
    <col min="11267" max="11267" width="13.875" style="12" customWidth="1"/>
    <col min="11268" max="11268" width="26.125" style="12" customWidth="1"/>
    <col min="11269" max="11269" width="15.375" style="12" customWidth="1"/>
    <col min="11270" max="11270" width="24.125" style="12" customWidth="1"/>
    <col min="11271" max="11521" width="9" style="12"/>
    <col min="11522" max="11522" width="14.625" style="12" customWidth="1"/>
    <col min="11523" max="11523" width="13.875" style="12" customWidth="1"/>
    <col min="11524" max="11524" width="26.125" style="12" customWidth="1"/>
    <col min="11525" max="11525" width="15.375" style="12" customWidth="1"/>
    <col min="11526" max="11526" width="24.125" style="12" customWidth="1"/>
    <col min="11527" max="11777" width="9" style="12"/>
    <col min="11778" max="11778" width="14.625" style="12" customWidth="1"/>
    <col min="11779" max="11779" width="13.875" style="12" customWidth="1"/>
    <col min="11780" max="11780" width="26.125" style="12" customWidth="1"/>
    <col min="11781" max="11781" width="15.375" style="12" customWidth="1"/>
    <col min="11782" max="11782" width="24.125" style="12" customWidth="1"/>
    <col min="11783" max="12033" width="9" style="12"/>
    <col min="12034" max="12034" width="14.625" style="12" customWidth="1"/>
    <col min="12035" max="12035" width="13.875" style="12" customWidth="1"/>
    <col min="12036" max="12036" width="26.125" style="12" customWidth="1"/>
    <col min="12037" max="12037" width="15.375" style="12" customWidth="1"/>
    <col min="12038" max="12038" width="24.125" style="12" customWidth="1"/>
    <col min="12039" max="12289" width="9" style="12"/>
    <col min="12290" max="12290" width="14.625" style="12" customWidth="1"/>
    <col min="12291" max="12291" width="13.875" style="12" customWidth="1"/>
    <col min="12292" max="12292" width="26.125" style="12" customWidth="1"/>
    <col min="12293" max="12293" width="15.375" style="12" customWidth="1"/>
    <col min="12294" max="12294" width="24.125" style="12" customWidth="1"/>
    <col min="12295" max="12545" width="9" style="12"/>
    <col min="12546" max="12546" width="14.625" style="12" customWidth="1"/>
    <col min="12547" max="12547" width="13.875" style="12" customWidth="1"/>
    <col min="12548" max="12548" width="26.125" style="12" customWidth="1"/>
    <col min="12549" max="12549" width="15.375" style="12" customWidth="1"/>
    <col min="12550" max="12550" width="24.125" style="12" customWidth="1"/>
    <col min="12551" max="12801" width="9" style="12"/>
    <col min="12802" max="12802" width="14.625" style="12" customWidth="1"/>
    <col min="12803" max="12803" width="13.875" style="12" customWidth="1"/>
    <col min="12804" max="12804" width="26.125" style="12" customWidth="1"/>
    <col min="12805" max="12805" width="15.375" style="12" customWidth="1"/>
    <col min="12806" max="12806" width="24.125" style="12" customWidth="1"/>
    <col min="12807" max="13057" width="9" style="12"/>
    <col min="13058" max="13058" width="14.625" style="12" customWidth="1"/>
    <col min="13059" max="13059" width="13.875" style="12" customWidth="1"/>
    <col min="13060" max="13060" width="26.125" style="12" customWidth="1"/>
    <col min="13061" max="13061" width="15.375" style="12" customWidth="1"/>
    <col min="13062" max="13062" width="24.125" style="12" customWidth="1"/>
    <col min="13063" max="13313" width="9" style="12"/>
    <col min="13314" max="13314" width="14.625" style="12" customWidth="1"/>
    <col min="13315" max="13315" width="13.875" style="12" customWidth="1"/>
    <col min="13316" max="13316" width="26.125" style="12" customWidth="1"/>
    <col min="13317" max="13317" width="15.375" style="12" customWidth="1"/>
    <col min="13318" max="13318" width="24.125" style="12" customWidth="1"/>
    <col min="13319" max="13569" width="9" style="12"/>
    <col min="13570" max="13570" width="14.625" style="12" customWidth="1"/>
    <col min="13571" max="13571" width="13.875" style="12" customWidth="1"/>
    <col min="13572" max="13572" width="26.125" style="12" customWidth="1"/>
    <col min="13573" max="13573" width="15.375" style="12" customWidth="1"/>
    <col min="13574" max="13574" width="24.125" style="12" customWidth="1"/>
    <col min="13575" max="13825" width="9" style="12"/>
    <col min="13826" max="13826" width="14.625" style="12" customWidth="1"/>
    <col min="13827" max="13827" width="13.875" style="12" customWidth="1"/>
    <col min="13828" max="13828" width="26.125" style="12" customWidth="1"/>
    <col min="13829" max="13829" width="15.375" style="12" customWidth="1"/>
    <col min="13830" max="13830" width="24.125" style="12" customWidth="1"/>
    <col min="13831" max="14081" width="9" style="12"/>
    <col min="14082" max="14082" width="14.625" style="12" customWidth="1"/>
    <col min="14083" max="14083" width="13.875" style="12" customWidth="1"/>
    <col min="14084" max="14084" width="26.125" style="12" customWidth="1"/>
    <col min="14085" max="14085" width="15.375" style="12" customWidth="1"/>
    <col min="14086" max="14086" width="24.125" style="12" customWidth="1"/>
    <col min="14087" max="14337" width="9" style="12"/>
    <col min="14338" max="14338" width="14.625" style="12" customWidth="1"/>
    <col min="14339" max="14339" width="13.875" style="12" customWidth="1"/>
    <col min="14340" max="14340" width="26.125" style="12" customWidth="1"/>
    <col min="14341" max="14341" width="15.375" style="12" customWidth="1"/>
    <col min="14342" max="14342" width="24.125" style="12" customWidth="1"/>
    <col min="14343" max="14593" width="9" style="12"/>
    <col min="14594" max="14594" width="14.625" style="12" customWidth="1"/>
    <col min="14595" max="14595" width="13.875" style="12" customWidth="1"/>
    <col min="14596" max="14596" width="26.125" style="12" customWidth="1"/>
    <col min="14597" max="14597" width="15.375" style="12" customWidth="1"/>
    <col min="14598" max="14598" width="24.125" style="12" customWidth="1"/>
    <col min="14599" max="14849" width="9" style="12"/>
    <col min="14850" max="14850" width="14.625" style="12" customWidth="1"/>
    <col min="14851" max="14851" width="13.875" style="12" customWidth="1"/>
    <col min="14852" max="14852" width="26.125" style="12" customWidth="1"/>
    <col min="14853" max="14853" width="15.375" style="12" customWidth="1"/>
    <col min="14854" max="14854" width="24.125" style="12" customWidth="1"/>
    <col min="14855" max="15105" width="9" style="12"/>
    <col min="15106" max="15106" width="14.625" style="12" customWidth="1"/>
    <col min="15107" max="15107" width="13.875" style="12" customWidth="1"/>
    <col min="15108" max="15108" width="26.125" style="12" customWidth="1"/>
    <col min="15109" max="15109" width="15.375" style="12" customWidth="1"/>
    <col min="15110" max="15110" width="24.125" style="12" customWidth="1"/>
    <col min="15111" max="15361" width="9" style="12"/>
    <col min="15362" max="15362" width="14.625" style="12" customWidth="1"/>
    <col min="15363" max="15363" width="13.875" style="12" customWidth="1"/>
    <col min="15364" max="15364" width="26.125" style="12" customWidth="1"/>
    <col min="15365" max="15365" width="15.375" style="12" customWidth="1"/>
    <col min="15366" max="15366" width="24.125" style="12" customWidth="1"/>
    <col min="15367" max="15617" width="9" style="12"/>
    <col min="15618" max="15618" width="14.625" style="12" customWidth="1"/>
    <col min="15619" max="15619" width="13.875" style="12" customWidth="1"/>
    <col min="15620" max="15620" width="26.125" style="12" customWidth="1"/>
    <col min="15621" max="15621" width="15.375" style="12" customWidth="1"/>
    <col min="15622" max="15622" width="24.125" style="12" customWidth="1"/>
    <col min="15623" max="15873" width="9" style="12"/>
    <col min="15874" max="15874" width="14.625" style="12" customWidth="1"/>
    <col min="15875" max="15875" width="13.875" style="12" customWidth="1"/>
    <col min="15876" max="15876" width="26.125" style="12" customWidth="1"/>
    <col min="15877" max="15877" width="15.375" style="12" customWidth="1"/>
    <col min="15878" max="15878" width="24.125" style="12" customWidth="1"/>
    <col min="15879" max="16129" width="9" style="12"/>
    <col min="16130" max="16130" width="14.625" style="12" customWidth="1"/>
    <col min="16131" max="16131" width="13.875" style="12" customWidth="1"/>
    <col min="16132" max="16132" width="26.125" style="12" customWidth="1"/>
    <col min="16133" max="16133" width="15.375" style="12" customWidth="1"/>
    <col min="16134" max="16134" width="24.125" style="12" customWidth="1"/>
    <col min="16135" max="16384" width="9" style="12"/>
  </cols>
  <sheetData>
    <row r="1" spans="1:11" s="1196" customFormat="1" ht="21">
      <c r="A1" s="1369" t="s">
        <v>40</v>
      </c>
      <c r="B1" s="1369"/>
      <c r="C1" s="1369"/>
      <c r="D1" s="1369"/>
      <c r="E1" s="1369"/>
      <c r="F1" s="1369"/>
      <c r="G1" s="921"/>
      <c r="H1" s="921"/>
    </row>
    <row r="2" spans="1:11" s="1196" customFormat="1" ht="21">
      <c r="A2" s="1369" t="s">
        <v>41</v>
      </c>
      <c r="B2" s="1369"/>
      <c r="C2" s="1369"/>
      <c r="D2" s="1369"/>
      <c r="E2" s="1369"/>
      <c r="F2" s="1369"/>
      <c r="G2" s="921"/>
      <c r="H2" s="921"/>
    </row>
    <row r="3" spans="1:11" s="1196" customFormat="1" ht="24.95" customHeight="1">
      <c r="A3" s="1400" t="s">
        <v>1257</v>
      </c>
      <c r="B3" s="1400"/>
      <c r="C3" s="1400"/>
      <c r="D3" s="1400"/>
      <c r="E3" s="1400"/>
      <c r="F3" s="1400"/>
      <c r="G3" s="13"/>
      <c r="H3" s="13"/>
    </row>
    <row r="4" spans="1:11" s="1196" customFormat="1" ht="24.95" customHeight="1" thickBot="1">
      <c r="A4" s="1566" t="s">
        <v>1566</v>
      </c>
      <c r="B4" s="1566"/>
      <c r="C4" s="1566"/>
      <c r="D4" s="1566"/>
      <c r="E4" s="1566"/>
      <c r="F4" s="1566"/>
      <c r="G4" s="14"/>
      <c r="H4" s="14"/>
    </row>
    <row r="5" spans="1:11" s="93" customFormat="1" ht="37.35" customHeight="1">
      <c r="A5" s="922" t="s">
        <v>2</v>
      </c>
      <c r="B5" s="1208" t="s">
        <v>5</v>
      </c>
      <c r="C5" s="923" t="s">
        <v>126</v>
      </c>
      <c r="D5" s="1208" t="s">
        <v>3</v>
      </c>
      <c r="E5" s="1567" t="s">
        <v>1258</v>
      </c>
      <c r="F5" s="1568"/>
      <c r="G5" s="1199"/>
      <c r="H5" s="1199"/>
    </row>
    <row r="6" spans="1:11" s="93" customFormat="1" ht="15.75" customHeight="1">
      <c r="A6" s="1218"/>
      <c r="B6" s="1219"/>
      <c r="C6" s="1220"/>
      <c r="D6" s="1219"/>
      <c r="E6" s="1221"/>
      <c r="F6" s="1222"/>
      <c r="G6" s="1214"/>
      <c r="H6" s="1214"/>
    </row>
    <row r="7" spans="1:11" s="1196" customFormat="1" ht="58.5" customHeight="1">
      <c r="A7" s="927">
        <f>A9</f>
        <v>13749</v>
      </c>
      <c r="B7" s="1330">
        <f>B9</f>
        <v>10400</v>
      </c>
      <c r="C7" s="1207" t="s">
        <v>1256</v>
      </c>
      <c r="D7" s="928">
        <f>D9</f>
        <v>12000</v>
      </c>
      <c r="E7" s="1569" t="s">
        <v>1114</v>
      </c>
      <c r="F7" s="1570"/>
    </row>
    <row r="8" spans="1:11" s="1196" customFormat="1" ht="11.1" customHeight="1">
      <c r="A8" s="927"/>
      <c r="B8" s="170"/>
      <c r="C8" s="1207"/>
      <c r="D8" s="928"/>
      <c r="E8" s="947"/>
      <c r="F8" s="926"/>
    </row>
    <row r="9" spans="1:11" s="1196" customFormat="1" ht="89.25" customHeight="1">
      <c r="A9" s="929">
        <v>13749</v>
      </c>
      <c r="B9" s="930">
        <v>10400</v>
      </c>
      <c r="C9" s="1206" t="s">
        <v>1255</v>
      </c>
      <c r="D9" s="930">
        <v>12000</v>
      </c>
      <c r="E9" s="953" t="s">
        <v>729</v>
      </c>
      <c r="F9" s="1210" t="s">
        <v>1268</v>
      </c>
      <c r="H9" s="931"/>
      <c r="K9" s="1209"/>
    </row>
    <row r="10" spans="1:11" s="1196" customFormat="1" ht="97.5" customHeight="1">
      <c r="A10" s="929"/>
      <c r="B10" s="932"/>
      <c r="C10" s="1206"/>
      <c r="D10" s="932"/>
      <c r="E10" s="953" t="s">
        <v>1254</v>
      </c>
      <c r="F10" s="1210" t="s">
        <v>1472</v>
      </c>
    </row>
    <row r="11" spans="1:11" s="1196" customFormat="1" ht="76.5" customHeight="1">
      <c r="A11" s="933"/>
      <c r="B11" s="173"/>
      <c r="C11" s="1205"/>
      <c r="D11" s="256"/>
      <c r="E11" s="953" t="s">
        <v>1253</v>
      </c>
      <c r="F11" s="1211" t="s">
        <v>1473</v>
      </c>
    </row>
    <row r="12" spans="1:11" s="1329" customFormat="1" ht="65.25" customHeight="1">
      <c r="A12" s="933"/>
      <c r="B12" s="173"/>
      <c r="C12" s="1205"/>
      <c r="D12" s="256"/>
      <c r="E12" s="953" t="s">
        <v>1474</v>
      </c>
      <c r="F12" s="353" t="s">
        <v>1475</v>
      </c>
    </row>
    <row r="13" spans="1:11" s="1196" customFormat="1" ht="33.75" customHeight="1">
      <c r="A13" s="934">
        <v>1689</v>
      </c>
      <c r="B13" s="170">
        <v>0</v>
      </c>
      <c r="C13" s="1331" t="s">
        <v>1471</v>
      </c>
      <c r="D13" s="928">
        <v>0</v>
      </c>
      <c r="E13" s="947"/>
      <c r="F13" s="935"/>
    </row>
    <row r="14" spans="1:11" s="1196" customFormat="1" ht="30" customHeight="1">
      <c r="A14" s="929">
        <v>1689</v>
      </c>
      <c r="B14" s="936">
        <v>0</v>
      </c>
      <c r="C14" s="1345" t="s">
        <v>1255</v>
      </c>
      <c r="D14" s="936">
        <v>0</v>
      </c>
      <c r="E14" s="948"/>
      <c r="F14" s="935"/>
    </row>
    <row r="15" spans="1:11" s="1196" customFormat="1" ht="36.6" customHeight="1">
      <c r="A15" s="937"/>
      <c r="B15" s="1202"/>
      <c r="C15" s="1204"/>
      <c r="D15" s="938"/>
      <c r="E15" s="949"/>
      <c r="F15" s="935"/>
    </row>
    <row r="16" spans="1:11" s="1196" customFormat="1" ht="31.5" customHeight="1">
      <c r="A16" s="939"/>
      <c r="B16" s="94"/>
      <c r="C16" s="1203"/>
      <c r="D16" s="925"/>
      <c r="E16" s="950"/>
      <c r="F16" s="935"/>
    </row>
    <row r="17" spans="1:6" s="1196" customFormat="1" ht="16.5" customHeight="1">
      <c r="A17" s="939"/>
      <c r="B17" s="94"/>
      <c r="C17" s="604"/>
      <c r="D17" s="925"/>
      <c r="E17" s="950"/>
      <c r="F17" s="935"/>
    </row>
    <row r="18" spans="1:6" s="1196" customFormat="1" ht="13.5" customHeight="1">
      <c r="A18" s="937"/>
      <c r="B18" s="1202"/>
      <c r="C18" s="1201"/>
      <c r="D18" s="938"/>
      <c r="E18" s="949"/>
      <c r="F18" s="935"/>
    </row>
    <row r="19" spans="1:6" s="1196" customFormat="1" ht="24" customHeight="1">
      <c r="A19" s="149"/>
      <c r="B19" s="103"/>
      <c r="C19" s="940"/>
      <c r="D19" s="940"/>
      <c r="E19" s="1197"/>
      <c r="F19" s="1198"/>
    </row>
    <row r="20" spans="1:6" ht="21" customHeight="1">
      <c r="A20" s="149"/>
      <c r="B20" s="103"/>
      <c r="C20" s="940"/>
      <c r="D20" s="940"/>
      <c r="E20" s="1197"/>
      <c r="F20" s="1198"/>
    </row>
    <row r="21" spans="1:6" ht="33.4" customHeight="1" thickBot="1">
      <c r="A21" s="941">
        <f>A7+A13</f>
        <v>15438</v>
      </c>
      <c r="B21" s="942">
        <f>B7</f>
        <v>10400</v>
      </c>
      <c r="C21" s="1200" t="s">
        <v>794</v>
      </c>
      <c r="D21" s="942">
        <f>D7+D13</f>
        <v>12000</v>
      </c>
      <c r="E21" s="951"/>
      <c r="F21" s="943"/>
    </row>
    <row r="22" spans="1:6">
      <c r="A22" s="1565"/>
      <c r="B22" s="1565"/>
      <c r="C22" s="1565"/>
      <c r="D22" s="1565"/>
      <c r="E22" s="1565"/>
      <c r="F22" s="1565"/>
    </row>
  </sheetData>
  <mergeCells count="7">
    <mergeCell ref="A22:F22"/>
    <mergeCell ref="A1:F1"/>
    <mergeCell ref="A2:F2"/>
    <mergeCell ref="A3:F3"/>
    <mergeCell ref="A4:F4"/>
    <mergeCell ref="E5:F5"/>
    <mergeCell ref="E7:F7"/>
  </mergeCells>
  <phoneticPr fontId="6" type="noConversion"/>
  <printOptions horizontalCentered="1"/>
  <pageMargins left="0.59055118110236227" right="0.59055118110236227" top="0.59055118110236227" bottom="0.78740157480314965" header="0.51181102362204722" footer="0.51181102362204722"/>
  <pageSetup paperSize="9" firstPageNumber="44" orientation="portrait" useFirstPageNumber="1" r:id="rId1"/>
  <headerFooter alignWithMargins="0">
    <oddFooter>&amp;C&amp;"Times New Roman,標準"&amp;P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I21"/>
  <sheetViews>
    <sheetView showGridLines="0" view="pageBreakPreview" topLeftCell="A4" zoomScale="90" zoomScaleNormal="100" zoomScaleSheetLayoutView="90" workbookViewId="0">
      <selection activeCell="G28" sqref="G28"/>
    </sheetView>
  </sheetViews>
  <sheetFormatPr defaultColWidth="12" defaultRowHeight="20.25"/>
  <cols>
    <col min="1" max="1" width="12.125" style="752" customWidth="1"/>
    <col min="2" max="2" width="6.5" style="752" customWidth="1"/>
    <col min="3" max="3" width="12.375" style="752" customWidth="1"/>
    <col min="4" max="4" width="12.625" style="752" customWidth="1"/>
    <col min="5" max="5" width="12.875" style="752" customWidth="1"/>
    <col min="6" max="6" width="12.125" style="752" customWidth="1"/>
    <col min="7" max="7" width="2.75" style="752" customWidth="1"/>
    <col min="8" max="8" width="18.625" style="752" customWidth="1"/>
    <col min="9" max="9" width="0" style="752" hidden="1" customWidth="1"/>
    <col min="10" max="16384" width="12" style="752"/>
  </cols>
  <sheetData>
    <row r="1" spans="1:9" s="2" customFormat="1" ht="21">
      <c r="A1" s="1369" t="s">
        <v>40</v>
      </c>
      <c r="B1" s="1369"/>
      <c r="C1" s="1369"/>
      <c r="D1" s="1369"/>
      <c r="E1" s="1369"/>
      <c r="F1" s="1369"/>
      <c r="G1" s="1369"/>
      <c r="H1" s="1369"/>
      <c r="I1" s="1"/>
    </row>
    <row r="2" spans="1:9" s="2" customFormat="1" ht="21">
      <c r="A2" s="1369" t="s">
        <v>41</v>
      </c>
      <c r="B2" s="1369"/>
      <c r="C2" s="1369"/>
      <c r="D2" s="1369"/>
      <c r="E2" s="1369"/>
      <c r="F2" s="1369"/>
      <c r="G2" s="1369"/>
      <c r="H2" s="1369"/>
      <c r="I2" s="1"/>
    </row>
    <row r="3" spans="1:9" s="2" customFormat="1" ht="24.75" customHeight="1">
      <c r="A3" s="1370" t="s">
        <v>1132</v>
      </c>
      <c r="B3" s="1371"/>
      <c r="C3" s="1371"/>
      <c r="D3" s="1371"/>
      <c r="E3" s="1371"/>
      <c r="F3" s="1371"/>
      <c r="G3" s="1371"/>
      <c r="H3" s="1371"/>
      <c r="I3" s="3"/>
    </row>
    <row r="4" spans="1:9" s="738" customFormat="1" ht="24.75" customHeight="1" thickBot="1">
      <c r="A4" s="1555" t="s">
        <v>1290</v>
      </c>
      <c r="B4" s="1555"/>
      <c r="C4" s="1555"/>
      <c r="D4" s="1555"/>
      <c r="E4" s="1555"/>
      <c r="F4" s="1555"/>
      <c r="G4" s="1555"/>
      <c r="H4" s="1555"/>
    </row>
    <row r="5" spans="1:9" s="741" customFormat="1" ht="51" customHeight="1">
      <c r="A5" s="739" t="s">
        <v>517</v>
      </c>
      <c r="B5" s="740" t="s">
        <v>506</v>
      </c>
      <c r="C5" s="740" t="s">
        <v>507</v>
      </c>
      <c r="D5" s="740" t="s">
        <v>513</v>
      </c>
      <c r="E5" s="753" t="s">
        <v>508</v>
      </c>
      <c r="F5" s="740" t="s">
        <v>520</v>
      </c>
      <c r="G5" s="1577" t="s">
        <v>588</v>
      </c>
      <c r="H5" s="1578"/>
    </row>
    <row r="6" spans="1:9" s="738" customFormat="1" ht="85.35" customHeight="1">
      <c r="A6" s="836" t="s">
        <v>583</v>
      </c>
      <c r="B6" s="754">
        <v>113</v>
      </c>
      <c r="C6" s="755">
        <v>5049000</v>
      </c>
      <c r="D6" s="755">
        <v>1607000</v>
      </c>
      <c r="E6" s="756">
        <v>0</v>
      </c>
      <c r="F6" s="757">
        <f>+C6+D6-E6</f>
        <v>6656000</v>
      </c>
      <c r="G6" s="1571" t="s">
        <v>519</v>
      </c>
      <c r="H6" s="1572"/>
      <c r="I6" s="742" t="s">
        <v>509</v>
      </c>
    </row>
    <row r="7" spans="1:9" s="744" customFormat="1" ht="80.099999999999994" customHeight="1">
      <c r="A7" s="837" t="s">
        <v>584</v>
      </c>
      <c r="B7" s="758">
        <v>113</v>
      </c>
      <c r="C7" s="759">
        <v>285000</v>
      </c>
      <c r="D7" s="760">
        <v>1500000</v>
      </c>
      <c r="E7" s="761">
        <v>1500000</v>
      </c>
      <c r="F7" s="762">
        <f>+C7+D7-E7</f>
        <v>285000</v>
      </c>
      <c r="G7" s="1573"/>
      <c r="H7" s="1398"/>
      <c r="I7" s="743" t="s">
        <v>510</v>
      </c>
    </row>
    <row r="8" spans="1:9" s="744" customFormat="1" ht="80.099999999999994" customHeight="1">
      <c r="A8" s="837" t="s">
        <v>585</v>
      </c>
      <c r="B8" s="758"/>
      <c r="C8" s="759">
        <f>SUM(C6:C7)</f>
        <v>5334000</v>
      </c>
      <c r="D8" s="760">
        <f>SUM(D6:D7)</f>
        <v>3107000</v>
      </c>
      <c r="E8" s="756">
        <f>SUM(E6:E7)</f>
        <v>1500000</v>
      </c>
      <c r="F8" s="762">
        <f>SUM(F6:F7)</f>
        <v>6941000</v>
      </c>
      <c r="G8" s="1573"/>
      <c r="H8" s="1398"/>
      <c r="I8" s="743"/>
    </row>
    <row r="9" spans="1:9" s="744" customFormat="1" ht="69.599999999999994" customHeight="1">
      <c r="A9" s="838" t="s">
        <v>586</v>
      </c>
      <c r="B9" s="758">
        <v>113</v>
      </c>
      <c r="C9" s="762">
        <v>10371000</v>
      </c>
      <c r="D9" s="762">
        <v>10600000</v>
      </c>
      <c r="E9" s="762">
        <v>8600000</v>
      </c>
      <c r="F9" s="762">
        <f>+C9+D9-E9</f>
        <v>12371000</v>
      </c>
      <c r="G9" s="770" t="s">
        <v>523</v>
      </c>
      <c r="H9" s="1574" t="s">
        <v>1413</v>
      </c>
      <c r="I9" s="743" t="s">
        <v>510</v>
      </c>
    </row>
    <row r="10" spans="1:9" s="744" customFormat="1" ht="82.15" customHeight="1">
      <c r="A10" s="838"/>
      <c r="B10" s="765"/>
      <c r="C10" s="772"/>
      <c r="D10" s="772"/>
      <c r="E10" s="762"/>
      <c r="F10" s="762"/>
      <c r="G10" s="770"/>
      <c r="H10" s="1575"/>
      <c r="I10" s="743"/>
    </row>
    <row r="11" spans="1:9" s="744" customFormat="1" ht="97.15" customHeight="1">
      <c r="A11" s="839" t="s">
        <v>587</v>
      </c>
      <c r="B11" s="773">
        <v>113</v>
      </c>
      <c r="C11" s="774">
        <v>0</v>
      </c>
      <c r="D11" s="774">
        <v>0</v>
      </c>
      <c r="E11" s="775">
        <v>1500000</v>
      </c>
      <c r="F11" s="775">
        <f>+C11+D11-E11</f>
        <v>-1500000</v>
      </c>
      <c r="G11" s="770" t="s">
        <v>522</v>
      </c>
      <c r="H11" s="1576" t="s">
        <v>1382</v>
      </c>
      <c r="I11" s="743"/>
    </row>
    <row r="12" spans="1:9" s="744" customFormat="1" ht="49.35" customHeight="1">
      <c r="A12" s="837" t="s">
        <v>585</v>
      </c>
      <c r="B12" s="746"/>
      <c r="C12" s="762">
        <f>SUM(C9:C11)</f>
        <v>10371000</v>
      </c>
      <c r="D12" s="762">
        <f>SUM(D9:D11)</f>
        <v>10600000</v>
      </c>
      <c r="E12" s="762">
        <f>SUM(E9:E11)</f>
        <v>10100000</v>
      </c>
      <c r="F12" s="762">
        <f>SUM(F9:F11)</f>
        <v>10871000</v>
      </c>
      <c r="G12" s="771" t="s">
        <v>521</v>
      </c>
      <c r="H12" s="1575"/>
    </row>
    <row r="13" spans="1:9" s="744" customFormat="1" ht="49.35" customHeight="1">
      <c r="A13" s="745"/>
      <c r="B13" s="747"/>
      <c r="C13" s="747"/>
      <c r="D13" s="748"/>
      <c r="E13" s="747"/>
      <c r="F13" s="749"/>
      <c r="G13" s="749"/>
      <c r="H13" s="768"/>
      <c r="I13" s="738"/>
    </row>
    <row r="14" spans="1:9" s="744" customFormat="1" ht="24.6" hidden="1" customHeight="1">
      <c r="A14" s="745"/>
      <c r="B14" s="750"/>
      <c r="C14" s="750"/>
      <c r="D14" s="746"/>
      <c r="E14" s="747"/>
      <c r="F14" s="749"/>
      <c r="G14" s="749"/>
      <c r="H14" s="768"/>
      <c r="I14" s="738"/>
    </row>
    <row r="15" spans="1:9" s="744" customFormat="1" ht="24.95" hidden="1" customHeight="1">
      <c r="A15" s="745"/>
      <c r="B15" s="750"/>
      <c r="C15" s="750"/>
      <c r="D15" s="746"/>
      <c r="E15" s="747"/>
      <c r="F15" s="749"/>
      <c r="G15" s="749"/>
      <c r="H15" s="768"/>
      <c r="I15" s="738"/>
    </row>
    <row r="16" spans="1:9" s="744" customFormat="1" ht="24.95" hidden="1" customHeight="1">
      <c r="A16" s="745"/>
      <c r="B16" s="750"/>
      <c r="C16" s="750"/>
      <c r="D16" s="746"/>
      <c r="E16" s="747"/>
      <c r="F16" s="749"/>
      <c r="G16" s="749"/>
      <c r="H16" s="768"/>
      <c r="I16" s="738"/>
    </row>
    <row r="17" spans="1:9" s="744" customFormat="1" ht="24.95" hidden="1" customHeight="1">
      <c r="A17" s="745"/>
      <c r="B17" s="750"/>
      <c r="C17" s="750"/>
      <c r="D17" s="746"/>
      <c r="E17" s="747"/>
      <c r="F17" s="749"/>
      <c r="G17" s="749"/>
      <c r="H17" s="768"/>
      <c r="I17" s="738"/>
    </row>
    <row r="18" spans="1:9" s="744" customFormat="1" ht="24.95" hidden="1" customHeight="1">
      <c r="A18" s="745"/>
      <c r="B18" s="750"/>
      <c r="C18" s="750"/>
      <c r="D18" s="747"/>
      <c r="E18" s="747"/>
      <c r="F18" s="749"/>
      <c r="G18" s="749"/>
      <c r="H18" s="768"/>
      <c r="I18" s="738"/>
    </row>
    <row r="19" spans="1:9" s="744" customFormat="1" ht="24.95" hidden="1" customHeight="1">
      <c r="A19" s="745"/>
      <c r="B19" s="747"/>
      <c r="C19" s="747"/>
      <c r="D19" s="747"/>
      <c r="E19" s="747"/>
      <c r="F19" s="749"/>
      <c r="G19" s="749"/>
      <c r="H19" s="768"/>
      <c r="I19" s="738"/>
    </row>
    <row r="20" spans="1:9" s="738" customFormat="1" ht="24.95" hidden="1" customHeight="1">
      <c r="A20" s="745"/>
      <c r="B20" s="747"/>
      <c r="C20" s="747"/>
      <c r="D20" s="747"/>
      <c r="E20" s="747"/>
      <c r="F20" s="749"/>
      <c r="G20" s="749"/>
      <c r="H20" s="768"/>
    </row>
    <row r="21" spans="1:9" s="738" customFormat="1" ht="48.75" customHeight="1" thickBot="1">
      <c r="A21" s="763" t="s">
        <v>512</v>
      </c>
      <c r="B21" s="751"/>
      <c r="C21" s="764">
        <f>+C8+C12</f>
        <v>15705000</v>
      </c>
      <c r="D21" s="764">
        <f>+D8+D12</f>
        <v>13707000</v>
      </c>
      <c r="E21" s="764">
        <f>+E8+E12</f>
        <v>11600000</v>
      </c>
      <c r="F21" s="764">
        <f>+F8+F12</f>
        <v>17812000</v>
      </c>
      <c r="G21" s="767"/>
      <c r="H21" s="769"/>
    </row>
  </sheetData>
  <mergeCells count="8">
    <mergeCell ref="G6:H8"/>
    <mergeCell ref="H9:H10"/>
    <mergeCell ref="H11:H12"/>
    <mergeCell ref="A1:H1"/>
    <mergeCell ref="A2:H2"/>
    <mergeCell ref="A3:H3"/>
    <mergeCell ref="A4:H4"/>
    <mergeCell ref="G5:H5"/>
  </mergeCells>
  <phoneticPr fontId="6" type="noConversion"/>
  <printOptions horizontalCentered="1"/>
  <pageMargins left="0.59055118110236227" right="0.59055118110236227" top="0.59055118110236227" bottom="0.78740157480314965" header="0.51181102362204722" footer="0.51181102362204722"/>
  <pageSetup paperSize="9" firstPageNumber="45" fitToHeight="0" orientation="portrait" useFirstPageNumber="1" r:id="rId1"/>
  <headerFooter alignWithMargins="0">
    <oddFooter>&amp;C&amp;"Times New Roman,標準"&amp;P</oddFooter>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F50"/>
  <sheetViews>
    <sheetView view="pageBreakPreview" zoomScaleNormal="100" zoomScaleSheetLayoutView="100" workbookViewId="0">
      <selection activeCell="G28" sqref="G28"/>
    </sheetView>
  </sheetViews>
  <sheetFormatPr defaultColWidth="9" defaultRowHeight="15.75"/>
  <cols>
    <col min="1" max="1" width="15" style="6" customWidth="1"/>
    <col min="2" max="2" width="32.25" style="6" customWidth="1"/>
    <col min="3" max="3" width="14.75" style="6" customWidth="1"/>
    <col min="4" max="4" width="14.625" style="19" customWidth="1"/>
    <col min="5" max="5" width="12.875" style="6" customWidth="1"/>
    <col min="6" max="6" width="14.625" style="6" bestFit="1" customWidth="1"/>
    <col min="7" max="16384" width="9" style="6"/>
  </cols>
  <sheetData>
    <row r="1" spans="1:6" ht="21">
      <c r="A1" s="1369" t="s">
        <v>40</v>
      </c>
      <c r="B1" s="1369"/>
      <c r="C1" s="1369"/>
      <c r="D1" s="1369"/>
      <c r="E1" s="1369"/>
    </row>
    <row r="2" spans="1:6" ht="21">
      <c r="A2" s="1369" t="s">
        <v>41</v>
      </c>
      <c r="B2" s="1369"/>
      <c r="C2" s="1369"/>
      <c r="D2" s="1369"/>
      <c r="E2" s="1369"/>
    </row>
    <row r="3" spans="1:6" ht="24.75" customHeight="1">
      <c r="A3" s="1370" t="s">
        <v>1141</v>
      </c>
      <c r="B3" s="1371"/>
      <c r="C3" s="1371"/>
      <c r="D3" s="1371"/>
      <c r="E3" s="1371"/>
    </row>
    <row r="4" spans="1:6" ht="24.75" customHeight="1" thickBot="1">
      <c r="A4" s="1389" t="s">
        <v>1291</v>
      </c>
      <c r="B4" s="1390"/>
      <c r="C4" s="1390"/>
      <c r="D4" s="1390"/>
      <c r="E4" s="1390"/>
    </row>
    <row r="5" spans="1:6" ht="15.75" customHeight="1">
      <c r="A5" s="1583" t="s">
        <v>1292</v>
      </c>
      <c r="B5" s="1586" t="s">
        <v>81</v>
      </c>
      <c r="C5" s="1592" t="s">
        <v>1293</v>
      </c>
      <c r="D5" s="1592" t="s">
        <v>1168</v>
      </c>
      <c r="E5" s="1589" t="s">
        <v>514</v>
      </c>
    </row>
    <row r="6" spans="1:6" ht="15.75" customHeight="1">
      <c r="A6" s="1584"/>
      <c r="B6" s="1587"/>
      <c r="C6" s="1593"/>
      <c r="D6" s="1593"/>
      <c r="E6" s="1590"/>
    </row>
    <row r="7" spans="1:6" ht="15.75" customHeight="1">
      <c r="A7" s="1585"/>
      <c r="B7" s="1588"/>
      <c r="C7" s="1594"/>
      <c r="D7" s="1594"/>
      <c r="E7" s="1591"/>
    </row>
    <row r="8" spans="1:6" ht="8.25" customHeight="1">
      <c r="A8" s="660"/>
      <c r="B8" s="661"/>
      <c r="C8" s="659"/>
      <c r="D8" s="662"/>
      <c r="E8" s="663"/>
    </row>
    <row r="9" spans="1:6" s="30" customFormat="1" ht="30" customHeight="1">
      <c r="A9" s="252">
        <f>+A10+A16+A19+A21+A23+1</f>
        <v>1066378904</v>
      </c>
      <c r="B9" s="672" t="s">
        <v>254</v>
      </c>
      <c r="C9" s="114">
        <f>+C10+C16+C19+C21+C23</f>
        <v>1192869105</v>
      </c>
      <c r="D9" s="114">
        <f>+D10+D16+D19+D21+D23</f>
        <v>1086866417</v>
      </c>
      <c r="E9" s="115">
        <f>+E10+E16+E19+E21+E23</f>
        <v>106002688</v>
      </c>
      <c r="F9" s="713"/>
    </row>
    <row r="10" spans="1:6" s="30" customFormat="1" ht="30" customHeight="1">
      <c r="A10" s="112">
        <f>SUM(A11:A15)-1</f>
        <v>798377438</v>
      </c>
      <c r="B10" s="116" t="s">
        <v>255</v>
      </c>
      <c r="C10" s="114">
        <f>SUM(C11:C15)</f>
        <v>931459503</v>
      </c>
      <c r="D10" s="114">
        <f>SUM(D11:D15)</f>
        <v>842169176</v>
      </c>
      <c r="E10" s="115">
        <f>SUM(E11:E15)</f>
        <v>89290327</v>
      </c>
      <c r="F10" s="729"/>
    </row>
    <row r="11" spans="1:6" s="9" customFormat="1" ht="30" customHeight="1">
      <c r="A11" s="117">
        <v>63375917</v>
      </c>
      <c r="B11" s="118" t="s">
        <v>256</v>
      </c>
      <c r="C11" s="119">
        <f>82991881+1000000+2000+20000000</f>
        <v>103993881</v>
      </c>
      <c r="D11" s="119">
        <f>77279160+1000000+2000</f>
        <v>78281160</v>
      </c>
      <c r="E11" s="120">
        <f>C11-D11</f>
        <v>25712721</v>
      </c>
    </row>
    <row r="12" spans="1:6" s="9" customFormat="1" ht="30" customHeight="1">
      <c r="A12" s="117">
        <v>628645613</v>
      </c>
      <c r="B12" s="118" t="s">
        <v>278</v>
      </c>
      <c r="C12" s="119">
        <v>715647935</v>
      </c>
      <c r="D12" s="119">
        <v>655319812</v>
      </c>
      <c r="E12" s="120">
        <f>C12-D12</f>
        <v>60328123</v>
      </c>
    </row>
    <row r="13" spans="1:6" s="9" customFormat="1" ht="30" customHeight="1">
      <c r="A13" s="117">
        <v>103127013</v>
      </c>
      <c r="B13" s="118" t="s">
        <v>279</v>
      </c>
      <c r="C13" s="119">
        <v>104870687</v>
      </c>
      <c r="D13" s="119">
        <v>103232204</v>
      </c>
      <c r="E13" s="120">
        <f>C13-D13</f>
        <v>1638483</v>
      </c>
    </row>
    <row r="14" spans="1:6" s="9" customFormat="1" ht="30" customHeight="1">
      <c r="A14" s="117">
        <v>6962</v>
      </c>
      <c r="B14" s="118" t="s">
        <v>259</v>
      </c>
      <c r="C14" s="119">
        <v>6000</v>
      </c>
      <c r="D14" s="119">
        <v>2000</v>
      </c>
      <c r="E14" s="120">
        <f>C14-D14</f>
        <v>4000</v>
      </c>
    </row>
    <row r="15" spans="1:6" s="9" customFormat="1" ht="30" customHeight="1">
      <c r="A15" s="117">
        <v>3221934</v>
      </c>
      <c r="B15" s="118" t="s">
        <v>260</v>
      </c>
      <c r="C15" s="119">
        <v>6941000</v>
      </c>
      <c r="D15" s="119">
        <v>5334000</v>
      </c>
      <c r="E15" s="120">
        <f>C15-D15</f>
        <v>1607000</v>
      </c>
    </row>
    <row r="16" spans="1:6" s="30" customFormat="1" ht="30" customHeight="1">
      <c r="A16" s="112">
        <f>SUM(A17:A18)</f>
        <v>239515595</v>
      </c>
      <c r="B16" s="121" t="s">
        <v>261</v>
      </c>
      <c r="C16" s="114">
        <f>SUM(C17:C18)</f>
        <v>235458903</v>
      </c>
      <c r="D16" s="114">
        <f>SUM(D17:D18)</f>
        <v>217999982</v>
      </c>
      <c r="E16" s="115">
        <f>SUM(E17:E18)</f>
        <v>17458921</v>
      </c>
      <c r="F16" s="729"/>
    </row>
    <row r="17" spans="1:6" s="9" customFormat="1" ht="30" customHeight="1">
      <c r="A17" s="117">
        <v>231543196</v>
      </c>
      <c r="B17" s="118" t="s">
        <v>311</v>
      </c>
      <c r="C17" s="119">
        <v>224587903</v>
      </c>
      <c r="D17" s="119">
        <v>207628982</v>
      </c>
      <c r="E17" s="120">
        <f>C17-D17</f>
        <v>16958921</v>
      </c>
    </row>
    <row r="18" spans="1:6" s="9" customFormat="1" ht="30" customHeight="1">
      <c r="A18" s="117">
        <v>7972399</v>
      </c>
      <c r="B18" s="118" t="s">
        <v>262</v>
      </c>
      <c r="C18" s="119">
        <v>10871000</v>
      </c>
      <c r="D18" s="119">
        <v>10371000</v>
      </c>
      <c r="E18" s="120">
        <f>C18-D18</f>
        <v>500000</v>
      </c>
    </row>
    <row r="19" spans="1:6" s="30" customFormat="1" ht="30" customHeight="1">
      <c r="A19" s="112">
        <f>+A20</f>
        <v>1385694</v>
      </c>
      <c r="B19" s="121" t="s">
        <v>304</v>
      </c>
      <c r="C19" s="114">
        <f>+C20</f>
        <v>1353392</v>
      </c>
      <c r="D19" s="114">
        <f>+D20</f>
        <v>1369543</v>
      </c>
      <c r="E19" s="115">
        <f>+E20</f>
        <v>-16151</v>
      </c>
    </row>
    <row r="20" spans="1:6" s="9" customFormat="1" ht="30" customHeight="1">
      <c r="A20" s="117">
        <v>1385694</v>
      </c>
      <c r="B20" s="118" t="s">
        <v>432</v>
      </c>
      <c r="C20" s="119">
        <v>1353392</v>
      </c>
      <c r="D20" s="119">
        <v>1369543</v>
      </c>
      <c r="E20" s="120">
        <f>C20-D20</f>
        <v>-16151</v>
      </c>
    </row>
    <row r="21" spans="1:6" s="30" customFormat="1" ht="30" customHeight="1">
      <c r="A21" s="128">
        <f>A22</f>
        <v>15463</v>
      </c>
      <c r="B21" s="116" t="s">
        <v>37</v>
      </c>
      <c r="C21" s="114">
        <f>C22</f>
        <v>30173</v>
      </c>
      <c r="D21" s="129">
        <f>D22</f>
        <v>23031</v>
      </c>
      <c r="E21" s="130">
        <f>+E22</f>
        <v>7142</v>
      </c>
    </row>
    <row r="22" spans="1:6" s="9" customFormat="1" ht="30" customHeight="1">
      <c r="A22" s="131">
        <v>15463</v>
      </c>
      <c r="B22" s="118" t="s">
        <v>38</v>
      </c>
      <c r="C22" s="119">
        <f>30148+25</f>
        <v>30173</v>
      </c>
      <c r="D22" s="127">
        <f>23006+25</f>
        <v>23031</v>
      </c>
      <c r="E22" s="122">
        <f>C22-D22</f>
        <v>7142</v>
      </c>
    </row>
    <row r="23" spans="1:6" s="30" customFormat="1" ht="30" customHeight="1">
      <c r="A23" s="112">
        <f>+A24+A25+A26</f>
        <v>27084713</v>
      </c>
      <c r="B23" s="116" t="s">
        <v>280</v>
      </c>
      <c r="C23" s="114">
        <f>+C24+C25+C26</f>
        <v>24567134</v>
      </c>
      <c r="D23" s="114">
        <f>+D24+D25+D26</f>
        <v>25304685</v>
      </c>
      <c r="E23" s="115">
        <f>+E24+E25+E26</f>
        <v>-737551</v>
      </c>
      <c r="F23" s="729"/>
    </row>
    <row r="24" spans="1:6" s="9" customFormat="1" ht="30" customHeight="1">
      <c r="A24" s="117">
        <v>38533</v>
      </c>
      <c r="B24" s="118" t="s">
        <v>342</v>
      </c>
      <c r="C24" s="119">
        <f>37340-25</f>
        <v>37315</v>
      </c>
      <c r="D24" s="119">
        <f>37949-25</f>
        <v>37924</v>
      </c>
      <c r="E24" s="120">
        <f>C24-D24</f>
        <v>-609</v>
      </c>
    </row>
    <row r="25" spans="1:6" s="9" customFormat="1" ht="30" customHeight="1">
      <c r="A25" s="117">
        <v>26807868</v>
      </c>
      <c r="B25" s="118" t="s">
        <v>20</v>
      </c>
      <c r="C25" s="119">
        <v>24291507</v>
      </c>
      <c r="D25" s="119">
        <v>25028449</v>
      </c>
      <c r="E25" s="120">
        <f>C25-D25</f>
        <v>-736942</v>
      </c>
    </row>
    <row r="26" spans="1:6" s="9" customFormat="1" ht="30" customHeight="1">
      <c r="A26" s="117">
        <v>238312</v>
      </c>
      <c r="B26" s="118" t="s">
        <v>343</v>
      </c>
      <c r="C26" s="119">
        <v>238312</v>
      </c>
      <c r="D26" s="119">
        <v>238312</v>
      </c>
      <c r="E26" s="130">
        <f>C26-D26</f>
        <v>0</v>
      </c>
    </row>
    <row r="27" spans="1:6" s="9" customFormat="1" ht="27.6" customHeight="1">
      <c r="A27" s="117"/>
      <c r="B27" s="118"/>
      <c r="C27" s="119"/>
      <c r="D27" s="119"/>
      <c r="E27" s="120"/>
    </row>
    <row r="28" spans="1:6" s="9" customFormat="1" ht="41.25" customHeight="1">
      <c r="A28" s="117"/>
      <c r="B28" s="118"/>
      <c r="C28" s="119"/>
      <c r="D28" s="119"/>
      <c r="E28" s="120"/>
    </row>
    <row r="29" spans="1:6" s="30" customFormat="1" ht="29.25" customHeight="1" thickBot="1">
      <c r="A29" s="123">
        <f>A9</f>
        <v>1066378904</v>
      </c>
      <c r="B29" s="124" t="s">
        <v>32</v>
      </c>
      <c r="C29" s="125">
        <f>C9</f>
        <v>1192869105</v>
      </c>
      <c r="D29" s="125">
        <f>D9</f>
        <v>1086866417</v>
      </c>
      <c r="E29" s="126">
        <f>E9</f>
        <v>106002688</v>
      </c>
    </row>
    <row r="30" spans="1:6" s="30" customFormat="1" ht="30" customHeight="1">
      <c r="A30" s="112">
        <f>A31+A36</f>
        <v>1066373695</v>
      </c>
      <c r="B30" s="672" t="s">
        <v>18</v>
      </c>
      <c r="C30" s="114">
        <f>C31+C36</f>
        <v>1192863896</v>
      </c>
      <c r="D30" s="114">
        <f>D31+D36</f>
        <v>1086861208</v>
      </c>
      <c r="E30" s="115">
        <f>E31+E36</f>
        <v>106002688</v>
      </c>
      <c r="F30" s="729"/>
    </row>
    <row r="31" spans="1:6" s="30" customFormat="1" ht="30" customHeight="1">
      <c r="A31" s="112">
        <f>SUM(A32:A35)</f>
        <v>23697230</v>
      </c>
      <c r="B31" s="116" t="s">
        <v>281</v>
      </c>
      <c r="C31" s="114">
        <f>SUM(C32:C35)</f>
        <v>27229224</v>
      </c>
      <c r="D31" s="114">
        <f>SUM(D32:D35)</f>
        <v>25617217</v>
      </c>
      <c r="E31" s="115">
        <f>SUM(E32:E35)</f>
        <v>1612007</v>
      </c>
    </row>
    <row r="32" spans="1:6" s="9" customFormat="1" ht="30" customHeight="1">
      <c r="A32" s="117">
        <v>3120000</v>
      </c>
      <c r="B32" s="118" t="s">
        <v>433</v>
      </c>
      <c r="C32" s="119">
        <v>6656000</v>
      </c>
      <c r="D32" s="119">
        <v>5049000</v>
      </c>
      <c r="E32" s="120">
        <f>C32-D32</f>
        <v>1607000</v>
      </c>
    </row>
    <row r="33" spans="1:6" s="9" customFormat="1" ht="30" customHeight="1">
      <c r="A33" s="117">
        <v>19999303</v>
      </c>
      <c r="B33" s="118" t="s">
        <v>21</v>
      </c>
      <c r="C33" s="119">
        <v>19998072</v>
      </c>
      <c r="D33" s="119">
        <v>19995841</v>
      </c>
      <c r="E33" s="120">
        <f>C33-D33</f>
        <v>2231</v>
      </c>
    </row>
    <row r="34" spans="1:6" s="9" customFormat="1" ht="30" customHeight="1">
      <c r="A34" s="117">
        <v>302135</v>
      </c>
      <c r="B34" s="118" t="s">
        <v>22</v>
      </c>
      <c r="C34" s="119">
        <v>299360</v>
      </c>
      <c r="D34" s="119">
        <v>296584</v>
      </c>
      <c r="E34" s="120">
        <f>C34-D34</f>
        <v>2776</v>
      </c>
    </row>
    <row r="35" spans="1:6" s="9" customFormat="1" ht="30" customHeight="1">
      <c r="A35" s="117">
        <v>275792</v>
      </c>
      <c r="B35" s="118" t="s">
        <v>270</v>
      </c>
      <c r="C35" s="127">
        <v>275792</v>
      </c>
      <c r="D35" s="127">
        <v>275792</v>
      </c>
      <c r="E35" s="130">
        <f>C35-D35</f>
        <v>0</v>
      </c>
    </row>
    <row r="36" spans="1:6" s="30" customFormat="1" ht="30" customHeight="1">
      <c r="A36" s="112">
        <f>SUM(A37:A39)+1</f>
        <v>1042676465</v>
      </c>
      <c r="B36" s="121" t="s">
        <v>271</v>
      </c>
      <c r="C36" s="114">
        <f>SUM(C37:C39)</f>
        <v>1165634672</v>
      </c>
      <c r="D36" s="114">
        <f>SUM(D37:D39)</f>
        <v>1061243991</v>
      </c>
      <c r="E36" s="115">
        <f>SUM(E37:E39)</f>
        <v>104390681</v>
      </c>
    </row>
    <row r="37" spans="1:6" s="30" customFormat="1" ht="30" customHeight="1">
      <c r="A37" s="117">
        <v>3853346</v>
      </c>
      <c r="B37" s="118" t="s">
        <v>344</v>
      </c>
      <c r="C37" s="119">
        <v>3731516</v>
      </c>
      <c r="D37" s="119">
        <v>3792431</v>
      </c>
      <c r="E37" s="120">
        <f>C37-D37</f>
        <v>-60915</v>
      </c>
    </row>
    <row r="38" spans="1:6" s="9" customFormat="1" ht="30" customHeight="1">
      <c r="A38" s="117">
        <v>1038660157</v>
      </c>
      <c r="B38" s="118" t="s">
        <v>23</v>
      </c>
      <c r="C38" s="119">
        <f>1140738024+1002000+20000000</f>
        <v>1161740024</v>
      </c>
      <c r="D38" s="119">
        <f>1056285528+1002000</f>
        <v>1057287528</v>
      </c>
      <c r="E38" s="120">
        <f>C38-D38</f>
        <v>104452496</v>
      </c>
    </row>
    <row r="39" spans="1:6" s="9" customFormat="1" ht="30" customHeight="1">
      <c r="A39" s="117">
        <v>162961</v>
      </c>
      <c r="B39" s="118" t="s">
        <v>24</v>
      </c>
      <c r="C39" s="119">
        <v>163132</v>
      </c>
      <c r="D39" s="119">
        <v>164032</v>
      </c>
      <c r="E39" s="120">
        <f>C39-D39</f>
        <v>-900</v>
      </c>
    </row>
    <row r="40" spans="1:6" s="30" customFormat="1" ht="30" customHeight="1">
      <c r="A40" s="112">
        <f>A41+A43+A45</f>
        <v>5209</v>
      </c>
      <c r="B40" s="672" t="s">
        <v>274</v>
      </c>
      <c r="C40" s="114">
        <f>C41+C43+C45</f>
        <v>5209</v>
      </c>
      <c r="D40" s="114">
        <f>D41+D43+D45</f>
        <v>5209</v>
      </c>
      <c r="E40" s="122">
        <f>E41+E43+E45</f>
        <v>0</v>
      </c>
    </row>
    <row r="41" spans="1:6" s="30" customFormat="1" ht="30" customHeight="1">
      <c r="A41" s="112">
        <f>A42</f>
        <v>625</v>
      </c>
      <c r="B41" s="116" t="s">
        <v>275</v>
      </c>
      <c r="C41" s="114">
        <f>C42</f>
        <v>625</v>
      </c>
      <c r="D41" s="114">
        <f>D42</f>
        <v>625</v>
      </c>
      <c r="E41" s="122">
        <f>E42</f>
        <v>0</v>
      </c>
    </row>
    <row r="42" spans="1:6" s="9" customFormat="1" ht="30" customHeight="1">
      <c r="A42" s="117">
        <v>625</v>
      </c>
      <c r="B42" s="118" t="s">
        <v>434</v>
      </c>
      <c r="C42" s="119">
        <v>625</v>
      </c>
      <c r="D42" s="119">
        <v>625</v>
      </c>
      <c r="E42" s="130">
        <f>C42-D42</f>
        <v>0</v>
      </c>
    </row>
    <row r="43" spans="1:6" s="30" customFormat="1" ht="30" customHeight="1">
      <c r="A43" s="112">
        <f>A44</f>
        <v>4584</v>
      </c>
      <c r="B43" s="116" t="s">
        <v>435</v>
      </c>
      <c r="C43" s="114">
        <f>C44</f>
        <v>4584</v>
      </c>
      <c r="D43" s="114">
        <f>D44</f>
        <v>4584</v>
      </c>
      <c r="E43" s="122">
        <f>E44</f>
        <v>0</v>
      </c>
    </row>
    <row r="44" spans="1:6" s="9" customFormat="1" ht="30" customHeight="1">
      <c r="A44" s="117">
        <v>4584</v>
      </c>
      <c r="B44" s="118" t="s">
        <v>276</v>
      </c>
      <c r="C44" s="119">
        <v>4584</v>
      </c>
      <c r="D44" s="119">
        <v>4584</v>
      </c>
      <c r="E44" s="130">
        <f>C44-D44</f>
        <v>0</v>
      </c>
    </row>
    <row r="45" spans="1:6" s="30" customFormat="1" ht="29.1" customHeight="1">
      <c r="A45" s="131">
        <f>A46</f>
        <v>0</v>
      </c>
      <c r="B45" s="116" t="s">
        <v>337</v>
      </c>
      <c r="C45" s="127">
        <f>C46</f>
        <v>0</v>
      </c>
      <c r="D45" s="127">
        <f>D46</f>
        <v>0</v>
      </c>
      <c r="E45" s="122">
        <f>E46</f>
        <v>0</v>
      </c>
    </row>
    <row r="46" spans="1:6" s="9" customFormat="1" ht="44.25" customHeight="1">
      <c r="A46" s="128">
        <v>0</v>
      </c>
      <c r="B46" s="118" t="s">
        <v>25</v>
      </c>
      <c r="C46" s="129">
        <v>0</v>
      </c>
      <c r="D46" s="129">
        <v>0</v>
      </c>
      <c r="E46" s="130">
        <v>0</v>
      </c>
    </row>
    <row r="47" spans="1:6" s="853" customFormat="1" ht="49.5" customHeight="1">
      <c r="A47" s="128"/>
      <c r="B47" s="118"/>
      <c r="C47" s="129"/>
      <c r="D47" s="129"/>
      <c r="E47" s="130"/>
    </row>
    <row r="48" spans="1:6" s="30" customFormat="1" ht="38.450000000000003" customHeight="1" thickBot="1">
      <c r="A48" s="123">
        <f>A30+A40</f>
        <v>1066378904</v>
      </c>
      <c r="B48" s="124" t="s">
        <v>32</v>
      </c>
      <c r="C48" s="125">
        <f>C30+C40</f>
        <v>1192869105</v>
      </c>
      <c r="D48" s="125">
        <f>D30+D40</f>
        <v>1086866417</v>
      </c>
      <c r="E48" s="126">
        <f>E30+E40</f>
        <v>106002688</v>
      </c>
      <c r="F48" s="729"/>
    </row>
    <row r="49" spans="1:5" s="199" customFormat="1" ht="26.45" customHeight="1">
      <c r="A49" s="1581" t="s">
        <v>1398</v>
      </c>
      <c r="B49" s="1582"/>
      <c r="C49" s="1582"/>
      <c r="D49" s="1582"/>
      <c r="E49" s="1582"/>
    </row>
    <row r="50" spans="1:5" ht="6.6" customHeight="1">
      <c r="A50" s="1579" t="s">
        <v>473</v>
      </c>
      <c r="B50" s="1580"/>
      <c r="C50" s="1580"/>
      <c r="D50" s="1580"/>
      <c r="E50" s="1580"/>
    </row>
  </sheetData>
  <mergeCells count="11">
    <mergeCell ref="A50:E50"/>
    <mergeCell ref="A49:E49"/>
    <mergeCell ref="A1:E1"/>
    <mergeCell ref="A5:A7"/>
    <mergeCell ref="B5:B7"/>
    <mergeCell ref="E5:E7"/>
    <mergeCell ref="C5:C7"/>
    <mergeCell ref="D5:D7"/>
    <mergeCell ref="A4:E4"/>
    <mergeCell ref="A3:E3"/>
    <mergeCell ref="A2:E2"/>
  </mergeCells>
  <phoneticPr fontId="6" type="noConversion"/>
  <printOptions horizontalCentered="1"/>
  <pageMargins left="0.59055118110236227" right="0.59055118110236227" top="0.59055118110236227" bottom="0.78740157480314965" header="0.51181102362204722" footer="0.51181102362204722"/>
  <pageSetup paperSize="9" firstPageNumber="47" orientation="portrait" useFirstPageNumber="1" r:id="rId1"/>
  <headerFooter alignWithMargins="0">
    <oddFooter>&amp;C&amp;"Times New Roman,標準"&amp;P</oddFooter>
  </headerFooter>
  <rowBreaks count="1" manualBreakCount="1">
    <brk id="29" max="16383" man="1"/>
  </rowBreaks>
  <legacy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pageSetUpPr fitToPage="1"/>
  </sheetPr>
  <dimension ref="A1:F42"/>
  <sheetViews>
    <sheetView view="pageBreakPreview" zoomScaleNormal="100" zoomScaleSheetLayoutView="100" workbookViewId="0">
      <selection activeCell="G28" sqref="G28"/>
    </sheetView>
  </sheetViews>
  <sheetFormatPr defaultColWidth="9" defaultRowHeight="15.75"/>
  <cols>
    <col min="1" max="1" width="22.75" style="2" bestFit="1" customWidth="1"/>
    <col min="2" max="2" width="5.25" style="55" customWidth="1"/>
    <col min="3" max="3" width="9.25" style="2" bestFit="1" customWidth="1"/>
    <col min="4" max="4" width="12.625" style="2" customWidth="1"/>
    <col min="5" max="5" width="17.125" style="2" customWidth="1"/>
    <col min="6" max="6" width="23.25" style="2" customWidth="1"/>
    <col min="7" max="16384" width="9" style="2"/>
  </cols>
  <sheetData>
    <row r="1" spans="1:6" ht="21">
      <c r="A1" s="1369" t="s">
        <v>40</v>
      </c>
      <c r="B1" s="1369"/>
      <c r="C1" s="1369"/>
      <c r="D1" s="1369"/>
      <c r="E1" s="1369"/>
      <c r="F1" s="1369"/>
    </row>
    <row r="2" spans="1:6" ht="21">
      <c r="A2" s="1369" t="s">
        <v>41</v>
      </c>
      <c r="B2" s="1369"/>
      <c r="C2" s="1369"/>
      <c r="D2" s="1369"/>
      <c r="E2" s="1369"/>
      <c r="F2" s="1369"/>
    </row>
    <row r="3" spans="1:6" ht="24.95" customHeight="1">
      <c r="A3" s="1371" t="s">
        <v>1</v>
      </c>
      <c r="B3" s="1371"/>
      <c r="C3" s="1371"/>
      <c r="D3" s="1371"/>
      <c r="E3" s="1371"/>
      <c r="F3" s="1371"/>
    </row>
    <row r="4" spans="1:6" ht="24.95" customHeight="1" thickBot="1">
      <c r="A4" s="1441" t="s">
        <v>1294</v>
      </c>
      <c r="B4" s="1373"/>
      <c r="C4" s="1373"/>
      <c r="D4" s="1373"/>
      <c r="E4" s="1373"/>
      <c r="F4" s="1373"/>
    </row>
    <row r="5" spans="1:6" ht="51" customHeight="1">
      <c r="A5" s="398" t="s">
        <v>82</v>
      </c>
      <c r="B5" s="391" t="s">
        <v>65</v>
      </c>
      <c r="C5" s="1291" t="s">
        <v>83</v>
      </c>
      <c r="D5" s="399" t="s">
        <v>84</v>
      </c>
      <c r="E5" s="1293" t="s">
        <v>491</v>
      </c>
      <c r="F5" s="400" t="s">
        <v>79</v>
      </c>
    </row>
    <row r="6" spans="1:6" ht="4.7" customHeight="1">
      <c r="A6" s="7"/>
      <c r="B6" s="1292"/>
      <c r="C6" s="1292"/>
      <c r="D6" s="1292"/>
      <c r="E6" s="1292"/>
      <c r="F6" s="393"/>
    </row>
    <row r="7" spans="1:6" s="30" customFormat="1" ht="20.25" customHeight="1">
      <c r="A7" s="1038" t="s">
        <v>3</v>
      </c>
      <c r="B7" s="62"/>
      <c r="C7" s="63"/>
      <c r="D7" s="63"/>
      <c r="E7" s="27">
        <f>E8</f>
        <v>586951800</v>
      </c>
      <c r="F7" s="75"/>
    </row>
    <row r="8" spans="1:6" s="9" customFormat="1" ht="20.25" customHeight="1">
      <c r="A8" s="1039" t="s">
        <v>436</v>
      </c>
      <c r="B8" s="33"/>
      <c r="C8" s="68"/>
      <c r="D8" s="68"/>
      <c r="E8" s="31">
        <f>SUM(E9:E12)</f>
        <v>586951800</v>
      </c>
      <c r="F8" s="1294"/>
    </row>
    <row r="9" spans="1:6" s="9" customFormat="1" ht="20.25" customHeight="1">
      <c r="A9" s="1039" t="s">
        <v>437</v>
      </c>
      <c r="B9" s="33"/>
      <c r="C9" s="68"/>
      <c r="D9" s="68"/>
      <c r="E9" s="1298">
        <v>543211117</v>
      </c>
      <c r="F9" s="1294"/>
    </row>
    <row r="10" spans="1:6" s="9" customFormat="1" ht="20.25" customHeight="1">
      <c r="A10" s="1039" t="s">
        <v>438</v>
      </c>
      <c r="B10" s="33"/>
      <c r="C10" s="66"/>
      <c r="D10" s="68"/>
      <c r="E10" s="1298">
        <v>24949551</v>
      </c>
      <c r="F10" s="1294"/>
    </row>
    <row r="11" spans="1:6" s="9" customFormat="1" ht="20.25" customHeight="1">
      <c r="A11" s="1039" t="s">
        <v>547</v>
      </c>
      <c r="B11" s="33"/>
      <c r="C11" s="68"/>
      <c r="D11" s="68"/>
      <c r="E11" s="1299">
        <f>'收支餘絀預計表-總'!D70+'收支餘絀預計表-總'!D71</f>
        <v>11126966</v>
      </c>
      <c r="F11" s="1294"/>
    </row>
    <row r="12" spans="1:6" s="9" customFormat="1" ht="20.25" customHeight="1">
      <c r="A12" s="1039" t="s">
        <v>789</v>
      </c>
      <c r="B12" s="33"/>
      <c r="C12" s="68"/>
      <c r="D12" s="68"/>
      <c r="E12" s="1299">
        <f>'收支餘絀預計表-總'!D72</f>
        <v>7664166</v>
      </c>
      <c r="F12" s="1294"/>
    </row>
    <row r="13" spans="1:6" s="9" customFormat="1" ht="3.95" customHeight="1">
      <c r="A13" s="1039"/>
      <c r="B13" s="62"/>
      <c r="C13" s="63"/>
      <c r="D13" s="63"/>
      <c r="E13" s="76"/>
      <c r="F13" s="1294"/>
    </row>
    <row r="14" spans="1:6" s="30" customFormat="1" ht="20.25" customHeight="1">
      <c r="A14" s="1038" t="s">
        <v>31</v>
      </c>
      <c r="B14" s="62"/>
      <c r="C14" s="76"/>
      <c r="D14" s="63"/>
      <c r="E14" s="27">
        <f>E15</f>
        <v>578746464</v>
      </c>
      <c r="F14" s="75"/>
    </row>
    <row r="15" spans="1:6" s="9" customFormat="1" ht="20.25" customHeight="1">
      <c r="A15" s="1039" t="s">
        <v>436</v>
      </c>
      <c r="B15" s="33"/>
      <c r="C15" s="68"/>
      <c r="D15" s="68"/>
      <c r="E15" s="31">
        <f>SUM(E16:E19)</f>
        <v>578746464</v>
      </c>
      <c r="F15" s="1294"/>
    </row>
    <row r="16" spans="1:6" s="9" customFormat="1" ht="20.25" customHeight="1">
      <c r="A16" s="1039" t="s">
        <v>437</v>
      </c>
      <c r="B16" s="33"/>
      <c r="C16" s="68"/>
      <c r="D16" s="68"/>
      <c r="E16" s="31">
        <v>536712433</v>
      </c>
      <c r="F16" s="1294"/>
    </row>
    <row r="17" spans="1:6" s="9" customFormat="1" ht="20.25" customHeight="1">
      <c r="A17" s="1039" t="s">
        <v>438</v>
      </c>
      <c r="B17" s="33"/>
      <c r="C17" s="66"/>
      <c r="D17" s="68"/>
      <c r="E17" s="31">
        <v>25351364</v>
      </c>
      <c r="F17" s="1294"/>
    </row>
    <row r="18" spans="1:6" s="9" customFormat="1" ht="20.25" customHeight="1">
      <c r="A18" s="1039" t="s">
        <v>547</v>
      </c>
      <c r="B18" s="33"/>
      <c r="C18" s="68"/>
      <c r="D18" s="68"/>
      <c r="E18" s="65">
        <v>6928465</v>
      </c>
      <c r="F18" s="1294"/>
    </row>
    <row r="19" spans="1:6" s="9" customFormat="1" ht="20.25" customHeight="1">
      <c r="A19" s="1039" t="s">
        <v>789</v>
      </c>
      <c r="B19" s="33"/>
      <c r="C19" s="68"/>
      <c r="D19" s="68"/>
      <c r="E19" s="65">
        <v>9754202</v>
      </c>
      <c r="F19" s="1294"/>
    </row>
    <row r="20" spans="1:6" s="9" customFormat="1" ht="5.25" customHeight="1">
      <c r="A20" s="138"/>
      <c r="B20" s="33"/>
      <c r="C20" s="66"/>
      <c r="D20" s="63"/>
      <c r="E20" s="65"/>
      <c r="F20" s="1294"/>
    </row>
    <row r="21" spans="1:6" s="30" customFormat="1" ht="20.25" customHeight="1">
      <c r="A21" s="1038" t="s">
        <v>2</v>
      </c>
      <c r="B21" s="62"/>
      <c r="C21" s="63"/>
      <c r="D21" s="63"/>
      <c r="E21" s="27">
        <f>E22</f>
        <v>516438493</v>
      </c>
      <c r="F21" s="75"/>
    </row>
    <row r="22" spans="1:6" s="9" customFormat="1" ht="20.25" customHeight="1">
      <c r="A22" s="1039" t="s">
        <v>436</v>
      </c>
      <c r="B22" s="33"/>
      <c r="C22" s="68"/>
      <c r="D22" s="68"/>
      <c r="E22" s="31">
        <f>SUM(E23:E26)</f>
        <v>516438493</v>
      </c>
      <c r="F22" s="1294"/>
    </row>
    <row r="23" spans="1:6" s="9" customFormat="1" ht="20.25" customHeight="1">
      <c r="A23" s="1039" t="s">
        <v>437</v>
      </c>
      <c r="B23" s="33"/>
      <c r="C23" s="68"/>
      <c r="D23" s="68"/>
      <c r="E23" s="1300">
        <v>481427175</v>
      </c>
      <c r="F23" s="1294"/>
    </row>
    <row r="24" spans="1:6" s="9" customFormat="1" ht="20.25" customHeight="1">
      <c r="A24" s="1039" t="s">
        <v>438</v>
      </c>
      <c r="B24" s="33"/>
      <c r="C24" s="68"/>
      <c r="D24" s="68"/>
      <c r="E24" s="1300">
        <v>20840606</v>
      </c>
      <c r="F24" s="1294"/>
    </row>
    <row r="25" spans="1:6" s="9" customFormat="1" ht="20.25" customHeight="1">
      <c r="A25" s="1039" t="s">
        <v>547</v>
      </c>
      <c r="B25" s="33"/>
      <c r="C25" s="68"/>
      <c r="D25" s="68"/>
      <c r="E25" s="1300">
        <f>6997444+77889</f>
        <v>7075333</v>
      </c>
      <c r="F25" s="1294"/>
    </row>
    <row r="26" spans="1:6" s="9" customFormat="1" ht="20.25" customHeight="1">
      <c r="A26" s="1039" t="s">
        <v>789</v>
      </c>
      <c r="B26" s="33"/>
      <c r="C26" s="68"/>
      <c r="D26" s="68"/>
      <c r="E26" s="1300">
        <v>7095379</v>
      </c>
      <c r="F26" s="1294"/>
    </row>
    <row r="27" spans="1:6" s="9" customFormat="1" ht="5.25" customHeight="1">
      <c r="A27" s="1038"/>
      <c r="B27" s="33"/>
      <c r="C27" s="68"/>
      <c r="D27" s="68"/>
      <c r="E27" s="78"/>
      <c r="F27" s="1294"/>
    </row>
    <row r="28" spans="1:6" s="30" customFormat="1" ht="20.25" customHeight="1">
      <c r="A28" s="1121" t="s">
        <v>1296</v>
      </c>
      <c r="B28" s="62"/>
      <c r="C28" s="63"/>
      <c r="D28" s="63"/>
      <c r="E28" s="27">
        <f>E29</f>
        <v>491238317</v>
      </c>
      <c r="F28" s="75"/>
    </row>
    <row r="29" spans="1:6" s="9" customFormat="1" ht="20.25" customHeight="1">
      <c r="A29" s="1039" t="s">
        <v>436</v>
      </c>
      <c r="B29" s="33"/>
      <c r="C29" s="68"/>
      <c r="D29" s="68"/>
      <c r="E29" s="31">
        <f>SUM(E30:E33)</f>
        <v>491238317</v>
      </c>
      <c r="F29" s="1294"/>
    </row>
    <row r="30" spans="1:6" s="9" customFormat="1" ht="20.25" customHeight="1">
      <c r="A30" s="1039" t="s">
        <v>437</v>
      </c>
      <c r="B30" s="33"/>
      <c r="C30" s="68"/>
      <c r="D30" s="68"/>
      <c r="E30" s="77">
        <v>456360965</v>
      </c>
      <c r="F30" s="1294"/>
    </row>
    <row r="31" spans="1:6" s="9" customFormat="1" ht="20.25" customHeight="1">
      <c r="A31" s="1039" t="s">
        <v>438</v>
      </c>
      <c r="B31" s="33"/>
      <c r="C31" s="68"/>
      <c r="D31" s="68"/>
      <c r="E31" s="77">
        <v>20801976</v>
      </c>
      <c r="F31" s="1294"/>
    </row>
    <row r="32" spans="1:6" s="9" customFormat="1" ht="20.25" customHeight="1">
      <c r="A32" s="1039" t="s">
        <v>547</v>
      </c>
      <c r="B32" s="33"/>
      <c r="C32" s="68"/>
      <c r="D32" s="68"/>
      <c r="E32" s="77">
        <v>6749730</v>
      </c>
      <c r="F32" s="1294"/>
    </row>
    <row r="33" spans="1:6" s="9" customFormat="1" ht="20.25" customHeight="1">
      <c r="A33" s="1039" t="s">
        <v>789</v>
      </c>
      <c r="B33" s="33"/>
      <c r="C33" s="68"/>
      <c r="D33" s="68"/>
      <c r="E33" s="77">
        <v>7325646</v>
      </c>
      <c r="F33" s="1294"/>
    </row>
    <row r="34" spans="1:6" s="9" customFormat="1" ht="5.25" customHeight="1">
      <c r="A34" s="1038"/>
      <c r="B34" s="33"/>
      <c r="C34" s="68"/>
      <c r="D34" s="68"/>
      <c r="E34" s="78"/>
      <c r="F34" s="1294"/>
    </row>
    <row r="35" spans="1:6" s="30" customFormat="1" ht="20.25" customHeight="1">
      <c r="A35" s="706" t="s">
        <v>1295</v>
      </c>
      <c r="B35" s="62"/>
      <c r="C35" s="63"/>
      <c r="D35" s="63"/>
      <c r="E35" s="27">
        <f>E36</f>
        <v>486281174</v>
      </c>
      <c r="F35" s="75"/>
    </row>
    <row r="36" spans="1:6" s="9" customFormat="1" ht="20.25" customHeight="1">
      <c r="A36" s="1039" t="s">
        <v>436</v>
      </c>
      <c r="B36" s="33"/>
      <c r="C36" s="68"/>
      <c r="D36" s="68"/>
      <c r="E36" s="31">
        <f>SUM(E37:E40)</f>
        <v>486281174</v>
      </c>
      <c r="F36" s="1294"/>
    </row>
    <row r="37" spans="1:6" s="9" customFormat="1" ht="20.25" customHeight="1">
      <c r="A37" s="1039" t="s">
        <v>437</v>
      </c>
      <c r="B37" s="33"/>
      <c r="C37" s="68"/>
      <c r="D37" s="68"/>
      <c r="E37" s="77">
        <v>448797088</v>
      </c>
      <c r="F37" s="1294"/>
    </row>
    <row r="38" spans="1:6" s="9" customFormat="1" ht="20.25" customHeight="1">
      <c r="A38" s="1039" t="s">
        <v>438</v>
      </c>
      <c r="B38" s="33"/>
      <c r="C38" s="68"/>
      <c r="D38" s="68"/>
      <c r="E38" s="77">
        <v>23106476</v>
      </c>
      <c r="F38" s="1294"/>
    </row>
    <row r="39" spans="1:6" s="9" customFormat="1" ht="20.25" customHeight="1">
      <c r="A39" s="1039" t="s">
        <v>547</v>
      </c>
      <c r="B39" s="33"/>
      <c r="C39" s="68"/>
      <c r="D39" s="68"/>
      <c r="E39" s="77">
        <v>6940840</v>
      </c>
      <c r="F39" s="1294"/>
    </row>
    <row r="40" spans="1:6" s="9" customFormat="1" ht="32.25" customHeight="1" thickBot="1">
      <c r="A40" s="436" t="s">
        <v>789</v>
      </c>
      <c r="B40" s="69"/>
      <c r="C40" s="70"/>
      <c r="D40" s="70"/>
      <c r="E40" s="288">
        <v>7436770</v>
      </c>
      <c r="F40" s="71"/>
    </row>
    <row r="41" spans="1:6" s="9" customFormat="1" ht="3" hidden="1" customHeight="1" thickBot="1">
      <c r="A41" s="196"/>
      <c r="B41" s="69"/>
      <c r="C41" s="70"/>
      <c r="D41" s="70"/>
      <c r="E41" s="288"/>
      <c r="F41" s="71"/>
    </row>
    <row r="42" spans="1:6" s="9" customFormat="1" ht="18.95" customHeight="1">
      <c r="A42" s="290"/>
      <c r="B42" s="289"/>
      <c r="C42" s="290"/>
      <c r="D42" s="290"/>
      <c r="E42" s="291"/>
      <c r="F42" s="290"/>
    </row>
  </sheetData>
  <mergeCells count="4">
    <mergeCell ref="A1:F1"/>
    <mergeCell ref="A2:F2"/>
    <mergeCell ref="A3:F3"/>
    <mergeCell ref="A4:F4"/>
  </mergeCells>
  <phoneticPr fontId="6" type="noConversion"/>
  <printOptions horizontalCentered="1"/>
  <pageMargins left="0.59055118110236227" right="0.59055118110236227" top="0.59055118110236227" bottom="0.78740157480314965" header="0.51181102362204722" footer="0.51181102362204722"/>
  <pageSetup paperSize="9" firstPageNumber="49" orientation="portrait" useFirstPageNumber="1" r:id="rId1"/>
  <headerFooter alignWithMargins="0">
    <oddFooter>&amp;C&amp;"Times New Roman,標準"&amp;P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F23"/>
  <sheetViews>
    <sheetView view="pageBreakPreview" topLeftCell="A19" zoomScale="120" zoomScaleNormal="130" zoomScaleSheetLayoutView="120" workbookViewId="0">
      <selection activeCell="G28" sqref="G28"/>
    </sheetView>
  </sheetViews>
  <sheetFormatPr defaultColWidth="9" defaultRowHeight="15.75"/>
  <cols>
    <col min="1" max="1" width="20.25" style="2" customWidth="1"/>
    <col min="2" max="4" width="16.375" style="2" customWidth="1"/>
    <col min="5" max="5" width="20" style="2" customWidth="1"/>
    <col min="6" max="16384" width="9" style="2"/>
  </cols>
  <sheetData>
    <row r="1" spans="1:6" ht="21" customHeight="1">
      <c r="A1" s="1369" t="s">
        <v>40</v>
      </c>
      <c r="B1" s="1369"/>
      <c r="C1" s="1369"/>
      <c r="D1" s="1369"/>
      <c r="E1" s="1369"/>
      <c r="F1" s="144"/>
    </row>
    <row r="2" spans="1:6" ht="21" customHeight="1">
      <c r="A2" s="1369" t="s">
        <v>41</v>
      </c>
      <c r="B2" s="1369"/>
      <c r="C2" s="1369"/>
      <c r="D2" s="1369"/>
      <c r="E2" s="1369"/>
      <c r="F2" s="144"/>
    </row>
    <row r="3" spans="1:6" ht="24.95" customHeight="1">
      <c r="A3" s="1370" t="s">
        <v>1142</v>
      </c>
      <c r="B3" s="1371"/>
      <c r="C3" s="1371"/>
      <c r="D3" s="1371"/>
      <c r="E3" s="1371"/>
    </row>
    <row r="4" spans="1:6" ht="24.95" customHeight="1" thickBot="1">
      <c r="A4" s="1599" t="s">
        <v>1297</v>
      </c>
      <c r="B4" s="1390"/>
      <c r="C4" s="1390"/>
      <c r="D4" s="1390"/>
      <c r="E4" s="1390"/>
      <c r="F4" s="4"/>
    </row>
    <row r="5" spans="1:6" ht="24.75" customHeight="1">
      <c r="A5" s="1600" t="s">
        <v>804</v>
      </c>
      <c r="B5" s="982" t="s">
        <v>805</v>
      </c>
      <c r="C5" s="1602" t="s">
        <v>806</v>
      </c>
      <c r="D5" s="982" t="s">
        <v>807</v>
      </c>
      <c r="E5" s="1604" t="s">
        <v>808</v>
      </c>
    </row>
    <row r="6" spans="1:6" ht="24.95" customHeight="1">
      <c r="A6" s="1601"/>
      <c r="B6" s="983" t="s">
        <v>809</v>
      </c>
      <c r="C6" s="1603"/>
      <c r="D6" s="984" t="s">
        <v>809</v>
      </c>
      <c r="E6" s="1605"/>
    </row>
    <row r="7" spans="1:6" ht="30" customHeight="1">
      <c r="A7" s="985"/>
      <c r="B7" s="986"/>
      <c r="C7" s="986"/>
      <c r="D7" s="986"/>
      <c r="E7" s="1595" t="s">
        <v>1113</v>
      </c>
    </row>
    <row r="8" spans="1:6" ht="30" customHeight="1">
      <c r="A8" s="987"/>
      <c r="B8" s="988"/>
      <c r="C8" s="989"/>
      <c r="D8" s="988"/>
      <c r="E8" s="1596"/>
    </row>
    <row r="9" spans="1:6" ht="30" customHeight="1">
      <c r="A9" s="987"/>
      <c r="B9" s="988"/>
      <c r="C9" s="989"/>
      <c r="D9" s="990"/>
      <c r="E9" s="1596"/>
    </row>
    <row r="10" spans="1:6" ht="30" customHeight="1">
      <c r="A10" s="991"/>
      <c r="B10" s="988"/>
      <c r="C10" s="992"/>
      <c r="D10" s="988"/>
      <c r="E10" s="1596"/>
    </row>
    <row r="11" spans="1:6" s="6" customFormat="1" ht="29.25" customHeight="1">
      <c r="A11" s="987"/>
      <c r="B11" s="988"/>
      <c r="C11" s="993"/>
      <c r="D11" s="994"/>
      <c r="E11" s="1596"/>
    </row>
    <row r="12" spans="1:6" ht="29.25" customHeight="1">
      <c r="A12" s="987"/>
      <c r="B12" s="995"/>
      <c r="C12" s="63"/>
      <c r="D12" s="31"/>
      <c r="E12" s="1596"/>
    </row>
    <row r="13" spans="1:6" ht="29.25" customHeight="1">
      <c r="A13" s="987"/>
      <c r="B13" s="995"/>
      <c r="C13" s="63"/>
      <c r="D13" s="31"/>
      <c r="E13" s="1596"/>
    </row>
    <row r="14" spans="1:6" ht="29.25" customHeight="1">
      <c r="A14" s="987"/>
      <c r="B14" s="995"/>
      <c r="C14" s="63"/>
      <c r="D14" s="31"/>
      <c r="E14" s="1596"/>
    </row>
    <row r="15" spans="1:6" ht="29.25" customHeight="1">
      <c r="A15" s="987"/>
      <c r="B15" s="988"/>
      <c r="C15" s="988"/>
      <c r="D15" s="988"/>
      <c r="E15" s="1596"/>
    </row>
    <row r="16" spans="1:6" ht="29.25" customHeight="1">
      <c r="A16" s="987"/>
      <c r="B16" s="995"/>
      <c r="C16" s="63"/>
      <c r="D16" s="185"/>
      <c r="E16" s="1596"/>
    </row>
    <row r="17" spans="1:5" ht="29.25" customHeight="1">
      <c r="A17" s="987"/>
      <c r="B17" s="995"/>
      <c r="C17" s="63"/>
      <c r="D17" s="185"/>
      <c r="E17" s="1596"/>
    </row>
    <row r="18" spans="1:5" ht="30.75" customHeight="1">
      <c r="A18" s="987"/>
      <c r="B18" s="995"/>
      <c r="C18" s="63"/>
      <c r="D18" s="185"/>
      <c r="E18" s="1596"/>
    </row>
    <row r="19" spans="1:5" ht="29.25" customHeight="1">
      <c r="A19" s="987"/>
      <c r="B19" s="996"/>
      <c r="C19" s="63"/>
      <c r="D19" s="185"/>
      <c r="E19" s="1596"/>
    </row>
    <row r="20" spans="1:5" ht="59.45" customHeight="1">
      <c r="A20" s="987"/>
      <c r="B20" s="996"/>
      <c r="C20" s="63"/>
      <c r="D20" s="185"/>
      <c r="E20" s="1596"/>
    </row>
    <row r="21" spans="1:5" ht="99.75" customHeight="1">
      <c r="A21" s="987"/>
      <c r="B21" s="996"/>
      <c r="C21" s="63"/>
      <c r="D21" s="185"/>
      <c r="E21" s="64"/>
    </row>
    <row r="22" spans="1:5" ht="40.5" customHeight="1" thickBot="1">
      <c r="A22" s="997" t="s">
        <v>1090</v>
      </c>
      <c r="B22" s="998"/>
      <c r="C22" s="998"/>
      <c r="D22" s="998"/>
      <c r="E22" s="999"/>
    </row>
    <row r="23" spans="1:5" ht="59.25" customHeight="1">
      <c r="A23" s="1597" t="s">
        <v>1563</v>
      </c>
      <c r="B23" s="1598"/>
      <c r="C23" s="1598"/>
      <c r="D23" s="1598"/>
      <c r="E23" s="1598"/>
    </row>
  </sheetData>
  <mergeCells count="9">
    <mergeCell ref="E7:E20"/>
    <mergeCell ref="A23:E23"/>
    <mergeCell ref="A1:E1"/>
    <mergeCell ref="A2:E2"/>
    <mergeCell ref="A3:E3"/>
    <mergeCell ref="A4:E4"/>
    <mergeCell ref="A5:A6"/>
    <mergeCell ref="C5:C6"/>
    <mergeCell ref="E5:E6"/>
  </mergeCells>
  <phoneticPr fontId="6" type="noConversion"/>
  <printOptions horizontalCentered="1"/>
  <pageMargins left="0.59055118110236227" right="0.59055118110236227" top="0.59055118110236227" bottom="0.78740157480314965" header="0.51181102362204722" footer="0.51181102362204722"/>
  <pageSetup paperSize="9" firstPageNumber="50" orientation="portrait" useFirstPageNumber="1" r:id="rId1"/>
  <headerFooter alignWithMargins="0">
    <oddFooter>&amp;C&amp;"Times New Roman,標準"&amp;P</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T24"/>
  <sheetViews>
    <sheetView view="pageBreakPreview" topLeftCell="A13" zoomScaleNormal="85" zoomScaleSheetLayoutView="100" workbookViewId="0">
      <selection activeCell="G28" sqref="G28"/>
    </sheetView>
  </sheetViews>
  <sheetFormatPr defaultColWidth="9" defaultRowHeight="15.75"/>
  <cols>
    <col min="1" max="1" width="13.5" style="12" customWidth="1"/>
    <col min="2" max="4" width="8.75" style="12" customWidth="1"/>
    <col min="5" max="6" width="7.875" style="12" customWidth="1"/>
    <col min="7" max="7" width="8.75" style="12" customWidth="1"/>
    <col min="8" max="9" width="8.375" style="12" customWidth="1"/>
    <col min="10" max="10" width="8.5" style="12" customWidth="1"/>
    <col min="11" max="16384" width="9" style="12"/>
  </cols>
  <sheetData>
    <row r="1" spans="1:10" ht="21">
      <c r="A1" s="1525" t="s">
        <v>40</v>
      </c>
      <c r="B1" s="1369"/>
      <c r="C1" s="1369"/>
      <c r="D1" s="1369"/>
      <c r="E1" s="1369"/>
      <c r="F1" s="1369"/>
      <c r="G1" s="1369"/>
      <c r="H1" s="1369"/>
      <c r="I1" s="1369"/>
      <c r="J1" s="1369"/>
    </row>
    <row r="2" spans="1:10" ht="21">
      <c r="A2" s="1525" t="s">
        <v>41</v>
      </c>
      <c r="B2" s="1369"/>
      <c r="C2" s="1369"/>
      <c r="D2" s="1369"/>
      <c r="E2" s="1369"/>
      <c r="F2" s="1369"/>
      <c r="G2" s="1369"/>
      <c r="H2" s="1369"/>
      <c r="I2" s="1369"/>
      <c r="J2" s="1369"/>
    </row>
    <row r="3" spans="1:10" ht="25.5">
      <c r="A3" s="1370" t="s">
        <v>1143</v>
      </c>
      <c r="B3" s="1370"/>
      <c r="C3" s="1370"/>
      <c r="D3" s="1370"/>
      <c r="E3" s="1370"/>
      <c r="F3" s="1370"/>
      <c r="G3" s="1370"/>
      <c r="H3" s="1370"/>
      <c r="I3" s="1370"/>
      <c r="J3" s="1370"/>
    </row>
    <row r="4" spans="1:10" ht="17.25" thickBot="1">
      <c r="A4" s="1608" t="s">
        <v>1298</v>
      </c>
      <c r="B4" s="1555"/>
      <c r="C4" s="1555"/>
      <c r="D4" s="1555"/>
      <c r="E4" s="1555"/>
      <c r="F4" s="1555"/>
      <c r="G4" s="1555"/>
      <c r="H4" s="1555"/>
      <c r="I4" s="1555"/>
      <c r="J4" s="1555"/>
    </row>
    <row r="5" spans="1:10" ht="33" customHeight="1">
      <c r="A5" s="1078" t="s">
        <v>1535</v>
      </c>
      <c r="B5" s="1077" t="s">
        <v>810</v>
      </c>
      <c r="C5" s="1077" t="s">
        <v>1092</v>
      </c>
      <c r="D5" s="1077" t="s">
        <v>1502</v>
      </c>
      <c r="E5" s="1077" t="s">
        <v>1094</v>
      </c>
      <c r="F5" s="1077" t="s">
        <v>1093</v>
      </c>
      <c r="G5" s="753" t="s">
        <v>811</v>
      </c>
      <c r="H5" s="1077" t="s">
        <v>1095</v>
      </c>
      <c r="I5" s="1077" t="s">
        <v>1096</v>
      </c>
      <c r="J5" s="1079" t="s">
        <v>812</v>
      </c>
    </row>
    <row r="6" spans="1:10" ht="30" customHeight="1">
      <c r="A6" s="1014"/>
      <c r="B6" s="986"/>
      <c r="C6" s="986"/>
      <c r="D6" s="986"/>
      <c r="E6" s="986"/>
      <c r="F6" s="986"/>
      <c r="G6" s="986"/>
      <c r="H6" s="986"/>
      <c r="I6" s="986"/>
      <c r="J6" s="1013"/>
    </row>
    <row r="7" spans="1:10" ht="30" customHeight="1">
      <c r="A7" s="1002"/>
      <c r="B7" s="1000"/>
      <c r="C7" s="1000"/>
      <c r="D7" s="1000"/>
      <c r="E7" s="1000"/>
      <c r="F7" s="1000"/>
      <c r="G7" s="1000"/>
      <c r="H7" s="1000"/>
      <c r="I7" s="1000"/>
      <c r="J7" s="1001"/>
    </row>
    <row r="8" spans="1:10" ht="30" customHeight="1">
      <c r="A8" s="1002"/>
      <c r="B8" s="1000"/>
      <c r="C8" s="1000"/>
      <c r="D8" s="1000"/>
      <c r="E8" s="1000"/>
      <c r="F8" s="1000"/>
      <c r="G8" s="1000"/>
      <c r="H8" s="1000"/>
      <c r="I8" s="1000"/>
      <c r="J8" s="1001"/>
    </row>
    <row r="9" spans="1:10" ht="30" customHeight="1">
      <c r="A9" s="1003"/>
      <c r="B9" s="1004"/>
      <c r="C9" s="1004"/>
      <c r="D9" s="1004"/>
      <c r="E9" s="1004"/>
      <c r="F9" s="1004"/>
      <c r="G9" s="1004"/>
      <c r="H9" s="1004"/>
      <c r="I9" s="1004"/>
      <c r="J9" s="1005"/>
    </row>
    <row r="10" spans="1:10" ht="30" customHeight="1">
      <c r="A10" s="1003"/>
      <c r="B10" s="1004"/>
      <c r="C10" s="1004"/>
      <c r="D10" s="1004"/>
      <c r="E10" s="1004"/>
      <c r="F10" s="1004"/>
      <c r="G10" s="1004"/>
      <c r="H10" s="1004"/>
      <c r="I10" s="1004"/>
      <c r="J10" s="1005"/>
    </row>
    <row r="11" spans="1:10" ht="30" customHeight="1">
      <c r="A11" s="1003"/>
      <c r="B11" s="1006"/>
      <c r="C11" s="1006"/>
      <c r="D11" s="1004"/>
      <c r="E11" s="1004"/>
      <c r="F11" s="1004"/>
      <c r="G11" s="1004"/>
      <c r="H11" s="1004"/>
      <c r="I11" s="1004"/>
      <c r="J11" s="1005"/>
    </row>
    <row r="12" spans="1:10" ht="24" customHeight="1">
      <c r="A12" s="1003"/>
      <c r="B12" s="1004"/>
      <c r="C12" s="1004"/>
      <c r="D12" s="1004"/>
      <c r="E12" s="1004"/>
      <c r="F12" s="1004"/>
      <c r="G12" s="1004"/>
      <c r="H12" s="1004"/>
      <c r="I12" s="1004"/>
      <c r="J12" s="1005"/>
    </row>
    <row r="13" spans="1:10" ht="30" customHeight="1">
      <c r="A13" s="1003"/>
      <c r="B13" s="1004"/>
      <c r="C13" s="1004"/>
      <c r="D13" s="1004"/>
      <c r="E13" s="1004"/>
      <c r="F13" s="1004"/>
      <c r="G13" s="1004"/>
      <c r="H13" s="1004"/>
      <c r="I13" s="1004"/>
      <c r="J13" s="1005"/>
    </row>
    <row r="14" spans="1:10" ht="56.45" customHeight="1">
      <c r="A14" s="1003"/>
      <c r="B14" s="1004"/>
      <c r="C14" s="1004"/>
      <c r="D14" s="1004"/>
      <c r="E14" s="1004"/>
      <c r="F14" s="1004"/>
      <c r="G14" s="1004"/>
      <c r="H14" s="1004"/>
      <c r="I14" s="1004"/>
      <c r="J14" s="1005"/>
    </row>
    <row r="15" spans="1:10" ht="73.150000000000006" customHeight="1">
      <c r="A15" s="1003"/>
      <c r="B15" s="1006"/>
      <c r="C15" s="1006"/>
      <c r="D15" s="1004"/>
      <c r="E15" s="1004"/>
      <c r="F15" s="1004"/>
      <c r="G15" s="1004"/>
      <c r="H15" s="1004"/>
      <c r="I15" s="1004"/>
      <c r="J15" s="1005"/>
    </row>
    <row r="16" spans="1:10" ht="57" customHeight="1">
      <c r="A16" s="1003"/>
      <c r="B16" s="1004"/>
      <c r="C16" s="1004"/>
      <c r="D16" s="1004"/>
      <c r="E16" s="1004"/>
      <c r="F16" s="1004"/>
      <c r="G16" s="1004"/>
      <c r="H16" s="1004"/>
      <c r="I16" s="1004"/>
      <c r="J16" s="1005"/>
    </row>
    <row r="17" spans="1:20" ht="69.599999999999994" customHeight="1">
      <c r="A17" s="1003"/>
      <c r="B17" s="1000"/>
      <c r="C17" s="1000"/>
      <c r="D17" s="1000"/>
      <c r="E17" s="1000"/>
      <c r="F17" s="1000"/>
      <c r="G17" s="1000"/>
      <c r="H17" s="1000"/>
      <c r="I17" s="1000"/>
      <c r="J17" s="1001"/>
    </row>
    <row r="18" spans="1:20" ht="72" customHeight="1">
      <c r="A18" s="1003"/>
      <c r="B18" s="1004"/>
      <c r="C18" s="1004"/>
      <c r="D18" s="1004"/>
      <c r="E18" s="1004"/>
      <c r="F18" s="1004"/>
      <c r="G18" s="1004"/>
      <c r="H18" s="1004"/>
      <c r="I18" s="1004"/>
      <c r="J18" s="1005"/>
    </row>
    <row r="19" spans="1:20" ht="30" customHeight="1" thickBot="1">
      <c r="A19" s="1007" t="s">
        <v>1091</v>
      </c>
      <c r="B19" s="1015"/>
      <c r="C19" s="1015"/>
      <c r="D19" s="1015"/>
      <c r="E19" s="1015"/>
      <c r="F19" s="1015"/>
      <c r="G19" s="1015"/>
      <c r="H19" s="1015"/>
      <c r="I19" s="1015"/>
      <c r="J19" s="1016"/>
    </row>
    <row r="20" spans="1:20" s="1010" customFormat="1" ht="75" customHeight="1">
      <c r="A20" s="1606" t="s">
        <v>1564</v>
      </c>
      <c r="B20" s="1607"/>
      <c r="C20" s="1607"/>
      <c r="D20" s="1607"/>
      <c r="E20" s="1607"/>
      <c r="F20" s="1607"/>
      <c r="G20" s="1607"/>
      <c r="H20" s="1607"/>
      <c r="I20" s="1607"/>
      <c r="J20" s="1607"/>
      <c r="K20" s="1008"/>
      <c r="L20" s="1008"/>
      <c r="M20" s="1008"/>
      <c r="N20" s="1008"/>
      <c r="O20" s="1008"/>
      <c r="P20" s="1008"/>
      <c r="Q20" s="1008"/>
      <c r="R20" s="1009"/>
      <c r="S20" s="1009"/>
      <c r="T20" s="1009"/>
    </row>
    <row r="21" spans="1:20" s="1011" customFormat="1" ht="15" customHeight="1">
      <c r="A21" s="1008"/>
      <c r="B21" s="1008"/>
      <c r="C21" s="1008"/>
      <c r="D21" s="1008"/>
      <c r="E21" s="1008"/>
      <c r="F21" s="1008"/>
      <c r="G21" s="1008"/>
      <c r="H21" s="1008"/>
      <c r="I21" s="1008"/>
    </row>
    <row r="22" spans="1:20" s="1010" customFormat="1" ht="15" customHeight="1">
      <c r="A22" s="1012"/>
      <c r="B22" s="1012"/>
      <c r="C22" s="1012"/>
      <c r="D22" s="1012"/>
      <c r="E22" s="1012"/>
      <c r="F22" s="1012"/>
      <c r="G22" s="1012"/>
    </row>
    <row r="23" spans="1:20" ht="15.75" customHeight="1">
      <c r="A23" s="241"/>
      <c r="B23" s="241"/>
      <c r="C23" s="241"/>
      <c r="D23" s="241"/>
      <c r="E23" s="241"/>
      <c r="F23" s="241"/>
      <c r="G23" s="241"/>
    </row>
    <row r="24" spans="1:20">
      <c r="A24" s="2"/>
      <c r="B24" s="2"/>
      <c r="C24" s="2"/>
      <c r="D24" s="2"/>
      <c r="E24" s="2"/>
      <c r="F24" s="2"/>
      <c r="G24" s="2"/>
      <c r="H24" s="2"/>
      <c r="I24" s="2"/>
      <c r="J24" s="2"/>
    </row>
  </sheetData>
  <mergeCells count="5">
    <mergeCell ref="A20:J20"/>
    <mergeCell ref="A1:J1"/>
    <mergeCell ref="A2:J2"/>
    <mergeCell ref="A3:J3"/>
    <mergeCell ref="A4:J4"/>
  </mergeCells>
  <phoneticPr fontId="6" type="noConversion"/>
  <printOptions horizontalCentered="1"/>
  <pageMargins left="0.59055118110236227" right="0.59055118110236227" top="0.59055118110236227" bottom="0.78740157480314965" header="0.51181102362204722" footer="0.51181102362204722"/>
  <pageSetup paperSize="9" firstPageNumber="51" fitToHeight="0" orientation="portrait" useFirstPageNumber="1" r:id="rId1"/>
  <headerFooter>
    <oddFooter>&amp;C&amp;"Times New Roman,標準"&amp;P</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H21"/>
  <sheetViews>
    <sheetView view="pageBreakPreview" topLeftCell="C1" zoomScaleNormal="100" zoomScaleSheetLayoutView="100" workbookViewId="0">
      <selection activeCell="G28" sqref="G28"/>
    </sheetView>
  </sheetViews>
  <sheetFormatPr defaultColWidth="9" defaultRowHeight="16.5"/>
  <cols>
    <col min="1" max="1" width="14" hidden="1" customWidth="1"/>
    <col min="2" max="2" width="13.875" hidden="1" customWidth="1"/>
    <col min="3" max="3" width="34.875" style="12" customWidth="1"/>
    <col min="4" max="4" width="18.5" style="12" customWidth="1"/>
    <col min="5" max="5" width="2.5" style="12" customWidth="1"/>
    <col min="6" max="6" width="33.125" style="12" customWidth="1"/>
    <col min="7" max="257" width="9" style="12"/>
    <col min="258" max="258" width="14.625" style="12" customWidth="1"/>
    <col min="259" max="259" width="13.875" style="12" customWidth="1"/>
    <col min="260" max="260" width="26.125" style="12" customWidth="1"/>
    <col min="261" max="261" width="15.375" style="12" customWidth="1"/>
    <col min="262" max="262" width="24.125" style="12" customWidth="1"/>
    <col min="263" max="513" width="9" style="12"/>
    <col min="514" max="514" width="14.625" style="12" customWidth="1"/>
    <col min="515" max="515" width="13.875" style="12" customWidth="1"/>
    <col min="516" max="516" width="26.125" style="12" customWidth="1"/>
    <col min="517" max="517" width="15.375" style="12" customWidth="1"/>
    <col min="518" max="518" width="24.125" style="12" customWidth="1"/>
    <col min="519" max="769" width="9" style="12"/>
    <col min="770" max="770" width="14.625" style="12" customWidth="1"/>
    <col min="771" max="771" width="13.875" style="12" customWidth="1"/>
    <col min="772" max="772" width="26.125" style="12" customWidth="1"/>
    <col min="773" max="773" width="15.375" style="12" customWidth="1"/>
    <col min="774" max="774" width="24.125" style="12" customWidth="1"/>
    <col min="775" max="1025" width="9" style="12"/>
    <col min="1026" max="1026" width="14.625" style="12" customWidth="1"/>
    <col min="1027" max="1027" width="13.875" style="12" customWidth="1"/>
    <col min="1028" max="1028" width="26.125" style="12" customWidth="1"/>
    <col min="1029" max="1029" width="15.375" style="12" customWidth="1"/>
    <col min="1030" max="1030" width="24.125" style="12" customWidth="1"/>
    <col min="1031" max="1281" width="9" style="12"/>
    <col min="1282" max="1282" width="14.625" style="12" customWidth="1"/>
    <col min="1283" max="1283" width="13.875" style="12" customWidth="1"/>
    <col min="1284" max="1284" width="26.125" style="12" customWidth="1"/>
    <col min="1285" max="1285" width="15.375" style="12" customWidth="1"/>
    <col min="1286" max="1286" width="24.125" style="12" customWidth="1"/>
    <col min="1287" max="1537" width="9" style="12"/>
    <col min="1538" max="1538" width="14.625" style="12" customWidth="1"/>
    <col min="1539" max="1539" width="13.875" style="12" customWidth="1"/>
    <col min="1540" max="1540" width="26.125" style="12" customWidth="1"/>
    <col min="1541" max="1541" width="15.375" style="12" customWidth="1"/>
    <col min="1542" max="1542" width="24.125" style="12" customWidth="1"/>
    <col min="1543" max="1793" width="9" style="12"/>
    <col min="1794" max="1794" width="14.625" style="12" customWidth="1"/>
    <col min="1795" max="1795" width="13.875" style="12" customWidth="1"/>
    <col min="1796" max="1796" width="26.125" style="12" customWidth="1"/>
    <col min="1797" max="1797" width="15.375" style="12" customWidth="1"/>
    <col min="1798" max="1798" width="24.125" style="12" customWidth="1"/>
    <col min="1799" max="2049" width="9" style="12"/>
    <col min="2050" max="2050" width="14.625" style="12" customWidth="1"/>
    <col min="2051" max="2051" width="13.875" style="12" customWidth="1"/>
    <col min="2052" max="2052" width="26.125" style="12" customWidth="1"/>
    <col min="2053" max="2053" width="15.375" style="12" customWidth="1"/>
    <col min="2054" max="2054" width="24.125" style="12" customWidth="1"/>
    <col min="2055" max="2305" width="9" style="12"/>
    <col min="2306" max="2306" width="14.625" style="12" customWidth="1"/>
    <col min="2307" max="2307" width="13.875" style="12" customWidth="1"/>
    <col min="2308" max="2308" width="26.125" style="12" customWidth="1"/>
    <col min="2309" max="2309" width="15.375" style="12" customWidth="1"/>
    <col min="2310" max="2310" width="24.125" style="12" customWidth="1"/>
    <col min="2311" max="2561" width="9" style="12"/>
    <col min="2562" max="2562" width="14.625" style="12" customWidth="1"/>
    <col min="2563" max="2563" width="13.875" style="12" customWidth="1"/>
    <col min="2564" max="2564" width="26.125" style="12" customWidth="1"/>
    <col min="2565" max="2565" width="15.375" style="12" customWidth="1"/>
    <col min="2566" max="2566" width="24.125" style="12" customWidth="1"/>
    <col min="2567" max="2817" width="9" style="12"/>
    <col min="2818" max="2818" width="14.625" style="12" customWidth="1"/>
    <col min="2819" max="2819" width="13.875" style="12" customWidth="1"/>
    <col min="2820" max="2820" width="26.125" style="12" customWidth="1"/>
    <col min="2821" max="2821" width="15.375" style="12" customWidth="1"/>
    <col min="2822" max="2822" width="24.125" style="12" customWidth="1"/>
    <col min="2823" max="3073" width="9" style="12"/>
    <col min="3074" max="3074" width="14.625" style="12" customWidth="1"/>
    <col min="3075" max="3075" width="13.875" style="12" customWidth="1"/>
    <col min="3076" max="3076" width="26.125" style="12" customWidth="1"/>
    <col min="3077" max="3077" width="15.375" style="12" customWidth="1"/>
    <col min="3078" max="3078" width="24.125" style="12" customWidth="1"/>
    <col min="3079" max="3329" width="9" style="12"/>
    <col min="3330" max="3330" width="14.625" style="12" customWidth="1"/>
    <col min="3331" max="3331" width="13.875" style="12" customWidth="1"/>
    <col min="3332" max="3332" width="26.125" style="12" customWidth="1"/>
    <col min="3333" max="3333" width="15.375" style="12" customWidth="1"/>
    <col min="3334" max="3334" width="24.125" style="12" customWidth="1"/>
    <col min="3335" max="3585" width="9" style="12"/>
    <col min="3586" max="3586" width="14.625" style="12" customWidth="1"/>
    <col min="3587" max="3587" width="13.875" style="12" customWidth="1"/>
    <col min="3588" max="3588" width="26.125" style="12" customWidth="1"/>
    <col min="3589" max="3589" width="15.375" style="12" customWidth="1"/>
    <col min="3590" max="3590" width="24.125" style="12" customWidth="1"/>
    <col min="3591" max="3841" width="9" style="12"/>
    <col min="3842" max="3842" width="14.625" style="12" customWidth="1"/>
    <col min="3843" max="3843" width="13.875" style="12" customWidth="1"/>
    <col min="3844" max="3844" width="26.125" style="12" customWidth="1"/>
    <col min="3845" max="3845" width="15.375" style="12" customWidth="1"/>
    <col min="3846" max="3846" width="24.125" style="12" customWidth="1"/>
    <col min="3847" max="4097" width="9" style="12"/>
    <col min="4098" max="4098" width="14.625" style="12" customWidth="1"/>
    <col min="4099" max="4099" width="13.875" style="12" customWidth="1"/>
    <col min="4100" max="4100" width="26.125" style="12" customWidth="1"/>
    <col min="4101" max="4101" width="15.375" style="12" customWidth="1"/>
    <col min="4102" max="4102" width="24.125" style="12" customWidth="1"/>
    <col min="4103" max="4353" width="9" style="12"/>
    <col min="4354" max="4354" width="14.625" style="12" customWidth="1"/>
    <col min="4355" max="4355" width="13.875" style="12" customWidth="1"/>
    <col min="4356" max="4356" width="26.125" style="12" customWidth="1"/>
    <col min="4357" max="4357" width="15.375" style="12" customWidth="1"/>
    <col min="4358" max="4358" width="24.125" style="12" customWidth="1"/>
    <col min="4359" max="4609" width="9" style="12"/>
    <col min="4610" max="4610" width="14.625" style="12" customWidth="1"/>
    <col min="4611" max="4611" width="13.875" style="12" customWidth="1"/>
    <col min="4612" max="4612" width="26.125" style="12" customWidth="1"/>
    <col min="4613" max="4613" width="15.375" style="12" customWidth="1"/>
    <col min="4614" max="4614" width="24.125" style="12" customWidth="1"/>
    <col min="4615" max="4865" width="9" style="12"/>
    <col min="4866" max="4866" width="14.625" style="12" customWidth="1"/>
    <col min="4867" max="4867" width="13.875" style="12" customWidth="1"/>
    <col min="4868" max="4868" width="26.125" style="12" customWidth="1"/>
    <col min="4869" max="4869" width="15.375" style="12" customWidth="1"/>
    <col min="4870" max="4870" width="24.125" style="12" customWidth="1"/>
    <col min="4871" max="5121" width="9" style="12"/>
    <col min="5122" max="5122" width="14.625" style="12" customWidth="1"/>
    <col min="5123" max="5123" width="13.875" style="12" customWidth="1"/>
    <col min="5124" max="5124" width="26.125" style="12" customWidth="1"/>
    <col min="5125" max="5125" width="15.375" style="12" customWidth="1"/>
    <col min="5126" max="5126" width="24.125" style="12" customWidth="1"/>
    <col min="5127" max="5377" width="9" style="12"/>
    <col min="5378" max="5378" width="14.625" style="12" customWidth="1"/>
    <col min="5379" max="5379" width="13.875" style="12" customWidth="1"/>
    <col min="5380" max="5380" width="26.125" style="12" customWidth="1"/>
    <col min="5381" max="5381" width="15.375" style="12" customWidth="1"/>
    <col min="5382" max="5382" width="24.125" style="12" customWidth="1"/>
    <col min="5383" max="5633" width="9" style="12"/>
    <col min="5634" max="5634" width="14.625" style="12" customWidth="1"/>
    <col min="5635" max="5635" width="13.875" style="12" customWidth="1"/>
    <col min="5636" max="5636" width="26.125" style="12" customWidth="1"/>
    <col min="5637" max="5637" width="15.375" style="12" customWidth="1"/>
    <col min="5638" max="5638" width="24.125" style="12" customWidth="1"/>
    <col min="5639" max="5889" width="9" style="12"/>
    <col min="5890" max="5890" width="14.625" style="12" customWidth="1"/>
    <col min="5891" max="5891" width="13.875" style="12" customWidth="1"/>
    <col min="5892" max="5892" width="26.125" style="12" customWidth="1"/>
    <col min="5893" max="5893" width="15.375" style="12" customWidth="1"/>
    <col min="5894" max="5894" width="24.125" style="12" customWidth="1"/>
    <col min="5895" max="6145" width="9" style="12"/>
    <col min="6146" max="6146" width="14.625" style="12" customWidth="1"/>
    <col min="6147" max="6147" width="13.875" style="12" customWidth="1"/>
    <col min="6148" max="6148" width="26.125" style="12" customWidth="1"/>
    <col min="6149" max="6149" width="15.375" style="12" customWidth="1"/>
    <col min="6150" max="6150" width="24.125" style="12" customWidth="1"/>
    <col min="6151" max="6401" width="9" style="12"/>
    <col min="6402" max="6402" width="14.625" style="12" customWidth="1"/>
    <col min="6403" max="6403" width="13.875" style="12" customWidth="1"/>
    <col min="6404" max="6404" width="26.125" style="12" customWidth="1"/>
    <col min="6405" max="6405" width="15.375" style="12" customWidth="1"/>
    <col min="6406" max="6406" width="24.125" style="12" customWidth="1"/>
    <col min="6407" max="6657" width="9" style="12"/>
    <col min="6658" max="6658" width="14.625" style="12" customWidth="1"/>
    <col min="6659" max="6659" width="13.875" style="12" customWidth="1"/>
    <col min="6660" max="6660" width="26.125" style="12" customWidth="1"/>
    <col min="6661" max="6661" width="15.375" style="12" customWidth="1"/>
    <col min="6662" max="6662" width="24.125" style="12" customWidth="1"/>
    <col min="6663" max="6913" width="9" style="12"/>
    <col min="6914" max="6914" width="14.625" style="12" customWidth="1"/>
    <col min="6915" max="6915" width="13.875" style="12" customWidth="1"/>
    <col min="6916" max="6916" width="26.125" style="12" customWidth="1"/>
    <col min="6917" max="6917" width="15.375" style="12" customWidth="1"/>
    <col min="6918" max="6918" width="24.125" style="12" customWidth="1"/>
    <col min="6919" max="7169" width="9" style="12"/>
    <col min="7170" max="7170" width="14.625" style="12" customWidth="1"/>
    <col min="7171" max="7171" width="13.875" style="12" customWidth="1"/>
    <col min="7172" max="7172" width="26.125" style="12" customWidth="1"/>
    <col min="7173" max="7173" width="15.375" style="12" customWidth="1"/>
    <col min="7174" max="7174" width="24.125" style="12" customWidth="1"/>
    <col min="7175" max="7425" width="9" style="12"/>
    <col min="7426" max="7426" width="14.625" style="12" customWidth="1"/>
    <col min="7427" max="7427" width="13.875" style="12" customWidth="1"/>
    <col min="7428" max="7428" width="26.125" style="12" customWidth="1"/>
    <col min="7429" max="7429" width="15.375" style="12" customWidth="1"/>
    <col min="7430" max="7430" width="24.125" style="12" customWidth="1"/>
    <col min="7431" max="7681" width="9" style="12"/>
    <col min="7682" max="7682" width="14.625" style="12" customWidth="1"/>
    <col min="7683" max="7683" width="13.875" style="12" customWidth="1"/>
    <col min="7684" max="7684" width="26.125" style="12" customWidth="1"/>
    <col min="7685" max="7685" width="15.375" style="12" customWidth="1"/>
    <col min="7686" max="7686" width="24.125" style="12" customWidth="1"/>
    <col min="7687" max="7937" width="9" style="12"/>
    <col min="7938" max="7938" width="14.625" style="12" customWidth="1"/>
    <col min="7939" max="7939" width="13.875" style="12" customWidth="1"/>
    <col min="7940" max="7940" width="26.125" style="12" customWidth="1"/>
    <col min="7941" max="7941" width="15.375" style="12" customWidth="1"/>
    <col min="7942" max="7942" width="24.125" style="12" customWidth="1"/>
    <col min="7943" max="8193" width="9" style="12"/>
    <col min="8194" max="8194" width="14.625" style="12" customWidth="1"/>
    <col min="8195" max="8195" width="13.875" style="12" customWidth="1"/>
    <col min="8196" max="8196" width="26.125" style="12" customWidth="1"/>
    <col min="8197" max="8197" width="15.375" style="12" customWidth="1"/>
    <col min="8198" max="8198" width="24.125" style="12" customWidth="1"/>
    <col min="8199" max="8449" width="9" style="12"/>
    <col min="8450" max="8450" width="14.625" style="12" customWidth="1"/>
    <col min="8451" max="8451" width="13.875" style="12" customWidth="1"/>
    <col min="8452" max="8452" width="26.125" style="12" customWidth="1"/>
    <col min="8453" max="8453" width="15.375" style="12" customWidth="1"/>
    <col min="8454" max="8454" width="24.125" style="12" customWidth="1"/>
    <col min="8455" max="8705" width="9" style="12"/>
    <col min="8706" max="8706" width="14.625" style="12" customWidth="1"/>
    <col min="8707" max="8707" width="13.875" style="12" customWidth="1"/>
    <col min="8708" max="8708" width="26.125" style="12" customWidth="1"/>
    <col min="8709" max="8709" width="15.375" style="12" customWidth="1"/>
    <col min="8710" max="8710" width="24.125" style="12" customWidth="1"/>
    <col min="8711" max="8961" width="9" style="12"/>
    <col min="8962" max="8962" width="14.625" style="12" customWidth="1"/>
    <col min="8963" max="8963" width="13.875" style="12" customWidth="1"/>
    <col min="8964" max="8964" width="26.125" style="12" customWidth="1"/>
    <col min="8965" max="8965" width="15.375" style="12" customWidth="1"/>
    <col min="8966" max="8966" width="24.125" style="12" customWidth="1"/>
    <col min="8967" max="9217" width="9" style="12"/>
    <col min="9218" max="9218" width="14.625" style="12" customWidth="1"/>
    <col min="9219" max="9219" width="13.875" style="12" customWidth="1"/>
    <col min="9220" max="9220" width="26.125" style="12" customWidth="1"/>
    <col min="9221" max="9221" width="15.375" style="12" customWidth="1"/>
    <col min="9222" max="9222" width="24.125" style="12" customWidth="1"/>
    <col min="9223" max="9473" width="9" style="12"/>
    <col min="9474" max="9474" width="14.625" style="12" customWidth="1"/>
    <col min="9475" max="9475" width="13.875" style="12" customWidth="1"/>
    <col min="9476" max="9476" width="26.125" style="12" customWidth="1"/>
    <col min="9477" max="9477" width="15.375" style="12" customWidth="1"/>
    <col min="9478" max="9478" width="24.125" style="12" customWidth="1"/>
    <col min="9479" max="9729" width="9" style="12"/>
    <col min="9730" max="9730" width="14.625" style="12" customWidth="1"/>
    <col min="9731" max="9731" width="13.875" style="12" customWidth="1"/>
    <col min="9732" max="9732" width="26.125" style="12" customWidth="1"/>
    <col min="9733" max="9733" width="15.375" style="12" customWidth="1"/>
    <col min="9734" max="9734" width="24.125" style="12" customWidth="1"/>
    <col min="9735" max="9985" width="9" style="12"/>
    <col min="9986" max="9986" width="14.625" style="12" customWidth="1"/>
    <col min="9987" max="9987" width="13.875" style="12" customWidth="1"/>
    <col min="9988" max="9988" width="26.125" style="12" customWidth="1"/>
    <col min="9989" max="9989" width="15.375" style="12" customWidth="1"/>
    <col min="9990" max="9990" width="24.125" style="12" customWidth="1"/>
    <col min="9991" max="10241" width="9" style="12"/>
    <col min="10242" max="10242" width="14.625" style="12" customWidth="1"/>
    <col min="10243" max="10243" width="13.875" style="12" customWidth="1"/>
    <col min="10244" max="10244" width="26.125" style="12" customWidth="1"/>
    <col min="10245" max="10245" width="15.375" style="12" customWidth="1"/>
    <col min="10246" max="10246" width="24.125" style="12" customWidth="1"/>
    <col min="10247" max="10497" width="9" style="12"/>
    <col min="10498" max="10498" width="14.625" style="12" customWidth="1"/>
    <col min="10499" max="10499" width="13.875" style="12" customWidth="1"/>
    <col min="10500" max="10500" width="26.125" style="12" customWidth="1"/>
    <col min="10501" max="10501" width="15.375" style="12" customWidth="1"/>
    <col min="10502" max="10502" width="24.125" style="12" customWidth="1"/>
    <col min="10503" max="10753" width="9" style="12"/>
    <col min="10754" max="10754" width="14.625" style="12" customWidth="1"/>
    <col min="10755" max="10755" width="13.875" style="12" customWidth="1"/>
    <col min="10756" max="10756" width="26.125" style="12" customWidth="1"/>
    <col min="10757" max="10757" width="15.375" style="12" customWidth="1"/>
    <col min="10758" max="10758" width="24.125" style="12" customWidth="1"/>
    <col min="10759" max="11009" width="9" style="12"/>
    <col min="11010" max="11010" width="14.625" style="12" customWidth="1"/>
    <col min="11011" max="11011" width="13.875" style="12" customWidth="1"/>
    <col min="11012" max="11012" width="26.125" style="12" customWidth="1"/>
    <col min="11013" max="11013" width="15.375" style="12" customWidth="1"/>
    <col min="11014" max="11014" width="24.125" style="12" customWidth="1"/>
    <col min="11015" max="11265" width="9" style="12"/>
    <col min="11266" max="11266" width="14.625" style="12" customWidth="1"/>
    <col min="11267" max="11267" width="13.875" style="12" customWidth="1"/>
    <col min="11268" max="11268" width="26.125" style="12" customWidth="1"/>
    <col min="11269" max="11269" width="15.375" style="12" customWidth="1"/>
    <col min="11270" max="11270" width="24.125" style="12" customWidth="1"/>
    <col min="11271" max="11521" width="9" style="12"/>
    <col min="11522" max="11522" width="14.625" style="12" customWidth="1"/>
    <col min="11523" max="11523" width="13.875" style="12" customWidth="1"/>
    <col min="11524" max="11524" width="26.125" style="12" customWidth="1"/>
    <col min="11525" max="11525" width="15.375" style="12" customWidth="1"/>
    <col min="11526" max="11526" width="24.125" style="12" customWidth="1"/>
    <col min="11527" max="11777" width="9" style="12"/>
    <col min="11778" max="11778" width="14.625" style="12" customWidth="1"/>
    <col min="11779" max="11779" width="13.875" style="12" customWidth="1"/>
    <col min="11780" max="11780" width="26.125" style="12" customWidth="1"/>
    <col min="11781" max="11781" width="15.375" style="12" customWidth="1"/>
    <col min="11782" max="11782" width="24.125" style="12" customWidth="1"/>
    <col min="11783" max="12033" width="9" style="12"/>
    <col min="12034" max="12034" width="14.625" style="12" customWidth="1"/>
    <col min="12035" max="12035" width="13.875" style="12" customWidth="1"/>
    <col min="12036" max="12036" width="26.125" style="12" customWidth="1"/>
    <col min="12037" max="12037" width="15.375" style="12" customWidth="1"/>
    <col min="12038" max="12038" width="24.125" style="12" customWidth="1"/>
    <col min="12039" max="12289" width="9" style="12"/>
    <col min="12290" max="12290" width="14.625" style="12" customWidth="1"/>
    <col min="12291" max="12291" width="13.875" style="12" customWidth="1"/>
    <col min="12292" max="12292" width="26.125" style="12" customWidth="1"/>
    <col min="12293" max="12293" width="15.375" style="12" customWidth="1"/>
    <col min="12294" max="12294" width="24.125" style="12" customWidth="1"/>
    <col min="12295" max="12545" width="9" style="12"/>
    <col min="12546" max="12546" width="14.625" style="12" customWidth="1"/>
    <col min="12547" max="12547" width="13.875" style="12" customWidth="1"/>
    <col min="12548" max="12548" width="26.125" style="12" customWidth="1"/>
    <col min="12549" max="12549" width="15.375" style="12" customWidth="1"/>
    <col min="12550" max="12550" width="24.125" style="12" customWidth="1"/>
    <col min="12551" max="12801" width="9" style="12"/>
    <col min="12802" max="12802" width="14.625" style="12" customWidth="1"/>
    <col min="12803" max="12803" width="13.875" style="12" customWidth="1"/>
    <col min="12804" max="12804" width="26.125" style="12" customWidth="1"/>
    <col min="12805" max="12805" width="15.375" style="12" customWidth="1"/>
    <col min="12806" max="12806" width="24.125" style="12" customWidth="1"/>
    <col min="12807" max="13057" width="9" style="12"/>
    <col min="13058" max="13058" width="14.625" style="12" customWidth="1"/>
    <col min="13059" max="13059" width="13.875" style="12" customWidth="1"/>
    <col min="13060" max="13060" width="26.125" style="12" customWidth="1"/>
    <col min="13061" max="13061" width="15.375" style="12" customWidth="1"/>
    <col min="13062" max="13062" width="24.125" style="12" customWidth="1"/>
    <col min="13063" max="13313" width="9" style="12"/>
    <col min="13314" max="13314" width="14.625" style="12" customWidth="1"/>
    <col min="13315" max="13315" width="13.875" style="12" customWidth="1"/>
    <col min="13316" max="13316" width="26.125" style="12" customWidth="1"/>
    <col min="13317" max="13317" width="15.375" style="12" customWidth="1"/>
    <col min="13318" max="13318" width="24.125" style="12" customWidth="1"/>
    <col min="13319" max="13569" width="9" style="12"/>
    <col min="13570" max="13570" width="14.625" style="12" customWidth="1"/>
    <col min="13571" max="13571" width="13.875" style="12" customWidth="1"/>
    <col min="13572" max="13572" width="26.125" style="12" customWidth="1"/>
    <col min="13573" max="13573" width="15.375" style="12" customWidth="1"/>
    <col min="13574" max="13574" width="24.125" style="12" customWidth="1"/>
    <col min="13575" max="13825" width="9" style="12"/>
    <col min="13826" max="13826" width="14.625" style="12" customWidth="1"/>
    <col min="13827" max="13827" width="13.875" style="12" customWidth="1"/>
    <col min="13828" max="13828" width="26.125" style="12" customWidth="1"/>
    <col min="13829" max="13829" width="15.375" style="12" customWidth="1"/>
    <col min="13830" max="13830" width="24.125" style="12" customWidth="1"/>
    <col min="13831" max="14081" width="9" style="12"/>
    <col min="14082" max="14082" width="14.625" style="12" customWidth="1"/>
    <col min="14083" max="14083" width="13.875" style="12" customWidth="1"/>
    <col min="14084" max="14084" width="26.125" style="12" customWidth="1"/>
    <col min="14085" max="14085" width="15.375" style="12" customWidth="1"/>
    <col min="14086" max="14086" width="24.125" style="12" customWidth="1"/>
    <col min="14087" max="14337" width="9" style="12"/>
    <col min="14338" max="14338" width="14.625" style="12" customWidth="1"/>
    <col min="14339" max="14339" width="13.875" style="12" customWidth="1"/>
    <col min="14340" max="14340" width="26.125" style="12" customWidth="1"/>
    <col min="14341" max="14341" width="15.375" style="12" customWidth="1"/>
    <col min="14342" max="14342" width="24.125" style="12" customWidth="1"/>
    <col min="14343" max="14593" width="9" style="12"/>
    <col min="14594" max="14594" width="14.625" style="12" customWidth="1"/>
    <col min="14595" max="14595" width="13.875" style="12" customWidth="1"/>
    <col min="14596" max="14596" width="26.125" style="12" customWidth="1"/>
    <col min="14597" max="14597" width="15.375" style="12" customWidth="1"/>
    <col min="14598" max="14598" width="24.125" style="12" customWidth="1"/>
    <col min="14599" max="14849" width="9" style="12"/>
    <col min="14850" max="14850" width="14.625" style="12" customWidth="1"/>
    <col min="14851" max="14851" width="13.875" style="12" customWidth="1"/>
    <col min="14852" max="14852" width="26.125" style="12" customWidth="1"/>
    <col min="14853" max="14853" width="15.375" style="12" customWidth="1"/>
    <col min="14854" max="14854" width="24.125" style="12" customWidth="1"/>
    <col min="14855" max="15105" width="9" style="12"/>
    <col min="15106" max="15106" width="14.625" style="12" customWidth="1"/>
    <col min="15107" max="15107" width="13.875" style="12" customWidth="1"/>
    <col min="15108" max="15108" width="26.125" style="12" customWidth="1"/>
    <col min="15109" max="15109" width="15.375" style="12" customWidth="1"/>
    <col min="15110" max="15110" width="24.125" style="12" customWidth="1"/>
    <col min="15111" max="15361" width="9" style="12"/>
    <col min="15362" max="15362" width="14.625" style="12" customWidth="1"/>
    <col min="15363" max="15363" width="13.875" style="12" customWidth="1"/>
    <col min="15364" max="15364" width="26.125" style="12" customWidth="1"/>
    <col min="15365" max="15365" width="15.375" style="12" customWidth="1"/>
    <col min="15366" max="15366" width="24.125" style="12" customWidth="1"/>
    <col min="15367" max="15617" width="9" style="12"/>
    <col min="15618" max="15618" width="14.625" style="12" customWidth="1"/>
    <col min="15619" max="15619" width="13.875" style="12" customWidth="1"/>
    <col min="15620" max="15620" width="26.125" style="12" customWidth="1"/>
    <col min="15621" max="15621" width="15.375" style="12" customWidth="1"/>
    <col min="15622" max="15622" width="24.125" style="12" customWidth="1"/>
    <col min="15623" max="15873" width="9" style="12"/>
    <col min="15874" max="15874" width="14.625" style="12" customWidth="1"/>
    <col min="15875" max="15875" width="13.875" style="12" customWidth="1"/>
    <col min="15876" max="15876" width="26.125" style="12" customWidth="1"/>
    <col min="15877" max="15877" width="15.375" style="12" customWidth="1"/>
    <col min="15878" max="15878" width="24.125" style="12" customWidth="1"/>
    <col min="15879" max="16129" width="9" style="12"/>
    <col min="16130" max="16130" width="14.625" style="12" customWidth="1"/>
    <col min="16131" max="16131" width="13.875" style="12" customWidth="1"/>
    <col min="16132" max="16132" width="26.125" style="12" customWidth="1"/>
    <col min="16133" max="16133" width="15.375" style="12" customWidth="1"/>
    <col min="16134" max="16134" width="24.125" style="12" customWidth="1"/>
    <col min="16135" max="16384" width="9" style="12"/>
  </cols>
  <sheetData>
    <row r="1" spans="1:8" s="961" customFormat="1" ht="21">
      <c r="A1" s="1525" t="s">
        <v>40</v>
      </c>
      <c r="B1" s="1369"/>
      <c r="C1" s="1369"/>
      <c r="D1" s="1369"/>
      <c r="E1" s="1369"/>
      <c r="F1" s="1369"/>
      <c r="G1" s="921"/>
      <c r="H1" s="921"/>
    </row>
    <row r="2" spans="1:8" s="961" customFormat="1" ht="21">
      <c r="A2" s="1525" t="s">
        <v>41</v>
      </c>
      <c r="B2" s="1369"/>
      <c r="C2" s="1369"/>
      <c r="D2" s="1369"/>
      <c r="E2" s="1369"/>
      <c r="F2" s="1369"/>
      <c r="G2" s="921"/>
      <c r="H2" s="921"/>
    </row>
    <row r="3" spans="1:8" s="961" customFormat="1" ht="24.95" customHeight="1">
      <c r="A3" s="1400" t="s">
        <v>1144</v>
      </c>
      <c r="B3" s="1400"/>
      <c r="C3" s="1400"/>
      <c r="D3" s="1400"/>
      <c r="E3" s="1400"/>
      <c r="F3" s="1400"/>
      <c r="G3" s="13"/>
      <c r="H3" s="13"/>
    </row>
    <row r="4" spans="1:8" s="961" customFormat="1" ht="24.95" customHeight="1" thickBot="1">
      <c r="A4" s="1566" t="s">
        <v>1299</v>
      </c>
      <c r="B4" s="1566"/>
      <c r="C4" s="1566"/>
      <c r="D4" s="1566"/>
      <c r="E4" s="1566"/>
      <c r="F4" s="1566"/>
      <c r="G4" s="14"/>
      <c r="H4" s="14"/>
    </row>
    <row r="5" spans="1:8" s="93" customFormat="1" ht="30" customHeight="1">
      <c r="A5" s="922" t="s">
        <v>602</v>
      </c>
      <c r="B5" s="967" t="s">
        <v>5</v>
      </c>
      <c r="C5" s="976" t="s">
        <v>799</v>
      </c>
      <c r="D5" s="923" t="s">
        <v>800</v>
      </c>
      <c r="E5" s="1609" t="s">
        <v>801</v>
      </c>
      <c r="F5" s="1610"/>
      <c r="G5" s="964"/>
      <c r="H5" s="964"/>
    </row>
    <row r="6" spans="1:8" s="93" customFormat="1" ht="8.25" customHeight="1">
      <c r="A6" s="1218"/>
      <c r="B6" s="1324"/>
      <c r="C6" s="1325"/>
      <c r="D6" s="1326"/>
      <c r="E6" s="1327"/>
      <c r="F6" s="1328"/>
      <c r="G6" s="1319"/>
      <c r="H6" s="1319"/>
    </row>
    <row r="7" spans="1:8" s="961" customFormat="1" ht="36" customHeight="1">
      <c r="A7" s="924">
        <v>0</v>
      </c>
      <c r="B7" s="968">
        <v>0</v>
      </c>
      <c r="C7" s="447" t="s">
        <v>802</v>
      </c>
      <c r="D7" s="928">
        <f>D8+D12</f>
        <v>7740</v>
      </c>
      <c r="E7" s="1569" t="s">
        <v>1114</v>
      </c>
      <c r="F7" s="1570"/>
    </row>
    <row r="8" spans="1:8" s="961" customFormat="1" ht="32.85" customHeight="1">
      <c r="A8" s="927">
        <v>0</v>
      </c>
      <c r="B8" s="969">
        <v>0</v>
      </c>
      <c r="C8" s="447" t="s">
        <v>803</v>
      </c>
      <c r="D8" s="928">
        <f>D9+D10</f>
        <v>7740</v>
      </c>
      <c r="E8" s="947"/>
      <c r="F8" s="926"/>
    </row>
    <row r="9" spans="1:8" s="961" customFormat="1" ht="171" customHeight="1">
      <c r="A9" s="929">
        <v>0</v>
      </c>
      <c r="B9" s="970">
        <v>0</v>
      </c>
      <c r="C9" s="977" t="s">
        <v>1110</v>
      </c>
      <c r="D9" s="930">
        <f>8240-500</f>
        <v>7740</v>
      </c>
      <c r="E9" s="1611" t="s">
        <v>1552</v>
      </c>
      <c r="F9" s="1612"/>
      <c r="H9" s="931"/>
    </row>
    <row r="10" spans="1:8" s="961" customFormat="1">
      <c r="A10" s="929"/>
      <c r="B10" s="971"/>
      <c r="C10" s="977"/>
      <c r="D10" s="932"/>
      <c r="E10" s="953"/>
      <c r="F10" s="952"/>
    </row>
    <row r="11" spans="1:8" s="961" customFormat="1">
      <c r="A11" s="933"/>
      <c r="B11" s="972"/>
      <c r="C11" s="460"/>
      <c r="D11" s="256"/>
      <c r="E11" s="953"/>
      <c r="F11" s="954"/>
    </row>
    <row r="12" spans="1:8" s="961" customFormat="1" ht="30" customHeight="1">
      <c r="A12" s="934"/>
      <c r="B12" s="969"/>
      <c r="C12" s="791"/>
      <c r="D12" s="928"/>
      <c r="E12" s="947"/>
      <c r="F12" s="935"/>
    </row>
    <row r="13" spans="1:8" s="961" customFormat="1" ht="30" customHeight="1">
      <c r="A13" s="929"/>
      <c r="B13" s="948"/>
      <c r="C13" s="99"/>
      <c r="D13" s="936"/>
      <c r="E13" s="948"/>
      <c r="F13" s="1613"/>
    </row>
    <row r="14" spans="1:8" s="961" customFormat="1" ht="36.6" customHeight="1">
      <c r="A14" s="937"/>
      <c r="B14" s="973"/>
      <c r="C14" s="978"/>
      <c r="D14" s="938"/>
      <c r="E14" s="949"/>
      <c r="F14" s="1613"/>
    </row>
    <row r="15" spans="1:8" s="961" customFormat="1" ht="36.6" customHeight="1">
      <c r="A15" s="939"/>
      <c r="B15" s="968"/>
      <c r="C15" s="979"/>
      <c r="D15" s="925"/>
      <c r="E15" s="950"/>
      <c r="F15" s="1613"/>
    </row>
    <row r="16" spans="1:8" s="961" customFormat="1" ht="42" customHeight="1">
      <c r="A16" s="939"/>
      <c r="B16" s="968"/>
      <c r="C16" s="791"/>
      <c r="D16" s="925"/>
      <c r="E16" s="950"/>
      <c r="F16" s="1613"/>
    </row>
    <row r="17" spans="1:6" s="961" customFormat="1" ht="49.5" customHeight="1">
      <c r="A17" s="937"/>
      <c r="B17" s="973"/>
      <c r="C17" s="99"/>
      <c r="D17" s="938"/>
      <c r="E17" s="949"/>
      <c r="F17" s="1613"/>
    </row>
    <row r="18" spans="1:6" s="961" customFormat="1" ht="33" customHeight="1">
      <c r="A18" s="149"/>
      <c r="B18" s="974"/>
      <c r="C18" s="980"/>
      <c r="D18" s="940"/>
      <c r="E18" s="962"/>
      <c r="F18" s="963"/>
    </row>
    <row r="19" spans="1:6" ht="90" customHeight="1">
      <c r="A19" s="149"/>
      <c r="B19" s="974"/>
      <c r="C19" s="980"/>
      <c r="D19" s="940"/>
      <c r="E19" s="962"/>
      <c r="F19" s="963"/>
    </row>
    <row r="20" spans="1:6" ht="34.15" customHeight="1" thickBot="1">
      <c r="A20" s="941">
        <f>A7+A15</f>
        <v>0</v>
      </c>
      <c r="B20" s="975">
        <f>B7</f>
        <v>0</v>
      </c>
      <c r="C20" s="981" t="s">
        <v>794</v>
      </c>
      <c r="D20" s="942">
        <f>D7</f>
        <v>7740</v>
      </c>
      <c r="E20" s="951"/>
      <c r="F20" s="943"/>
    </row>
    <row r="21" spans="1:6" ht="1.1499999999999999" hidden="1" customHeight="1">
      <c r="A21" s="1565"/>
      <c r="B21" s="1565"/>
      <c r="C21" s="1565"/>
      <c r="D21" s="1565"/>
      <c r="E21" s="1565"/>
      <c r="F21" s="1565"/>
    </row>
  </sheetData>
  <mergeCells count="9">
    <mergeCell ref="A21:F21"/>
    <mergeCell ref="E5:F5"/>
    <mergeCell ref="E9:F9"/>
    <mergeCell ref="A1:F1"/>
    <mergeCell ref="A2:F2"/>
    <mergeCell ref="A3:F3"/>
    <mergeCell ref="A4:F4"/>
    <mergeCell ref="F13:F17"/>
    <mergeCell ref="E7:F7"/>
  </mergeCells>
  <phoneticPr fontId="6" type="noConversion"/>
  <printOptions horizontalCentered="1"/>
  <pageMargins left="0.47244094488188981" right="0.39370078740157483" top="0.59055118110236227" bottom="0.78740157480314965" header="0.51181102362204722" footer="0.51181102362204722"/>
  <pageSetup paperSize="9" firstPageNumber="52" orientation="portrait" useFirstPageNumber="1" r:id="rId1"/>
  <headerFooter alignWithMargins="0">
    <oddFooter>&amp;C&amp;"Times New Roman,標準"&amp;P</oddFooter>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I52"/>
  <sheetViews>
    <sheetView view="pageBreakPreview" topLeftCell="B34" zoomScale="90" zoomScaleNormal="100" zoomScaleSheetLayoutView="90" workbookViewId="0">
      <selection activeCell="G28" sqref="G28"/>
    </sheetView>
  </sheetViews>
  <sheetFormatPr defaultColWidth="9" defaultRowHeight="15.75"/>
  <cols>
    <col min="1" max="1" width="18.75" style="2" customWidth="1"/>
    <col min="2" max="2" width="19.125" style="2" customWidth="1"/>
    <col min="3" max="3" width="32.625" style="2" customWidth="1"/>
    <col min="4" max="4" width="18.625" style="2" customWidth="1"/>
    <col min="5" max="5" width="18.125" style="2" customWidth="1"/>
    <col min="6" max="6" width="18.375" style="2" customWidth="1"/>
    <col min="7" max="7" width="19.125" style="2" customWidth="1"/>
    <col min="8" max="8" width="14.75" style="2" customWidth="1"/>
    <col min="9" max="9" width="18.125" style="2" customWidth="1"/>
    <col min="10" max="16384" width="9" style="2"/>
  </cols>
  <sheetData>
    <row r="1" spans="1:9" ht="21">
      <c r="A1" s="1525" t="s">
        <v>40</v>
      </c>
      <c r="B1" s="1369"/>
      <c r="C1" s="1369"/>
      <c r="D1" s="1369"/>
      <c r="E1" s="1369"/>
      <c r="F1" s="1369"/>
      <c r="G1" s="1369"/>
      <c r="H1" s="1369"/>
      <c r="I1" s="1369"/>
    </row>
    <row r="2" spans="1:9" ht="19.149999999999999" customHeight="1">
      <c r="A2" s="1525" t="s">
        <v>1124</v>
      </c>
      <c r="B2" s="1369"/>
      <c r="C2" s="1369"/>
      <c r="D2" s="1369"/>
      <c r="E2" s="1369"/>
      <c r="F2" s="1369"/>
      <c r="G2" s="1369"/>
      <c r="H2" s="1369"/>
      <c r="I2" s="1369"/>
    </row>
    <row r="3" spans="1:9" ht="20.100000000000001" customHeight="1">
      <c r="A3" s="1621" t="s">
        <v>1125</v>
      </c>
      <c r="B3" s="1371"/>
      <c r="C3" s="1371"/>
      <c r="D3" s="1371"/>
      <c r="E3" s="1371"/>
      <c r="F3" s="1371"/>
      <c r="G3" s="1371"/>
      <c r="H3" s="1371"/>
      <c r="I3" s="1371"/>
    </row>
    <row r="4" spans="1:9" ht="21.6" customHeight="1" thickBot="1">
      <c r="A4" s="883" t="s">
        <v>678</v>
      </c>
      <c r="B4" s="883"/>
      <c r="C4" s="883"/>
      <c r="D4" s="1622" t="s">
        <v>1271</v>
      </c>
      <c r="E4" s="1622"/>
      <c r="F4" s="883"/>
      <c r="G4" s="1623" t="s">
        <v>1126</v>
      </c>
      <c r="H4" s="1624"/>
      <c r="I4" s="1624"/>
    </row>
    <row r="5" spans="1:9" ht="18.95" customHeight="1">
      <c r="A5" s="1081" t="s">
        <v>1097</v>
      </c>
      <c r="B5" s="1080" t="s">
        <v>1099</v>
      </c>
      <c r="C5" s="1616" t="s">
        <v>85</v>
      </c>
      <c r="D5" s="1618" t="s">
        <v>58</v>
      </c>
      <c r="E5" s="1619"/>
      <c r="F5" s="1619"/>
      <c r="G5" s="1619"/>
      <c r="H5" s="1619"/>
      <c r="I5" s="1620"/>
    </row>
    <row r="6" spans="1:9" ht="30" customHeight="1">
      <c r="A6" s="1082" t="s">
        <v>1098</v>
      </c>
      <c r="B6" s="1083" t="s">
        <v>1100</v>
      </c>
      <c r="C6" s="1617"/>
      <c r="D6" s="881" t="s">
        <v>679</v>
      </c>
      <c r="E6" s="611" t="s">
        <v>305</v>
      </c>
      <c r="F6" s="401" t="s">
        <v>87</v>
      </c>
      <c r="G6" s="401" t="s">
        <v>88</v>
      </c>
      <c r="H6" s="401" t="s">
        <v>89</v>
      </c>
      <c r="I6" s="621" t="s">
        <v>90</v>
      </c>
    </row>
    <row r="7" spans="1:9" ht="6.6" customHeight="1">
      <c r="A7" s="622"/>
      <c r="B7" s="881"/>
      <c r="C7" s="882"/>
      <c r="D7" s="881"/>
      <c r="E7" s="401"/>
      <c r="F7" s="401"/>
      <c r="G7" s="401"/>
      <c r="H7" s="401"/>
      <c r="I7" s="621"/>
    </row>
    <row r="8" spans="1:9" s="193" customFormat="1" ht="28.5" customHeight="1">
      <c r="A8" s="623">
        <f>1609430</f>
        <v>1609430</v>
      </c>
      <c r="B8" s="617">
        <f>SUM(B9:B18)</f>
        <v>1492874</v>
      </c>
      <c r="C8" s="639" t="s">
        <v>439</v>
      </c>
      <c r="D8" s="192">
        <f t="shared" ref="D8:I8" si="0">SUM(D9:D18)</f>
        <v>1547030</v>
      </c>
      <c r="E8" s="192">
        <f t="shared" si="0"/>
        <v>3491</v>
      </c>
      <c r="F8" s="192">
        <f t="shared" si="0"/>
        <v>1013286</v>
      </c>
      <c r="G8" s="192">
        <f t="shared" si="0"/>
        <v>0</v>
      </c>
      <c r="H8" s="192">
        <f>SUM(H9:H18)</f>
        <v>530253</v>
      </c>
      <c r="I8" s="624">
        <f t="shared" si="0"/>
        <v>0</v>
      </c>
    </row>
    <row r="9" spans="1:9" s="195" customFormat="1" ht="28.5" customHeight="1">
      <c r="A9" s="627">
        <v>307</v>
      </c>
      <c r="B9" s="619">
        <v>770</v>
      </c>
      <c r="C9" s="613" t="s">
        <v>680</v>
      </c>
      <c r="D9" s="194">
        <f>SUM(E9:I9)</f>
        <v>7</v>
      </c>
      <c r="E9" s="194">
        <v>7</v>
      </c>
      <c r="F9" s="612">
        <v>0</v>
      </c>
      <c r="G9" s="194">
        <v>0</v>
      </c>
      <c r="H9" s="194">
        <v>0</v>
      </c>
      <c r="I9" s="626">
        <v>0</v>
      </c>
    </row>
    <row r="10" spans="1:9" s="195" customFormat="1" ht="28.5" customHeight="1">
      <c r="A10" s="627">
        <v>349</v>
      </c>
      <c r="B10" s="619">
        <v>409</v>
      </c>
      <c r="C10" s="613" t="s">
        <v>681</v>
      </c>
      <c r="D10" s="194">
        <f>SUM(E10:I10)</f>
        <v>389</v>
      </c>
      <c r="E10" s="194">
        <v>0</v>
      </c>
      <c r="F10" s="612">
        <v>0</v>
      </c>
      <c r="G10" s="194">
        <v>0</v>
      </c>
      <c r="H10" s="194">
        <v>389</v>
      </c>
      <c r="I10" s="626">
        <v>0</v>
      </c>
    </row>
    <row r="11" spans="1:9" s="195" customFormat="1" ht="28.5" customHeight="1">
      <c r="A11" s="627">
        <v>7082</v>
      </c>
      <c r="B11" s="619">
        <v>8465</v>
      </c>
      <c r="C11" s="613" t="s">
        <v>682</v>
      </c>
      <c r="D11" s="194">
        <f>SUM(E11:I11)</f>
        <v>11523</v>
      </c>
      <c r="E11" s="194">
        <v>0</v>
      </c>
      <c r="F11" s="612">
        <v>0</v>
      </c>
      <c r="G11" s="194">
        <v>0</v>
      </c>
      <c r="H11" s="194">
        <v>11523</v>
      </c>
      <c r="I11" s="626">
        <v>0</v>
      </c>
    </row>
    <row r="12" spans="1:9" s="195" customFormat="1" ht="28.5" customHeight="1">
      <c r="A12" s="627">
        <v>810</v>
      </c>
      <c r="B12" s="194">
        <v>3394</v>
      </c>
      <c r="C12" s="613" t="s">
        <v>1053</v>
      </c>
      <c r="D12" s="194">
        <f t="shared" ref="D12:D29" si="1">SUM(E12:I12)</f>
        <v>5001</v>
      </c>
      <c r="E12" s="194">
        <v>1</v>
      </c>
      <c r="F12" s="612">
        <v>0</v>
      </c>
      <c r="G12" s="194">
        <v>0</v>
      </c>
      <c r="H12" s="194">
        <f>5299-299</f>
        <v>5000</v>
      </c>
      <c r="I12" s="626">
        <v>0</v>
      </c>
    </row>
    <row r="13" spans="1:9" s="195" customFormat="1" ht="28.5" customHeight="1">
      <c r="A13" s="625">
        <v>1538</v>
      </c>
      <c r="B13" s="618">
        <v>2089</v>
      </c>
      <c r="C13" s="613" t="s">
        <v>683</v>
      </c>
      <c r="D13" s="194">
        <f t="shared" si="1"/>
        <v>2550</v>
      </c>
      <c r="E13" s="194">
        <v>2550</v>
      </c>
      <c r="F13" s="612">
        <v>0</v>
      </c>
      <c r="G13" s="194">
        <v>0</v>
      </c>
      <c r="H13" s="194">
        <v>0</v>
      </c>
      <c r="I13" s="626">
        <v>0</v>
      </c>
    </row>
    <row r="14" spans="1:9" s="195" customFormat="1" ht="28.5" customHeight="1">
      <c r="A14" s="627">
        <v>45</v>
      </c>
      <c r="B14" s="618">
        <v>194</v>
      </c>
      <c r="C14" s="613" t="s">
        <v>442</v>
      </c>
      <c r="D14" s="194">
        <f t="shared" si="1"/>
        <v>200</v>
      </c>
      <c r="E14" s="194">
        <v>0</v>
      </c>
      <c r="F14" s="612">
        <v>0</v>
      </c>
      <c r="G14" s="194">
        <v>0</v>
      </c>
      <c r="H14" s="194">
        <v>200</v>
      </c>
      <c r="I14" s="626">
        <v>0</v>
      </c>
    </row>
    <row r="15" spans="1:9" s="195" customFormat="1" ht="28.5" customHeight="1">
      <c r="A15" s="625">
        <v>1220031</v>
      </c>
      <c r="B15" s="618">
        <v>1107378</v>
      </c>
      <c r="C15" s="613" t="s">
        <v>443</v>
      </c>
      <c r="D15" s="194">
        <f t="shared" si="1"/>
        <v>1124578</v>
      </c>
      <c r="E15" s="194">
        <v>783</v>
      </c>
      <c r="F15" s="194">
        <v>983089</v>
      </c>
      <c r="G15" s="194">
        <v>0</v>
      </c>
      <c r="H15" s="194">
        <v>140706</v>
      </c>
      <c r="I15" s="626">
        <v>0</v>
      </c>
    </row>
    <row r="16" spans="1:9" s="195" customFormat="1" ht="28.5" customHeight="1">
      <c r="A16" s="625">
        <v>370592</v>
      </c>
      <c r="B16" s="618">
        <v>355645</v>
      </c>
      <c r="C16" s="613" t="s">
        <v>444</v>
      </c>
      <c r="D16" s="194">
        <f t="shared" si="1"/>
        <v>385342</v>
      </c>
      <c r="E16" s="194">
        <v>150</v>
      </c>
      <c r="F16" s="194">
        <v>30197</v>
      </c>
      <c r="G16" s="194">
        <v>0</v>
      </c>
      <c r="H16" s="194">
        <v>354995</v>
      </c>
      <c r="I16" s="626">
        <v>0</v>
      </c>
    </row>
    <row r="17" spans="1:9" s="195" customFormat="1" ht="28.5" customHeight="1">
      <c r="A17" s="627">
        <v>113</v>
      </c>
      <c r="B17" s="194">
        <v>5300</v>
      </c>
      <c r="C17" s="613" t="s">
        <v>853</v>
      </c>
      <c r="D17" s="194">
        <f t="shared" si="1"/>
        <v>7740</v>
      </c>
      <c r="E17" s="194">
        <v>0</v>
      </c>
      <c r="F17" s="612">
        <v>0</v>
      </c>
      <c r="G17" s="194">
        <v>0</v>
      </c>
      <c r="H17" s="194">
        <f>8240-500</f>
        <v>7740</v>
      </c>
      <c r="I17" s="626">
        <v>0</v>
      </c>
    </row>
    <row r="18" spans="1:9" s="195" customFormat="1" ht="28.5" customHeight="1">
      <c r="A18" s="627">
        <v>8562</v>
      </c>
      <c r="B18" s="194">
        <v>9230</v>
      </c>
      <c r="C18" s="613" t="s">
        <v>1243</v>
      </c>
      <c r="D18" s="194">
        <f t="shared" si="1"/>
        <v>9700</v>
      </c>
      <c r="E18" s="194">
        <v>0</v>
      </c>
      <c r="F18" s="612">
        <v>0</v>
      </c>
      <c r="G18" s="194">
        <v>0</v>
      </c>
      <c r="H18" s="194">
        <v>9700</v>
      </c>
      <c r="I18" s="626">
        <v>0</v>
      </c>
    </row>
    <row r="19" spans="1:9" s="193" customFormat="1" ht="28.5" customHeight="1">
      <c r="A19" s="628">
        <v>4244</v>
      </c>
      <c r="B19" s="192">
        <f>SUM(B20:B21)</f>
        <v>4643</v>
      </c>
      <c r="C19" s="639" t="s">
        <v>357</v>
      </c>
      <c r="D19" s="192">
        <f>SUM(D20:D22)</f>
        <v>3309</v>
      </c>
      <c r="E19" s="192">
        <f>E21</f>
        <v>0</v>
      </c>
      <c r="F19" s="192">
        <f>F21</f>
        <v>0</v>
      </c>
      <c r="G19" s="192">
        <f>G21</f>
        <v>0</v>
      </c>
      <c r="H19" s="192">
        <f>SUM(H20:H22)</f>
        <v>3309</v>
      </c>
      <c r="I19" s="624">
        <f>I21</f>
        <v>0</v>
      </c>
    </row>
    <row r="20" spans="1:9" s="193" customFormat="1" ht="28.5" customHeight="1">
      <c r="A20" s="627">
        <v>445</v>
      </c>
      <c r="B20" s="194">
        <v>1734</v>
      </c>
      <c r="C20" s="613" t="s">
        <v>861</v>
      </c>
      <c r="D20" s="194">
        <f t="shared" si="1"/>
        <v>450</v>
      </c>
      <c r="E20" s="194">
        <v>0</v>
      </c>
      <c r="F20" s="194">
        <v>0</v>
      </c>
      <c r="G20" s="194">
        <v>0</v>
      </c>
      <c r="H20" s="194">
        <v>450</v>
      </c>
      <c r="I20" s="626">
        <v>0</v>
      </c>
    </row>
    <row r="21" spans="1:9" s="195" customFormat="1" ht="28.5" customHeight="1">
      <c r="A21" s="627">
        <v>3784</v>
      </c>
      <c r="B21" s="194">
        <v>2909</v>
      </c>
      <c r="C21" s="613" t="s">
        <v>685</v>
      </c>
      <c r="D21" s="194">
        <f t="shared" si="1"/>
        <v>2859</v>
      </c>
      <c r="E21" s="194">
        <v>0</v>
      </c>
      <c r="F21" s="194">
        <v>0</v>
      </c>
      <c r="G21" s="194">
        <v>0</v>
      </c>
      <c r="H21" s="194">
        <v>2859</v>
      </c>
      <c r="I21" s="626">
        <v>0</v>
      </c>
    </row>
    <row r="22" spans="1:9" s="195" customFormat="1" ht="28.5" customHeight="1">
      <c r="A22" s="627">
        <v>16</v>
      </c>
      <c r="B22" s="194">
        <v>0</v>
      </c>
      <c r="C22" s="613" t="s">
        <v>1366</v>
      </c>
      <c r="D22" s="194">
        <f t="shared" si="1"/>
        <v>0</v>
      </c>
      <c r="E22" s="194">
        <v>0</v>
      </c>
      <c r="F22" s="194">
        <v>0</v>
      </c>
      <c r="G22" s="194">
        <v>0</v>
      </c>
      <c r="H22" s="194">
        <v>0</v>
      </c>
      <c r="I22" s="626">
        <v>0</v>
      </c>
    </row>
    <row r="23" spans="1:9" s="193" customFormat="1" ht="28.5" customHeight="1">
      <c r="A23" s="623">
        <v>182279</v>
      </c>
      <c r="B23" s="617">
        <f>SUM(B24:B29)</f>
        <v>28214</v>
      </c>
      <c r="C23" s="639" t="s">
        <v>686</v>
      </c>
      <c r="D23" s="192">
        <f>SUM(D24:D29)</f>
        <v>109300</v>
      </c>
      <c r="E23" s="192">
        <f t="shared" ref="E23:I23" si="2">SUM(E24:E29)</f>
        <v>0</v>
      </c>
      <c r="F23" s="192">
        <f t="shared" si="2"/>
        <v>0</v>
      </c>
      <c r="G23" s="192">
        <f t="shared" si="2"/>
        <v>0</v>
      </c>
      <c r="H23" s="192">
        <f t="shared" si="2"/>
        <v>109300</v>
      </c>
      <c r="I23" s="626">
        <f t="shared" si="2"/>
        <v>0</v>
      </c>
    </row>
    <row r="24" spans="1:9" s="193" customFormat="1" ht="28.5" customHeight="1">
      <c r="A24" s="627">
        <v>23</v>
      </c>
      <c r="B24" s="194">
        <v>977</v>
      </c>
      <c r="C24" s="613" t="s">
        <v>862</v>
      </c>
      <c r="D24" s="194">
        <f t="shared" si="1"/>
        <v>300</v>
      </c>
      <c r="E24" s="194">
        <v>0</v>
      </c>
      <c r="F24" s="194">
        <v>0</v>
      </c>
      <c r="G24" s="194">
        <v>0</v>
      </c>
      <c r="H24" s="194">
        <v>300</v>
      </c>
      <c r="I24" s="626">
        <v>0</v>
      </c>
    </row>
    <row r="25" spans="1:9" s="193" customFormat="1" ht="28.5" customHeight="1">
      <c r="A25" s="627">
        <v>966</v>
      </c>
      <c r="B25" s="194">
        <v>742</v>
      </c>
      <c r="C25" s="613" t="s">
        <v>687</v>
      </c>
      <c r="D25" s="194">
        <f t="shared" si="1"/>
        <v>1952</v>
      </c>
      <c r="E25" s="194">
        <v>0</v>
      </c>
      <c r="F25" s="194">
        <v>0</v>
      </c>
      <c r="G25" s="194">
        <v>0</v>
      </c>
      <c r="H25" s="194">
        <v>1952</v>
      </c>
      <c r="I25" s="626">
        <v>0</v>
      </c>
    </row>
    <row r="26" spans="1:9" s="193" customFormat="1" ht="28.5" customHeight="1">
      <c r="A26" s="627">
        <v>199</v>
      </c>
      <c r="B26" s="194">
        <v>150</v>
      </c>
      <c r="C26" s="613" t="s">
        <v>864</v>
      </c>
      <c r="D26" s="194">
        <f t="shared" si="1"/>
        <v>950</v>
      </c>
      <c r="E26" s="194">
        <v>0</v>
      </c>
      <c r="F26" s="194">
        <v>0</v>
      </c>
      <c r="G26" s="194">
        <v>0</v>
      </c>
      <c r="H26" s="194">
        <v>950</v>
      </c>
      <c r="I26" s="626">
        <v>0</v>
      </c>
    </row>
    <row r="27" spans="1:9" s="193" customFormat="1" ht="28.5" customHeight="1">
      <c r="A27" s="627">
        <v>1257</v>
      </c>
      <c r="B27" s="194">
        <v>1644</v>
      </c>
      <c r="C27" s="613" t="s">
        <v>688</v>
      </c>
      <c r="D27" s="194">
        <f t="shared" si="1"/>
        <v>4100</v>
      </c>
      <c r="E27" s="194">
        <v>0</v>
      </c>
      <c r="F27" s="194">
        <v>0</v>
      </c>
      <c r="G27" s="194">
        <v>0</v>
      </c>
      <c r="H27" s="194">
        <v>4100</v>
      </c>
      <c r="I27" s="626">
        <v>0</v>
      </c>
    </row>
    <row r="28" spans="1:9" s="193" customFormat="1" ht="28.5" customHeight="1">
      <c r="A28" s="627">
        <v>328</v>
      </c>
      <c r="B28" s="194">
        <v>436</v>
      </c>
      <c r="C28" s="613" t="s">
        <v>865</v>
      </c>
      <c r="D28" s="194">
        <f t="shared" si="1"/>
        <v>600</v>
      </c>
      <c r="E28" s="194">
        <v>0</v>
      </c>
      <c r="F28" s="194">
        <v>0</v>
      </c>
      <c r="G28" s="194">
        <v>0</v>
      </c>
      <c r="H28" s="194">
        <v>600</v>
      </c>
      <c r="I28" s="626">
        <v>0</v>
      </c>
    </row>
    <row r="29" spans="1:9" s="195" customFormat="1" ht="24.75" customHeight="1">
      <c r="A29" s="627">
        <v>179506</v>
      </c>
      <c r="B29" s="194">
        <v>24265</v>
      </c>
      <c r="C29" s="613" t="s">
        <v>1364</v>
      </c>
      <c r="D29" s="194">
        <f t="shared" si="1"/>
        <v>101398</v>
      </c>
      <c r="E29" s="194">
        <v>0</v>
      </c>
      <c r="F29" s="194">
        <v>0</v>
      </c>
      <c r="G29" s="194">
        <v>0</v>
      </c>
      <c r="H29" s="194">
        <v>101398</v>
      </c>
      <c r="I29" s="626">
        <v>0</v>
      </c>
    </row>
    <row r="30" spans="1:9" s="193" customFormat="1" ht="25.5" customHeight="1" thickBot="1">
      <c r="A30" s="1316">
        <v>16760</v>
      </c>
      <c r="B30" s="630">
        <f>B31+B32</f>
        <v>16760</v>
      </c>
      <c r="C30" s="1317" t="s">
        <v>689</v>
      </c>
      <c r="D30" s="630">
        <f>D31+D32</f>
        <v>21618</v>
      </c>
      <c r="E30" s="630">
        <f>E31+E32</f>
        <v>16760</v>
      </c>
      <c r="F30" s="630">
        <f t="shared" ref="F30:I30" si="3">F31+F32</f>
        <v>0</v>
      </c>
      <c r="G30" s="630">
        <f t="shared" si="3"/>
        <v>0</v>
      </c>
      <c r="H30" s="630">
        <f t="shared" si="3"/>
        <v>4858</v>
      </c>
      <c r="I30" s="649">
        <f t="shared" si="3"/>
        <v>0</v>
      </c>
    </row>
    <row r="31" spans="1:9" s="195" customFormat="1" ht="29.45" customHeight="1">
      <c r="A31" s="627">
        <v>16151</v>
      </c>
      <c r="B31" s="194">
        <v>16151</v>
      </c>
      <c r="C31" s="613" t="s">
        <v>690</v>
      </c>
      <c r="D31" s="194">
        <f>SUM(E31:I31)</f>
        <v>16151</v>
      </c>
      <c r="E31" s="194">
        <v>16151</v>
      </c>
      <c r="F31" s="194">
        <v>0</v>
      </c>
      <c r="G31" s="194">
        <v>0</v>
      </c>
      <c r="H31" s="194">
        <v>0</v>
      </c>
      <c r="I31" s="626">
        <v>0</v>
      </c>
    </row>
    <row r="32" spans="1:9" s="195" customFormat="1" ht="32.450000000000003" customHeight="1">
      <c r="A32" s="627">
        <v>609</v>
      </c>
      <c r="B32" s="194">
        <v>609</v>
      </c>
      <c r="C32" s="613" t="s">
        <v>691</v>
      </c>
      <c r="D32" s="194">
        <f>SUM(E32:I32)</f>
        <v>5467</v>
      </c>
      <c r="E32" s="194">
        <v>609</v>
      </c>
      <c r="F32" s="194">
        <v>0</v>
      </c>
      <c r="G32" s="194">
        <v>0</v>
      </c>
      <c r="H32" s="194">
        <v>4858</v>
      </c>
      <c r="I32" s="626">
        <v>0</v>
      </c>
    </row>
    <row r="33" spans="1:9" s="193" customFormat="1" ht="29.1" customHeight="1">
      <c r="A33" s="623">
        <v>10712</v>
      </c>
      <c r="B33" s="617">
        <f>SUM(B34:B37)</f>
        <v>12010</v>
      </c>
      <c r="C33" s="639" t="s">
        <v>692</v>
      </c>
      <c r="D33" s="192">
        <f>D34+D35+D36+D37</f>
        <v>12011</v>
      </c>
      <c r="E33" s="192">
        <f>E34+E35+E36+E37</f>
        <v>12011</v>
      </c>
      <c r="F33" s="192">
        <f t="shared" ref="F33:I33" si="4">F34+F35+F36+F37</f>
        <v>0</v>
      </c>
      <c r="G33" s="192">
        <f t="shared" si="4"/>
        <v>0</v>
      </c>
      <c r="H33" s="192">
        <f t="shared" si="4"/>
        <v>0</v>
      </c>
      <c r="I33" s="624">
        <f t="shared" si="4"/>
        <v>0</v>
      </c>
    </row>
    <row r="34" spans="1:9" s="195" customFormat="1" ht="29.1" customHeight="1">
      <c r="A34" s="627">
        <v>10634</v>
      </c>
      <c r="B34" s="194">
        <v>12000</v>
      </c>
      <c r="C34" s="613" t="s">
        <v>693</v>
      </c>
      <c r="D34" s="194">
        <f>SUM(E34:I34)</f>
        <v>12000</v>
      </c>
      <c r="E34" s="194">
        <v>12000</v>
      </c>
      <c r="F34" s="194">
        <v>0</v>
      </c>
      <c r="G34" s="194">
        <v>0</v>
      </c>
      <c r="H34" s="194">
        <v>0</v>
      </c>
      <c r="I34" s="626">
        <v>0</v>
      </c>
    </row>
    <row r="35" spans="1:9" s="195" customFormat="1" ht="29.1" customHeight="1">
      <c r="A35" s="625">
        <v>1</v>
      </c>
      <c r="B35" s="618">
        <v>1</v>
      </c>
      <c r="C35" s="613" t="s">
        <v>694</v>
      </c>
      <c r="D35" s="194">
        <f t="shared" ref="D35:D37" si="5">SUM(E35:I35)</f>
        <v>2</v>
      </c>
      <c r="E35" s="194">
        <v>2</v>
      </c>
      <c r="F35" s="194">
        <v>0</v>
      </c>
      <c r="G35" s="194">
        <v>0</v>
      </c>
      <c r="H35" s="194">
        <v>0</v>
      </c>
      <c r="I35" s="626">
        <v>0</v>
      </c>
    </row>
    <row r="36" spans="1:9" s="195" customFormat="1" ht="29.1" hidden="1" customHeight="1">
      <c r="A36" s="625">
        <v>0</v>
      </c>
      <c r="B36" s="618"/>
      <c r="C36" s="613" t="s">
        <v>1363</v>
      </c>
      <c r="D36" s="194"/>
      <c r="E36" s="194"/>
      <c r="F36" s="194">
        <v>0</v>
      </c>
      <c r="G36" s="194">
        <v>0</v>
      </c>
      <c r="H36" s="194">
        <v>0</v>
      </c>
      <c r="I36" s="626">
        <v>0</v>
      </c>
    </row>
    <row r="37" spans="1:9" s="195" customFormat="1" ht="29.1" customHeight="1">
      <c r="A37" s="625">
        <v>77</v>
      </c>
      <c r="B37" s="618">
        <v>9</v>
      </c>
      <c r="C37" s="613" t="s">
        <v>695</v>
      </c>
      <c r="D37" s="194">
        <f t="shared" si="5"/>
        <v>9</v>
      </c>
      <c r="E37" s="194">
        <v>9</v>
      </c>
      <c r="F37" s="194">
        <v>0</v>
      </c>
      <c r="G37" s="194">
        <v>0</v>
      </c>
      <c r="H37" s="194">
        <v>0</v>
      </c>
      <c r="I37" s="626">
        <v>0</v>
      </c>
    </row>
    <row r="38" spans="1:9" s="195" customFormat="1" ht="37.15" customHeight="1">
      <c r="A38" s="628">
        <v>271341</v>
      </c>
      <c r="B38" s="192">
        <f>SUM(B39:B42)</f>
        <v>667460</v>
      </c>
      <c r="C38" s="639" t="s">
        <v>866</v>
      </c>
      <c r="D38" s="192">
        <f>D39+D40+D41+D42</f>
        <v>851959</v>
      </c>
      <c r="E38" s="192">
        <f t="shared" ref="E38:I38" si="6">E39+E40+E41+E42</f>
        <v>0</v>
      </c>
      <c r="F38" s="192">
        <f t="shared" si="6"/>
        <v>0</v>
      </c>
      <c r="G38" s="192">
        <f t="shared" si="6"/>
        <v>0</v>
      </c>
      <c r="H38" s="192">
        <f t="shared" si="6"/>
        <v>851959</v>
      </c>
      <c r="I38" s="624">
        <f t="shared" si="6"/>
        <v>0</v>
      </c>
    </row>
    <row r="39" spans="1:9" s="195" customFormat="1" ht="29.1" hidden="1" customHeight="1">
      <c r="A39" s="627">
        <v>0</v>
      </c>
      <c r="B39" s="194">
        <v>0</v>
      </c>
      <c r="C39" s="613" t="s">
        <v>697</v>
      </c>
      <c r="D39" s="194">
        <f>SUM(E39:I39)</f>
        <v>0</v>
      </c>
      <c r="E39" s="194">
        <v>0</v>
      </c>
      <c r="F39" s="194">
        <v>0</v>
      </c>
      <c r="G39" s="194">
        <v>0</v>
      </c>
      <c r="H39" s="194">
        <v>0</v>
      </c>
      <c r="I39" s="626">
        <v>0</v>
      </c>
    </row>
    <row r="40" spans="1:9" s="195" customFormat="1" ht="29.1" customHeight="1">
      <c r="A40" s="627">
        <v>249644</v>
      </c>
      <c r="B40" s="194">
        <f>639460-2000</f>
        <v>637460</v>
      </c>
      <c r="C40" s="613" t="s">
        <v>698</v>
      </c>
      <c r="D40" s="194">
        <f>SUM(E40:I40)</f>
        <v>821959</v>
      </c>
      <c r="E40" s="194">
        <v>0</v>
      </c>
      <c r="F40" s="194">
        <v>0</v>
      </c>
      <c r="G40" s="194">
        <v>0</v>
      </c>
      <c r="H40" s="194">
        <f>826959-5000</f>
        <v>821959</v>
      </c>
      <c r="I40" s="626">
        <v>0</v>
      </c>
    </row>
    <row r="41" spans="1:9" s="195" customFormat="1" ht="29.1" customHeight="1">
      <c r="A41" s="627">
        <v>1948</v>
      </c>
      <c r="B41" s="194">
        <v>0</v>
      </c>
      <c r="C41" s="613" t="s">
        <v>1368</v>
      </c>
      <c r="D41" s="194">
        <f>SUM(E41:I41)</f>
        <v>0</v>
      </c>
      <c r="E41" s="194">
        <v>0</v>
      </c>
      <c r="F41" s="194">
        <v>0</v>
      </c>
      <c r="G41" s="194">
        <v>0</v>
      </c>
      <c r="H41" s="194">
        <v>0</v>
      </c>
      <c r="I41" s="626">
        <v>0</v>
      </c>
    </row>
    <row r="42" spans="1:9" s="195" customFormat="1" ht="34.15" customHeight="1">
      <c r="A42" s="627">
        <v>19750</v>
      </c>
      <c r="B42" s="194">
        <v>30000</v>
      </c>
      <c r="C42" s="613" t="s">
        <v>1103</v>
      </c>
      <c r="D42" s="194">
        <f t="shared" ref="D42" si="7">SUM(E42:I42)</f>
        <v>30000</v>
      </c>
      <c r="E42" s="194">
        <v>0</v>
      </c>
      <c r="F42" s="194">
        <v>0</v>
      </c>
      <c r="G42" s="194">
        <v>0</v>
      </c>
      <c r="H42" s="194">
        <v>30000</v>
      </c>
      <c r="I42" s="626">
        <v>0</v>
      </c>
    </row>
    <row r="43" spans="1:9" s="193" customFormat="1" ht="29.1" customHeight="1">
      <c r="A43" s="623">
        <v>819463660</v>
      </c>
      <c r="B43" s="617">
        <f>SUM(B44:B46)</f>
        <v>588382016</v>
      </c>
      <c r="C43" s="639" t="s">
        <v>699</v>
      </c>
      <c r="D43" s="192">
        <f>D44+D45+D46</f>
        <v>692223625</v>
      </c>
      <c r="E43" s="192">
        <f>E44+E45+E46</f>
        <v>0</v>
      </c>
      <c r="F43" s="192">
        <f>F44+F45+F46</f>
        <v>0</v>
      </c>
      <c r="G43" s="192">
        <f>G45+G46+G44</f>
        <v>692223625</v>
      </c>
      <c r="H43" s="192">
        <f>H45+H46+H44</f>
        <v>0</v>
      </c>
      <c r="I43" s="624">
        <v>0</v>
      </c>
    </row>
    <row r="44" spans="1:9" s="195" customFormat="1" ht="29.1" customHeight="1">
      <c r="A44" s="625">
        <v>289713632</v>
      </c>
      <c r="B44" s="194">
        <v>910717</v>
      </c>
      <c r="C44" s="613" t="s">
        <v>700</v>
      </c>
      <c r="D44" s="194">
        <f>SUM(E44:I44)</f>
        <v>745547</v>
      </c>
      <c r="E44" s="194">
        <v>0</v>
      </c>
      <c r="F44" s="192">
        <f>3138000-3138000</f>
        <v>0</v>
      </c>
      <c r="G44" s="194">
        <v>745547</v>
      </c>
      <c r="H44" s="194">
        <v>0</v>
      </c>
      <c r="I44" s="626">
        <v>0</v>
      </c>
    </row>
    <row r="45" spans="1:9" s="195" customFormat="1" ht="29.1" customHeight="1">
      <c r="A45" s="625">
        <v>516438493</v>
      </c>
      <c r="B45" s="618">
        <v>578746464</v>
      </c>
      <c r="C45" s="613" t="s">
        <v>701</v>
      </c>
      <c r="D45" s="194">
        <f>SUM(E45:I45)</f>
        <v>586951800</v>
      </c>
      <c r="E45" s="194">
        <v>0</v>
      </c>
      <c r="F45" s="194">
        <v>0</v>
      </c>
      <c r="G45" s="194">
        <v>586951800</v>
      </c>
      <c r="H45" s="194">
        <v>0</v>
      </c>
      <c r="I45" s="626">
        <v>0</v>
      </c>
    </row>
    <row r="46" spans="1:9" s="195" customFormat="1" ht="29.1" customHeight="1">
      <c r="A46" s="625">
        <v>13311535</v>
      </c>
      <c r="B46" s="618">
        <f>7724835+1000000</f>
        <v>8724835</v>
      </c>
      <c r="C46" s="613" t="s">
        <v>702</v>
      </c>
      <c r="D46" s="194">
        <f>SUM(E46:I46)</f>
        <v>104526278</v>
      </c>
      <c r="E46" s="194">
        <v>0</v>
      </c>
      <c r="F46" s="194">
        <v>0</v>
      </c>
      <c r="G46" s="194">
        <f>84526278+20000000</f>
        <v>104526278</v>
      </c>
      <c r="H46" s="194">
        <v>0</v>
      </c>
      <c r="I46" s="626">
        <v>0</v>
      </c>
    </row>
    <row r="47" spans="1:9" s="193" customFormat="1" ht="29.1" customHeight="1">
      <c r="A47" s="623">
        <v>3105523</v>
      </c>
      <c r="B47" s="617">
        <f>SUM(B48:B48)</f>
        <v>4041748</v>
      </c>
      <c r="C47" s="639" t="s">
        <v>703</v>
      </c>
      <c r="D47" s="192">
        <f>D48</f>
        <v>4461662</v>
      </c>
      <c r="E47" s="192">
        <f>E48</f>
        <v>161</v>
      </c>
      <c r="F47" s="192">
        <f t="shared" ref="F47:I47" si="8">F48</f>
        <v>0</v>
      </c>
      <c r="G47" s="192">
        <f t="shared" si="8"/>
        <v>0</v>
      </c>
      <c r="H47" s="192">
        <f t="shared" si="8"/>
        <v>4459467</v>
      </c>
      <c r="I47" s="624">
        <f t="shared" si="8"/>
        <v>2034</v>
      </c>
    </row>
    <row r="48" spans="1:9" s="195" customFormat="1" ht="29.1" customHeight="1">
      <c r="A48" s="627">
        <v>3105523</v>
      </c>
      <c r="B48" s="194">
        <v>4041748</v>
      </c>
      <c r="C48" s="613" t="s">
        <v>451</v>
      </c>
      <c r="D48" s="194">
        <f>SUM(E48:I48)</f>
        <v>4461662</v>
      </c>
      <c r="E48" s="194">
        <v>161</v>
      </c>
      <c r="F48" s="194">
        <v>0</v>
      </c>
      <c r="G48" s="194">
        <v>0</v>
      </c>
      <c r="H48" s="194">
        <v>4459467</v>
      </c>
      <c r="I48" s="629">
        <v>2034</v>
      </c>
    </row>
    <row r="49" spans="1:9" s="195" customFormat="1" ht="32.450000000000003" customHeight="1">
      <c r="A49" s="623">
        <v>824663948</v>
      </c>
      <c r="B49" s="192">
        <f>+B8+B19+B23+B30+B33+B43+B47+B38</f>
        <v>594645725</v>
      </c>
      <c r="C49" s="885" t="s">
        <v>704</v>
      </c>
      <c r="D49" s="192">
        <f>+D8+D19+D23+D30+D33+D43+D47+D38</f>
        <v>699230514</v>
      </c>
      <c r="E49" s="192">
        <f t="shared" ref="E49:I49" si="9">+E8+E19+E23+E30+E33+E43+E47+E38</f>
        <v>32423</v>
      </c>
      <c r="F49" s="192">
        <f t="shared" si="9"/>
        <v>1013286</v>
      </c>
      <c r="G49" s="192">
        <f t="shared" si="9"/>
        <v>692223625</v>
      </c>
      <c r="H49" s="192">
        <f t="shared" si="9"/>
        <v>5959146</v>
      </c>
      <c r="I49" s="624">
        <f t="shared" si="9"/>
        <v>2034</v>
      </c>
    </row>
    <row r="50" spans="1:9" s="195" customFormat="1" ht="133.5" customHeight="1" thickBot="1">
      <c r="A50" s="1254"/>
      <c r="B50" s="630"/>
      <c r="C50" s="1255"/>
      <c r="D50" s="630"/>
      <c r="E50" s="630"/>
      <c r="F50" s="630"/>
      <c r="G50" s="630"/>
      <c r="H50" s="630"/>
      <c r="I50" s="649"/>
    </row>
    <row r="51" spans="1:9" ht="75" hidden="1" customHeight="1" thickBot="1">
      <c r="A51" s="886"/>
      <c r="B51" s="887"/>
      <c r="C51" s="887"/>
      <c r="D51" s="887"/>
      <c r="E51" s="887"/>
      <c r="F51" s="887"/>
      <c r="G51" s="887"/>
      <c r="H51" s="887"/>
      <c r="I51" s="888"/>
    </row>
    <row r="52" spans="1:9" ht="30.75" customHeight="1">
      <c r="A52" s="1614"/>
      <c r="B52" s="1615"/>
      <c r="C52" s="1615"/>
      <c r="D52" s="1615"/>
      <c r="E52" s="1615"/>
      <c r="F52" s="1615"/>
      <c r="G52" s="1615"/>
      <c r="H52" s="1615"/>
      <c r="I52" s="1615"/>
    </row>
  </sheetData>
  <mergeCells count="8">
    <mergeCell ref="A52:I52"/>
    <mergeCell ref="C5:C6"/>
    <mergeCell ref="D5:I5"/>
    <mergeCell ref="A1:I1"/>
    <mergeCell ref="A2:I2"/>
    <mergeCell ref="A3:I3"/>
    <mergeCell ref="D4:E4"/>
    <mergeCell ref="G4:I4"/>
  </mergeCells>
  <phoneticPr fontId="6" type="noConversion"/>
  <printOptions horizontalCentered="1"/>
  <pageMargins left="0.59055118110236227" right="0.59055118110236227" top="0.59055118110236227" bottom="0.78740157480314965" header="0.51181102362204722" footer="0.51181102362204722"/>
  <pageSetup paperSize="9" firstPageNumber="54" pageOrder="overThenDown" orientation="portrait" useFirstPageNumber="1" r:id="rId1"/>
  <headerFooter alignWithMargins="0">
    <oddFooter>&amp;C&amp;"Times New Roman,標準"&amp;P</oddFooter>
  </headerFooter>
  <rowBreaks count="1" manualBreakCount="1">
    <brk id="30" max="8" man="1"/>
  </rowBreaks>
  <legacy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N48"/>
  <sheetViews>
    <sheetView view="pageBreakPreview" zoomScale="90" zoomScaleNormal="100" zoomScaleSheetLayoutView="90" workbookViewId="0">
      <pane xSplit="1" ySplit="6" topLeftCell="B13" activePane="bottomRight" state="frozen"/>
      <selection activeCell="G28" sqref="G28"/>
      <selection pane="topRight" activeCell="G28" sqref="G28"/>
      <selection pane="bottomLeft" activeCell="G28" sqref="G28"/>
      <selection pane="bottomRight" activeCell="G28" sqref="G28"/>
    </sheetView>
  </sheetViews>
  <sheetFormatPr defaultColWidth="9" defaultRowHeight="15.75"/>
  <cols>
    <col min="1" max="1" width="23.125" style="2" customWidth="1"/>
    <col min="2" max="2" width="14" style="2" customWidth="1"/>
    <col min="3" max="3" width="12.75" style="2" customWidth="1"/>
    <col min="4" max="4" width="9.5" style="2" customWidth="1"/>
    <col min="5" max="5" width="12.75" style="2" customWidth="1"/>
    <col min="6" max="6" width="8.625" style="2" customWidth="1"/>
    <col min="7" max="7" width="9.5" style="2" customWidth="1"/>
    <col min="8" max="8" width="11.25" style="2" customWidth="1"/>
    <col min="9" max="9" width="12" style="2" customWidth="1"/>
    <col min="10" max="10" width="13.375" style="2" customWidth="1"/>
    <col min="11" max="11" width="12.375" style="2" customWidth="1"/>
    <col min="12" max="12" width="11" style="2" customWidth="1"/>
    <col min="13" max="13" width="11.375" style="2" customWidth="1"/>
    <col min="14" max="14" width="18.375" style="2" customWidth="1"/>
    <col min="15" max="16384" width="9" style="2"/>
  </cols>
  <sheetData>
    <row r="1" spans="1:14" ht="21">
      <c r="A1" s="1525" t="s">
        <v>1123</v>
      </c>
      <c r="B1" s="1369"/>
      <c r="C1" s="1369"/>
      <c r="D1" s="1369"/>
      <c r="E1" s="1369"/>
      <c r="F1" s="1369"/>
      <c r="G1" s="1369"/>
      <c r="H1" s="1369"/>
      <c r="I1" s="1369"/>
      <c r="J1" s="1369"/>
      <c r="K1" s="1369"/>
      <c r="L1" s="1369"/>
      <c r="M1" s="1369"/>
      <c r="N1" s="1369"/>
    </row>
    <row r="2" spans="1:14" ht="21">
      <c r="A2" s="1525" t="s">
        <v>1127</v>
      </c>
      <c r="B2" s="1369"/>
      <c r="C2" s="1369"/>
      <c r="D2" s="1369"/>
      <c r="E2" s="1369"/>
      <c r="F2" s="1369"/>
      <c r="G2" s="1369"/>
      <c r="H2" s="1369"/>
      <c r="I2" s="1369"/>
      <c r="J2" s="1369"/>
      <c r="K2" s="1369"/>
      <c r="L2" s="1369"/>
      <c r="M2" s="1369"/>
      <c r="N2" s="1369"/>
    </row>
    <row r="3" spans="1:14" ht="21.6" customHeight="1">
      <c r="B3" s="145"/>
      <c r="C3" s="145"/>
      <c r="D3" s="145"/>
      <c r="E3" s="145"/>
      <c r="F3" s="1632" t="s">
        <v>91</v>
      </c>
      <c r="G3" s="1632"/>
      <c r="H3" s="1632"/>
      <c r="I3" s="1632"/>
      <c r="J3" s="1632"/>
      <c r="K3" s="145"/>
      <c r="L3" s="145"/>
      <c r="M3" s="145"/>
      <c r="N3" s="145"/>
    </row>
    <row r="4" spans="1:14" ht="22.35" customHeight="1" thickBot="1">
      <c r="B4" s="4"/>
      <c r="C4" s="4"/>
      <c r="D4" s="4"/>
      <c r="E4" s="4"/>
      <c r="F4" s="1622" t="s">
        <v>1272</v>
      </c>
      <c r="G4" s="1622"/>
      <c r="H4" s="1622"/>
      <c r="I4" s="1622"/>
      <c r="J4" s="1622"/>
      <c r="K4" s="4"/>
      <c r="M4" s="1623" t="s">
        <v>1126</v>
      </c>
      <c r="N4" s="1624"/>
    </row>
    <row r="5" spans="1:14" ht="27.6" customHeight="1">
      <c r="A5" s="1630" t="s">
        <v>85</v>
      </c>
      <c r="B5" s="1627" t="s">
        <v>86</v>
      </c>
      <c r="C5" s="1625" t="s">
        <v>675</v>
      </c>
      <c r="D5" s="1626"/>
      <c r="E5" s="1626"/>
      <c r="F5" s="1626"/>
      <c r="G5" s="1629"/>
      <c r="H5" s="1625" t="s">
        <v>362</v>
      </c>
      <c r="I5" s="1633"/>
      <c r="J5" s="1634"/>
      <c r="K5" s="1625" t="s">
        <v>363</v>
      </c>
      <c r="L5" s="1626"/>
      <c r="M5" s="1626"/>
      <c r="N5" s="851" t="s">
        <v>596</v>
      </c>
    </row>
    <row r="6" spans="1:14" ht="32.25" customHeight="1">
      <c r="A6" s="1631"/>
      <c r="B6" s="1628"/>
      <c r="C6" s="1071" t="s">
        <v>92</v>
      </c>
      <c r="D6" s="401" t="s">
        <v>87</v>
      </c>
      <c r="E6" s="401" t="s">
        <v>88</v>
      </c>
      <c r="F6" s="401" t="s">
        <v>89</v>
      </c>
      <c r="G6" s="402" t="s">
        <v>90</v>
      </c>
      <c r="H6" s="1071" t="s">
        <v>92</v>
      </c>
      <c r="I6" s="614" t="s">
        <v>305</v>
      </c>
      <c r="J6" s="402" t="s">
        <v>87</v>
      </c>
      <c r="K6" s="1071" t="s">
        <v>92</v>
      </c>
      <c r="L6" s="401" t="s">
        <v>88</v>
      </c>
      <c r="M6" s="401" t="s">
        <v>89</v>
      </c>
      <c r="N6" s="621" t="s">
        <v>89</v>
      </c>
    </row>
    <row r="7" spans="1:14" ht="5.85" customHeight="1">
      <c r="A7" s="7"/>
      <c r="B7" s="1071"/>
      <c r="C7" s="83"/>
      <c r="D7" s="401"/>
      <c r="E7" s="401"/>
      <c r="F7" s="401"/>
      <c r="G7" s="402"/>
      <c r="H7" s="83"/>
      <c r="I7" s="402"/>
      <c r="J7" s="402"/>
      <c r="K7" s="83"/>
      <c r="L7" s="401"/>
      <c r="M7" s="401"/>
      <c r="N7" s="621"/>
    </row>
    <row r="8" spans="1:14" s="193" customFormat="1" ht="27.95" customHeight="1">
      <c r="A8" s="640" t="s">
        <v>439</v>
      </c>
      <c r="B8" s="192">
        <f>SUM(B9:B18)</f>
        <v>1547030</v>
      </c>
      <c r="C8" s="192">
        <f t="shared" ref="C8:C37" si="0">SUM(D8:G8)</f>
        <v>381500</v>
      </c>
      <c r="D8" s="192">
        <f>SUM(D9:D18)</f>
        <v>68000</v>
      </c>
      <c r="E8" s="192">
        <f>SUM(E9:E18)</f>
        <v>0</v>
      </c>
      <c r="F8" s="192">
        <f>SUM(F9:F18)</f>
        <v>313500</v>
      </c>
      <c r="G8" s="192">
        <f>SUM(G9:G18)</f>
        <v>0</v>
      </c>
      <c r="H8" s="192">
        <f t="shared" ref="H8:H37" si="1">SUM(I8:J8)</f>
        <v>948777</v>
      </c>
      <c r="I8" s="192">
        <f>SUM(I9:I18)</f>
        <v>3491</v>
      </c>
      <c r="J8" s="192">
        <f>SUM(J9:J18)</f>
        <v>945286</v>
      </c>
      <c r="K8" s="192">
        <f t="shared" ref="K8:K37" si="2">SUM(L8:M8)</f>
        <v>216753</v>
      </c>
      <c r="L8" s="192">
        <f>SUM(L9:L18)</f>
        <v>0</v>
      </c>
      <c r="M8" s="324">
        <f>SUM(M9:M18)</f>
        <v>216753</v>
      </c>
      <c r="N8" s="624">
        <f>SUM(N9:N18)</f>
        <v>0</v>
      </c>
    </row>
    <row r="9" spans="1:14" s="195" customFormat="1" ht="27.95" customHeight="1">
      <c r="A9" s="631" t="s">
        <v>440</v>
      </c>
      <c r="B9" s="194">
        <f>+C9+H9+K9+N9</f>
        <v>7</v>
      </c>
      <c r="C9" s="194">
        <f t="shared" si="0"/>
        <v>0</v>
      </c>
      <c r="D9" s="194">
        <v>0</v>
      </c>
      <c r="E9" s="194">
        <v>0</v>
      </c>
      <c r="F9" s="194">
        <v>0</v>
      </c>
      <c r="G9" s="194">
        <v>0</v>
      </c>
      <c r="H9" s="194">
        <f t="shared" si="1"/>
        <v>7</v>
      </c>
      <c r="I9" s="194">
        <v>7</v>
      </c>
      <c r="J9" s="194">
        <v>0</v>
      </c>
      <c r="K9" s="194">
        <f>SUM(L9:M9)</f>
        <v>0</v>
      </c>
      <c r="L9" s="194">
        <v>0</v>
      </c>
      <c r="M9" s="325">
        <v>0</v>
      </c>
      <c r="N9" s="626">
        <v>0</v>
      </c>
    </row>
    <row r="10" spans="1:14" s="195" customFormat="1" ht="27.95" customHeight="1">
      <c r="A10" s="631" t="s">
        <v>358</v>
      </c>
      <c r="B10" s="194">
        <f t="shared" ref="B10:B18" si="3">+C10+H10+K10+N10</f>
        <v>389</v>
      </c>
      <c r="C10" s="194">
        <f t="shared" si="0"/>
        <v>0</v>
      </c>
      <c r="D10" s="194">
        <v>0</v>
      </c>
      <c r="E10" s="194">
        <v>0</v>
      </c>
      <c r="F10" s="194">
        <v>0</v>
      </c>
      <c r="G10" s="194">
        <v>0</v>
      </c>
      <c r="H10" s="194">
        <f t="shared" si="1"/>
        <v>0</v>
      </c>
      <c r="I10" s="194">
        <v>0</v>
      </c>
      <c r="J10" s="194">
        <v>0</v>
      </c>
      <c r="K10" s="194">
        <f t="shared" si="2"/>
        <v>389</v>
      </c>
      <c r="L10" s="194">
        <v>0</v>
      </c>
      <c r="M10" s="325">
        <v>389</v>
      </c>
      <c r="N10" s="626">
        <v>0</v>
      </c>
    </row>
    <row r="11" spans="1:14" s="195" customFormat="1" ht="27.95" customHeight="1">
      <c r="A11" s="631" t="s">
        <v>475</v>
      </c>
      <c r="B11" s="194">
        <f t="shared" si="3"/>
        <v>11523</v>
      </c>
      <c r="C11" s="194">
        <f t="shared" si="0"/>
        <v>0</v>
      </c>
      <c r="D11" s="194">
        <v>0</v>
      </c>
      <c r="E11" s="194">
        <v>0</v>
      </c>
      <c r="F11" s="194">
        <v>0</v>
      </c>
      <c r="G11" s="194">
        <v>0</v>
      </c>
      <c r="H11" s="194">
        <f t="shared" si="1"/>
        <v>0</v>
      </c>
      <c r="I11" s="194">
        <v>0</v>
      </c>
      <c r="J11" s="194">
        <v>0</v>
      </c>
      <c r="K11" s="194">
        <f t="shared" si="2"/>
        <v>11523</v>
      </c>
      <c r="L11" s="194">
        <v>0</v>
      </c>
      <c r="M11" s="325">
        <v>11523</v>
      </c>
      <c r="N11" s="626">
        <v>0</v>
      </c>
    </row>
    <row r="12" spans="1:14" s="195" customFormat="1" ht="27.95" customHeight="1">
      <c r="A12" s="631" t="s">
        <v>1053</v>
      </c>
      <c r="B12" s="194">
        <f t="shared" si="3"/>
        <v>5001</v>
      </c>
      <c r="C12" s="194">
        <f t="shared" si="0"/>
        <v>0</v>
      </c>
      <c r="D12" s="194">
        <v>0</v>
      </c>
      <c r="E12" s="194">
        <v>0</v>
      </c>
      <c r="F12" s="194">
        <v>0</v>
      </c>
      <c r="G12" s="194">
        <v>0</v>
      </c>
      <c r="H12" s="194">
        <f t="shared" si="1"/>
        <v>1</v>
      </c>
      <c r="I12" s="194">
        <v>1</v>
      </c>
      <c r="J12" s="194">
        <v>0</v>
      </c>
      <c r="K12" s="194">
        <f t="shared" si="2"/>
        <v>5000</v>
      </c>
      <c r="L12" s="194">
        <v>0</v>
      </c>
      <c r="M12" s="325">
        <f>5299-299</f>
        <v>5000</v>
      </c>
      <c r="N12" s="626">
        <v>0</v>
      </c>
    </row>
    <row r="13" spans="1:14" s="195" customFormat="1" ht="27.95" customHeight="1">
      <c r="A13" s="631" t="s">
        <v>441</v>
      </c>
      <c r="B13" s="194">
        <f t="shared" si="3"/>
        <v>2550</v>
      </c>
      <c r="C13" s="194">
        <f t="shared" si="0"/>
        <v>0</v>
      </c>
      <c r="D13" s="194">
        <v>0</v>
      </c>
      <c r="E13" s="194">
        <v>0</v>
      </c>
      <c r="F13" s="194">
        <v>0</v>
      </c>
      <c r="G13" s="194">
        <v>0</v>
      </c>
      <c r="H13" s="194">
        <f t="shared" si="1"/>
        <v>2550</v>
      </c>
      <c r="I13" s="194">
        <v>2550</v>
      </c>
      <c r="J13" s="194">
        <v>0</v>
      </c>
      <c r="K13" s="194">
        <f t="shared" si="2"/>
        <v>0</v>
      </c>
      <c r="L13" s="194">
        <v>0</v>
      </c>
      <c r="M13" s="325">
        <v>0</v>
      </c>
      <c r="N13" s="626">
        <v>0</v>
      </c>
    </row>
    <row r="14" spans="1:14" s="195" customFormat="1" ht="27.95" customHeight="1">
      <c r="A14" s="631" t="s">
        <v>442</v>
      </c>
      <c r="B14" s="194">
        <f t="shared" si="3"/>
        <v>200</v>
      </c>
      <c r="C14" s="194">
        <f t="shared" si="0"/>
        <v>0</v>
      </c>
      <c r="D14" s="194">
        <v>0</v>
      </c>
      <c r="E14" s="194">
        <v>0</v>
      </c>
      <c r="F14" s="194">
        <v>0</v>
      </c>
      <c r="G14" s="194">
        <v>0</v>
      </c>
      <c r="H14" s="194">
        <f t="shared" si="1"/>
        <v>0</v>
      </c>
      <c r="I14" s="194">
        <v>0</v>
      </c>
      <c r="J14" s="194">
        <v>0</v>
      </c>
      <c r="K14" s="194">
        <f t="shared" si="2"/>
        <v>200</v>
      </c>
      <c r="L14" s="194">
        <v>0</v>
      </c>
      <c r="M14" s="325">
        <v>200</v>
      </c>
      <c r="N14" s="626">
        <v>0</v>
      </c>
    </row>
    <row r="15" spans="1:14" s="195" customFormat="1" ht="27.95" customHeight="1">
      <c r="A15" s="631" t="s">
        <v>443</v>
      </c>
      <c r="B15" s="194">
        <f t="shared" si="3"/>
        <v>1124578</v>
      </c>
      <c r="C15" s="194">
        <f t="shared" si="0"/>
        <v>68000</v>
      </c>
      <c r="D15" s="194">
        <v>68000</v>
      </c>
      <c r="E15" s="194">
        <v>0</v>
      </c>
      <c r="F15" s="194">
        <v>0</v>
      </c>
      <c r="G15" s="194">
        <v>0</v>
      </c>
      <c r="H15" s="194">
        <f t="shared" si="1"/>
        <v>915872</v>
      </c>
      <c r="I15" s="194">
        <v>783</v>
      </c>
      <c r="J15" s="194">
        <f>857590+57499</f>
        <v>915089</v>
      </c>
      <c r="K15" s="194">
        <f t="shared" si="2"/>
        <v>140706</v>
      </c>
      <c r="L15" s="194">
        <v>0</v>
      </c>
      <c r="M15" s="325">
        <v>140706</v>
      </c>
      <c r="N15" s="626">
        <v>0</v>
      </c>
    </row>
    <row r="16" spans="1:14" s="195" customFormat="1" ht="27.95" customHeight="1">
      <c r="A16" s="631" t="s">
        <v>444</v>
      </c>
      <c r="B16" s="194">
        <f t="shared" si="3"/>
        <v>385342</v>
      </c>
      <c r="C16" s="194">
        <f t="shared" si="0"/>
        <v>313500</v>
      </c>
      <c r="D16" s="194">
        <v>0</v>
      </c>
      <c r="E16" s="194">
        <v>0</v>
      </c>
      <c r="F16" s="194">
        <v>313500</v>
      </c>
      <c r="G16" s="194">
        <v>0</v>
      </c>
      <c r="H16" s="194">
        <f t="shared" si="1"/>
        <v>30347</v>
      </c>
      <c r="I16" s="194">
        <v>150</v>
      </c>
      <c r="J16" s="194">
        <v>30197</v>
      </c>
      <c r="K16" s="194">
        <f t="shared" si="2"/>
        <v>41495</v>
      </c>
      <c r="L16" s="194">
        <v>0</v>
      </c>
      <c r="M16" s="325">
        <v>41495</v>
      </c>
      <c r="N16" s="626">
        <v>0</v>
      </c>
    </row>
    <row r="17" spans="1:14" s="195" customFormat="1" ht="27.95" customHeight="1">
      <c r="A17" s="631" t="s">
        <v>853</v>
      </c>
      <c r="B17" s="194">
        <f t="shared" si="3"/>
        <v>7740</v>
      </c>
      <c r="C17" s="194">
        <f t="shared" si="0"/>
        <v>0</v>
      </c>
      <c r="D17" s="194">
        <v>0</v>
      </c>
      <c r="E17" s="194">
        <v>0</v>
      </c>
      <c r="F17" s="194">
        <v>0</v>
      </c>
      <c r="G17" s="194">
        <v>0</v>
      </c>
      <c r="H17" s="194">
        <f t="shared" si="1"/>
        <v>0</v>
      </c>
      <c r="I17" s="194">
        <v>0</v>
      </c>
      <c r="J17" s="194">
        <v>0</v>
      </c>
      <c r="K17" s="194">
        <f t="shared" si="2"/>
        <v>7740</v>
      </c>
      <c r="L17" s="194">
        <v>0</v>
      </c>
      <c r="M17" s="325">
        <f>8240-500</f>
        <v>7740</v>
      </c>
      <c r="N17" s="626">
        <v>0</v>
      </c>
    </row>
    <row r="18" spans="1:14" s="195" customFormat="1" ht="27.95" customHeight="1">
      <c r="A18" s="631" t="s">
        <v>1243</v>
      </c>
      <c r="B18" s="194">
        <f t="shared" si="3"/>
        <v>9700</v>
      </c>
      <c r="C18" s="194">
        <f t="shared" si="0"/>
        <v>0</v>
      </c>
      <c r="D18" s="194">
        <v>0</v>
      </c>
      <c r="E18" s="194">
        <v>0</v>
      </c>
      <c r="F18" s="194">
        <v>0</v>
      </c>
      <c r="G18" s="194">
        <v>0</v>
      </c>
      <c r="H18" s="194">
        <f t="shared" si="1"/>
        <v>0</v>
      </c>
      <c r="I18" s="194">
        <v>0</v>
      </c>
      <c r="J18" s="194">
        <v>0</v>
      </c>
      <c r="K18" s="194">
        <f t="shared" si="2"/>
        <v>9700</v>
      </c>
      <c r="L18" s="194">
        <v>0</v>
      </c>
      <c r="M18" s="325">
        <v>9700</v>
      </c>
      <c r="N18" s="626">
        <v>0</v>
      </c>
    </row>
    <row r="19" spans="1:14" s="193" customFormat="1" ht="27.95" customHeight="1">
      <c r="A19" s="640" t="s">
        <v>357</v>
      </c>
      <c r="B19" s="192">
        <f>+B21+B20+B22</f>
        <v>3309</v>
      </c>
      <c r="C19" s="192">
        <f>SUM(D19:G19)</f>
        <v>0</v>
      </c>
      <c r="D19" s="192">
        <f>D21+D20</f>
        <v>0</v>
      </c>
      <c r="E19" s="192">
        <f>E21+E20</f>
        <v>0</v>
      </c>
      <c r="F19" s="192">
        <f>F21+F20</f>
        <v>0</v>
      </c>
      <c r="G19" s="192">
        <f>G21+G20</f>
        <v>0</v>
      </c>
      <c r="H19" s="192">
        <f t="shared" si="1"/>
        <v>0</v>
      </c>
      <c r="I19" s="192">
        <f>I21</f>
        <v>0</v>
      </c>
      <c r="J19" s="192">
        <f>J21</f>
        <v>0</v>
      </c>
      <c r="K19" s="192">
        <f>SUM(L19:M19)</f>
        <v>3309</v>
      </c>
      <c r="L19" s="192">
        <f>L21+L20</f>
        <v>0</v>
      </c>
      <c r="M19" s="324">
        <f>SUM(M20:M22)</f>
        <v>3309</v>
      </c>
      <c r="N19" s="624">
        <f>N21+N20</f>
        <v>0</v>
      </c>
    </row>
    <row r="20" spans="1:14" s="193" customFormat="1" ht="27.95" customHeight="1">
      <c r="A20" s="631" t="s">
        <v>684</v>
      </c>
      <c r="B20" s="194">
        <f>+C20+H20+K20+N20</f>
        <v>450</v>
      </c>
      <c r="C20" s="194">
        <f>SUM(D20:G20)</f>
        <v>0</v>
      </c>
      <c r="D20" s="194">
        <v>0</v>
      </c>
      <c r="E20" s="194">
        <v>0</v>
      </c>
      <c r="F20" s="194">
        <v>0</v>
      </c>
      <c r="G20" s="194">
        <v>0</v>
      </c>
      <c r="H20" s="194">
        <f t="shared" si="1"/>
        <v>0</v>
      </c>
      <c r="I20" s="194">
        <v>0</v>
      </c>
      <c r="J20" s="194">
        <v>0</v>
      </c>
      <c r="K20" s="194">
        <f t="shared" si="2"/>
        <v>450</v>
      </c>
      <c r="L20" s="194">
        <v>0</v>
      </c>
      <c r="M20" s="325">
        <v>450</v>
      </c>
      <c r="N20" s="626">
        <v>0</v>
      </c>
    </row>
    <row r="21" spans="1:14" s="195" customFormat="1" ht="27.95" customHeight="1">
      <c r="A21" s="631" t="s">
        <v>445</v>
      </c>
      <c r="B21" s="194">
        <f>+C21+H21+K21+N21</f>
        <v>2859</v>
      </c>
      <c r="C21" s="194">
        <f>SUM(D21:G21)</f>
        <v>0</v>
      </c>
      <c r="D21" s="194">
        <v>0</v>
      </c>
      <c r="E21" s="194">
        <v>0</v>
      </c>
      <c r="F21" s="194">
        <v>0</v>
      </c>
      <c r="G21" s="194">
        <v>0</v>
      </c>
      <c r="H21" s="194">
        <f t="shared" si="1"/>
        <v>0</v>
      </c>
      <c r="I21" s="194">
        <v>0</v>
      </c>
      <c r="J21" s="194">
        <v>0</v>
      </c>
      <c r="K21" s="194">
        <f t="shared" si="2"/>
        <v>2859</v>
      </c>
      <c r="L21" s="194">
        <v>0</v>
      </c>
      <c r="M21" s="325">
        <v>2859</v>
      </c>
      <c r="N21" s="626">
        <v>0</v>
      </c>
    </row>
    <row r="22" spans="1:14" s="195" customFormat="1" ht="27.95" hidden="1" customHeight="1">
      <c r="A22" s="631" t="s">
        <v>1367</v>
      </c>
      <c r="B22" s="194">
        <f>+C22+H22+K22+N22</f>
        <v>0</v>
      </c>
      <c r="C22" s="194">
        <f>SUM(D22:G22)</f>
        <v>0</v>
      </c>
      <c r="D22" s="194">
        <v>0</v>
      </c>
      <c r="E22" s="194">
        <v>0</v>
      </c>
      <c r="F22" s="194">
        <v>0</v>
      </c>
      <c r="G22" s="194">
        <v>0</v>
      </c>
      <c r="H22" s="194">
        <f t="shared" si="1"/>
        <v>0</v>
      </c>
      <c r="I22" s="194">
        <v>0</v>
      </c>
      <c r="J22" s="194">
        <v>0</v>
      </c>
      <c r="K22" s="194">
        <f>SUM(L22:M22)</f>
        <v>0</v>
      </c>
      <c r="L22" s="194">
        <v>0</v>
      </c>
      <c r="M22" s="325">
        <v>0</v>
      </c>
      <c r="N22" s="626">
        <v>0</v>
      </c>
    </row>
    <row r="23" spans="1:14" s="193" customFormat="1" ht="27.95" customHeight="1">
      <c r="A23" s="640" t="s">
        <v>446</v>
      </c>
      <c r="B23" s="192">
        <f>SUM(B24:B29)</f>
        <v>109300</v>
      </c>
      <c r="C23" s="192">
        <f t="shared" si="0"/>
        <v>101398</v>
      </c>
      <c r="D23" s="192">
        <f>SUM(D24:D29)</f>
        <v>0</v>
      </c>
      <c r="E23" s="192">
        <f>SUM(E24:E29)</f>
        <v>0</v>
      </c>
      <c r="F23" s="192">
        <f>SUM(F24:F29)</f>
        <v>101398</v>
      </c>
      <c r="G23" s="192">
        <f>SUM(G24:G29)</f>
        <v>0</v>
      </c>
      <c r="H23" s="192">
        <f t="shared" si="1"/>
        <v>0</v>
      </c>
      <c r="I23" s="192">
        <f>SUM(I24:I29)</f>
        <v>0</v>
      </c>
      <c r="J23" s="192">
        <f>SUM(J24:J29)</f>
        <v>0</v>
      </c>
      <c r="K23" s="192">
        <f t="shared" si="2"/>
        <v>7902</v>
      </c>
      <c r="L23" s="192">
        <f>SUM(L24:L29)</f>
        <v>0</v>
      </c>
      <c r="M23" s="324">
        <f>SUM(M24:M29)</f>
        <v>7902</v>
      </c>
      <c r="N23" s="624">
        <f>SUM(N24:N29)</f>
        <v>0</v>
      </c>
    </row>
    <row r="24" spans="1:14" s="193" customFormat="1" ht="27.95" customHeight="1">
      <c r="A24" s="631" t="s">
        <v>862</v>
      </c>
      <c r="B24" s="194">
        <f t="shared" ref="B24:B29" si="4">+C24+H24+K24+N24</f>
        <v>300</v>
      </c>
      <c r="C24" s="194">
        <f t="shared" si="0"/>
        <v>0</v>
      </c>
      <c r="D24" s="194">
        <v>0</v>
      </c>
      <c r="E24" s="194">
        <v>0</v>
      </c>
      <c r="F24" s="194">
        <v>0</v>
      </c>
      <c r="G24" s="194">
        <v>0</v>
      </c>
      <c r="H24" s="194">
        <f t="shared" si="1"/>
        <v>0</v>
      </c>
      <c r="I24" s="194">
        <v>0</v>
      </c>
      <c r="J24" s="194">
        <v>0</v>
      </c>
      <c r="K24" s="194">
        <f t="shared" si="2"/>
        <v>300</v>
      </c>
      <c r="L24" s="194">
        <v>0</v>
      </c>
      <c r="M24" s="325">
        <v>300</v>
      </c>
      <c r="N24" s="626">
        <v>0</v>
      </c>
    </row>
    <row r="25" spans="1:14" s="193" customFormat="1" ht="27.95" customHeight="1">
      <c r="A25" s="631" t="s">
        <v>863</v>
      </c>
      <c r="B25" s="194">
        <f t="shared" si="4"/>
        <v>1952</v>
      </c>
      <c r="C25" s="194">
        <f t="shared" si="0"/>
        <v>0</v>
      </c>
      <c r="D25" s="194">
        <v>0</v>
      </c>
      <c r="E25" s="194">
        <v>0</v>
      </c>
      <c r="F25" s="194">
        <v>0</v>
      </c>
      <c r="G25" s="194">
        <v>0</v>
      </c>
      <c r="H25" s="194">
        <f t="shared" si="1"/>
        <v>0</v>
      </c>
      <c r="I25" s="194">
        <v>0</v>
      </c>
      <c r="J25" s="194">
        <v>0</v>
      </c>
      <c r="K25" s="194">
        <f t="shared" si="2"/>
        <v>1952</v>
      </c>
      <c r="L25" s="194">
        <v>0</v>
      </c>
      <c r="M25" s="325">
        <v>1952</v>
      </c>
      <c r="N25" s="626">
        <v>0</v>
      </c>
    </row>
    <row r="26" spans="1:14" s="193" customFormat="1" ht="27.6" customHeight="1">
      <c r="A26" s="631" t="s">
        <v>864</v>
      </c>
      <c r="B26" s="194">
        <f t="shared" si="4"/>
        <v>950</v>
      </c>
      <c r="C26" s="194">
        <f t="shared" si="0"/>
        <v>0</v>
      </c>
      <c r="D26" s="194">
        <v>0</v>
      </c>
      <c r="E26" s="194">
        <v>0</v>
      </c>
      <c r="F26" s="194">
        <v>0</v>
      </c>
      <c r="G26" s="194">
        <v>0</v>
      </c>
      <c r="H26" s="194">
        <f t="shared" si="1"/>
        <v>0</v>
      </c>
      <c r="I26" s="194">
        <v>0</v>
      </c>
      <c r="J26" s="194">
        <v>0</v>
      </c>
      <c r="K26" s="194">
        <f t="shared" si="2"/>
        <v>950</v>
      </c>
      <c r="L26" s="194">
        <v>0</v>
      </c>
      <c r="M26" s="325">
        <v>950</v>
      </c>
      <c r="N26" s="626">
        <v>0</v>
      </c>
    </row>
    <row r="27" spans="1:14" s="193" customFormat="1" ht="27.95" customHeight="1">
      <c r="A27" s="631" t="s">
        <v>688</v>
      </c>
      <c r="B27" s="194">
        <f t="shared" si="4"/>
        <v>4100</v>
      </c>
      <c r="C27" s="194">
        <f t="shared" si="0"/>
        <v>0</v>
      </c>
      <c r="D27" s="194">
        <v>0</v>
      </c>
      <c r="E27" s="194">
        <v>0</v>
      </c>
      <c r="F27" s="194">
        <v>0</v>
      </c>
      <c r="G27" s="194">
        <v>0</v>
      </c>
      <c r="H27" s="194">
        <f t="shared" si="1"/>
        <v>0</v>
      </c>
      <c r="I27" s="194">
        <v>0</v>
      </c>
      <c r="J27" s="194">
        <v>0</v>
      </c>
      <c r="K27" s="194">
        <f t="shared" si="2"/>
        <v>4100</v>
      </c>
      <c r="L27" s="194">
        <v>0</v>
      </c>
      <c r="M27" s="325">
        <v>4100</v>
      </c>
      <c r="N27" s="626">
        <v>0</v>
      </c>
    </row>
    <row r="28" spans="1:14" s="193" customFormat="1" ht="27.6" customHeight="1">
      <c r="A28" s="631" t="s">
        <v>865</v>
      </c>
      <c r="B28" s="194">
        <f t="shared" si="4"/>
        <v>600</v>
      </c>
      <c r="C28" s="194">
        <f t="shared" si="0"/>
        <v>0</v>
      </c>
      <c r="D28" s="194">
        <v>0</v>
      </c>
      <c r="E28" s="194">
        <v>0</v>
      </c>
      <c r="F28" s="194">
        <v>0</v>
      </c>
      <c r="G28" s="194">
        <v>0</v>
      </c>
      <c r="H28" s="194">
        <f t="shared" si="1"/>
        <v>0</v>
      </c>
      <c r="I28" s="194">
        <v>0</v>
      </c>
      <c r="J28" s="194">
        <v>0</v>
      </c>
      <c r="K28" s="194">
        <f t="shared" si="2"/>
        <v>600</v>
      </c>
      <c r="L28" s="194">
        <v>0</v>
      </c>
      <c r="M28" s="325">
        <v>600</v>
      </c>
      <c r="N28" s="626">
        <v>0</v>
      </c>
    </row>
    <row r="29" spans="1:14" s="195" customFormat="1" ht="29.25" customHeight="1">
      <c r="A29" s="631" t="s">
        <v>1370</v>
      </c>
      <c r="B29" s="194">
        <f t="shared" si="4"/>
        <v>101398</v>
      </c>
      <c r="C29" s="194">
        <f t="shared" si="0"/>
        <v>101398</v>
      </c>
      <c r="D29" s="194">
        <v>0</v>
      </c>
      <c r="E29" s="194">
        <v>0</v>
      </c>
      <c r="F29" s="194">
        <f>97145+4253</f>
        <v>101398</v>
      </c>
      <c r="G29" s="194">
        <v>0</v>
      </c>
      <c r="H29" s="194">
        <f t="shared" si="1"/>
        <v>0</v>
      </c>
      <c r="I29" s="194">
        <v>0</v>
      </c>
      <c r="J29" s="194">
        <v>0</v>
      </c>
      <c r="K29" s="194">
        <f t="shared" si="2"/>
        <v>0</v>
      </c>
      <c r="L29" s="194">
        <v>0</v>
      </c>
      <c r="M29" s="325">
        <v>0</v>
      </c>
      <c r="N29" s="626">
        <v>0</v>
      </c>
    </row>
    <row r="30" spans="1:14" s="193" customFormat="1" ht="45.75" customHeight="1" thickBot="1">
      <c r="A30" s="1314" t="s">
        <v>1371</v>
      </c>
      <c r="B30" s="630">
        <f>+B31+B32</f>
        <v>21618</v>
      </c>
      <c r="C30" s="630">
        <f t="shared" si="0"/>
        <v>0</v>
      </c>
      <c r="D30" s="630">
        <f>D32</f>
        <v>0</v>
      </c>
      <c r="E30" s="630">
        <f>E32</f>
        <v>0</v>
      </c>
      <c r="F30" s="630">
        <f>F32</f>
        <v>0</v>
      </c>
      <c r="G30" s="630">
        <f>G32</f>
        <v>0</v>
      </c>
      <c r="H30" s="630">
        <f t="shared" si="1"/>
        <v>16760</v>
      </c>
      <c r="I30" s="630">
        <f>I31+I32</f>
        <v>16760</v>
      </c>
      <c r="J30" s="630">
        <f>J31+J32</f>
        <v>0</v>
      </c>
      <c r="K30" s="630">
        <f t="shared" si="2"/>
        <v>4858</v>
      </c>
      <c r="L30" s="630">
        <f>L32</f>
        <v>0</v>
      </c>
      <c r="M30" s="1315">
        <f>M31+M32</f>
        <v>4858</v>
      </c>
      <c r="N30" s="649">
        <f>N32</f>
        <v>0</v>
      </c>
    </row>
    <row r="31" spans="1:14" s="195" customFormat="1" ht="27.95" customHeight="1">
      <c r="A31" s="631" t="s">
        <v>690</v>
      </c>
      <c r="B31" s="194">
        <f>+C31+H31+K31+N31</f>
        <v>16151</v>
      </c>
      <c r="C31" s="194">
        <f t="shared" si="0"/>
        <v>0</v>
      </c>
      <c r="D31" s="194">
        <v>0</v>
      </c>
      <c r="E31" s="194">
        <v>0</v>
      </c>
      <c r="F31" s="194">
        <v>0</v>
      </c>
      <c r="G31" s="194">
        <v>0</v>
      </c>
      <c r="H31" s="194">
        <f t="shared" si="1"/>
        <v>16151</v>
      </c>
      <c r="I31" s="194">
        <v>16151</v>
      </c>
      <c r="J31" s="194">
        <v>0</v>
      </c>
      <c r="K31" s="194">
        <f t="shared" si="2"/>
        <v>0</v>
      </c>
      <c r="L31" s="194">
        <v>0</v>
      </c>
      <c r="M31" s="325">
        <v>0</v>
      </c>
      <c r="N31" s="626">
        <v>0</v>
      </c>
    </row>
    <row r="32" spans="1:14" s="195" customFormat="1" ht="27.95" customHeight="1">
      <c r="A32" s="631" t="s">
        <v>453</v>
      </c>
      <c r="B32" s="194">
        <f>+C32+H32+K32+N32</f>
        <v>5467</v>
      </c>
      <c r="C32" s="194">
        <f t="shared" si="0"/>
        <v>0</v>
      </c>
      <c r="D32" s="194">
        <v>0</v>
      </c>
      <c r="E32" s="194">
        <v>0</v>
      </c>
      <c r="F32" s="194">
        <v>0</v>
      </c>
      <c r="G32" s="194">
        <v>0</v>
      </c>
      <c r="H32" s="194">
        <f t="shared" si="1"/>
        <v>609</v>
      </c>
      <c r="I32" s="194">
        <v>609</v>
      </c>
      <c r="J32" s="194">
        <v>0</v>
      </c>
      <c r="K32" s="194">
        <f t="shared" si="2"/>
        <v>4858</v>
      </c>
      <c r="L32" s="194">
        <v>0</v>
      </c>
      <c r="M32" s="325">
        <v>4858</v>
      </c>
      <c r="N32" s="626">
        <v>0</v>
      </c>
    </row>
    <row r="33" spans="1:14" s="193" customFormat="1" ht="27.95" customHeight="1">
      <c r="A33" s="640" t="s">
        <v>454</v>
      </c>
      <c r="B33" s="192">
        <f>+B34+B35+B36</f>
        <v>12011</v>
      </c>
      <c r="C33" s="192">
        <f t="shared" si="0"/>
        <v>0</v>
      </c>
      <c r="D33" s="192">
        <f>SUM(D34:D36)</f>
        <v>0</v>
      </c>
      <c r="E33" s="192">
        <f>SUM(E34:E36)</f>
        <v>0</v>
      </c>
      <c r="F33" s="192">
        <f>SUM(F34:F36)</f>
        <v>0</v>
      </c>
      <c r="G33" s="192">
        <f>SUM(G34:G36)</f>
        <v>0</v>
      </c>
      <c r="H33" s="192">
        <f t="shared" si="1"/>
        <v>12011</v>
      </c>
      <c r="I33" s="192">
        <f>I34+I35+I36</f>
        <v>12011</v>
      </c>
      <c r="J33" s="192">
        <f>J34+J35+J36</f>
        <v>0</v>
      </c>
      <c r="K33" s="192">
        <f t="shared" si="2"/>
        <v>0</v>
      </c>
      <c r="L33" s="192">
        <f>SUM(L34:L36)</f>
        <v>0</v>
      </c>
      <c r="M33" s="324">
        <f>M34+M35+M36</f>
        <v>0</v>
      </c>
      <c r="N33" s="624">
        <f>SUM(N34:N36)</f>
        <v>0</v>
      </c>
    </row>
    <row r="34" spans="1:14" s="195" customFormat="1" ht="27.95" customHeight="1">
      <c r="A34" s="631" t="s">
        <v>447</v>
      </c>
      <c r="B34" s="194">
        <f>+C34+H34+K34+N34</f>
        <v>12000</v>
      </c>
      <c r="C34" s="194">
        <f t="shared" si="0"/>
        <v>0</v>
      </c>
      <c r="D34" s="194">
        <v>0</v>
      </c>
      <c r="E34" s="194">
        <v>0</v>
      </c>
      <c r="F34" s="194">
        <v>0</v>
      </c>
      <c r="G34" s="194">
        <v>0</v>
      </c>
      <c r="H34" s="194">
        <f t="shared" si="1"/>
        <v>12000</v>
      </c>
      <c r="I34" s="194">
        <v>12000</v>
      </c>
      <c r="J34" s="194">
        <v>0</v>
      </c>
      <c r="K34" s="194">
        <f t="shared" si="2"/>
        <v>0</v>
      </c>
      <c r="L34" s="194">
        <v>0</v>
      </c>
      <c r="M34" s="325">
        <v>0</v>
      </c>
      <c r="N34" s="626">
        <v>0</v>
      </c>
    </row>
    <row r="35" spans="1:14" s="195" customFormat="1" ht="27.95" customHeight="1">
      <c r="A35" s="631" t="s">
        <v>448</v>
      </c>
      <c r="B35" s="194">
        <f>+C35+H35+K35+N35</f>
        <v>2</v>
      </c>
      <c r="C35" s="194">
        <f t="shared" si="0"/>
        <v>0</v>
      </c>
      <c r="D35" s="194">
        <v>0</v>
      </c>
      <c r="E35" s="194">
        <v>0</v>
      </c>
      <c r="F35" s="194">
        <v>0</v>
      </c>
      <c r="G35" s="194">
        <v>0</v>
      </c>
      <c r="H35" s="194">
        <f t="shared" si="1"/>
        <v>2</v>
      </c>
      <c r="I35" s="194">
        <v>2</v>
      </c>
      <c r="J35" s="194">
        <v>0</v>
      </c>
      <c r="K35" s="194">
        <f t="shared" si="2"/>
        <v>0</v>
      </c>
      <c r="L35" s="194">
        <v>0</v>
      </c>
      <c r="M35" s="325">
        <v>0</v>
      </c>
      <c r="N35" s="626">
        <v>0</v>
      </c>
    </row>
    <row r="36" spans="1:14" s="195" customFormat="1" ht="27.95" customHeight="1">
      <c r="A36" s="631" t="s">
        <v>449</v>
      </c>
      <c r="B36" s="194">
        <f>+C36+H36+K36+N36</f>
        <v>9</v>
      </c>
      <c r="C36" s="194">
        <f t="shared" si="0"/>
        <v>0</v>
      </c>
      <c r="D36" s="194">
        <v>0</v>
      </c>
      <c r="E36" s="194">
        <v>0</v>
      </c>
      <c r="F36" s="194">
        <v>0</v>
      </c>
      <c r="G36" s="194">
        <v>0</v>
      </c>
      <c r="H36" s="194">
        <f t="shared" si="1"/>
        <v>9</v>
      </c>
      <c r="I36" s="194">
        <v>9</v>
      </c>
      <c r="J36" s="194">
        <v>0</v>
      </c>
      <c r="K36" s="194">
        <f t="shared" si="2"/>
        <v>0</v>
      </c>
      <c r="L36" s="194">
        <v>0</v>
      </c>
      <c r="M36" s="325">
        <v>0</v>
      </c>
      <c r="N36" s="626">
        <v>0</v>
      </c>
    </row>
    <row r="37" spans="1:14" s="195" customFormat="1" ht="48" customHeight="1">
      <c r="A37" s="1086" t="s">
        <v>696</v>
      </c>
      <c r="B37" s="192">
        <f>+B39+B40+B41</f>
        <v>851959</v>
      </c>
      <c r="C37" s="192">
        <f t="shared" si="0"/>
        <v>0</v>
      </c>
      <c r="D37" s="192">
        <f>SUM(D39:D42)</f>
        <v>0</v>
      </c>
      <c r="E37" s="192">
        <f>SUM(E39:E41)</f>
        <v>0</v>
      </c>
      <c r="F37" s="192">
        <f>SUM(F39:F41)</f>
        <v>0</v>
      </c>
      <c r="G37" s="192">
        <f>SUM(G39:G41)</f>
        <v>0</v>
      </c>
      <c r="H37" s="192">
        <f t="shared" si="1"/>
        <v>0</v>
      </c>
      <c r="I37" s="192">
        <f>I38+I39+I41</f>
        <v>0</v>
      </c>
      <c r="J37" s="192">
        <f>J38+J39+J41</f>
        <v>0</v>
      </c>
      <c r="K37" s="192">
        <f t="shared" si="2"/>
        <v>851959</v>
      </c>
      <c r="L37" s="192">
        <f>SUM(L39:L41)</f>
        <v>0</v>
      </c>
      <c r="M37" s="324">
        <f>M38+M39+M41</f>
        <v>851959</v>
      </c>
      <c r="N37" s="624">
        <f>SUM(N39:N41)</f>
        <v>0</v>
      </c>
    </row>
    <row r="38" spans="1:14" s="195" customFormat="1" ht="48" hidden="1" customHeight="1">
      <c r="A38" s="640"/>
      <c r="B38" s="192"/>
      <c r="C38" s="192"/>
      <c r="D38" s="192"/>
      <c r="E38" s="192"/>
      <c r="F38" s="192"/>
      <c r="G38" s="192"/>
      <c r="H38" s="192"/>
      <c r="I38" s="192">
        <v>0</v>
      </c>
      <c r="J38" s="192">
        <v>0</v>
      </c>
      <c r="K38" s="192"/>
      <c r="L38" s="192"/>
      <c r="M38" s="324">
        <v>0</v>
      </c>
      <c r="N38" s="624"/>
    </row>
    <row r="39" spans="1:14" s="195" customFormat="1" ht="27.6" customHeight="1">
      <c r="A39" s="631" t="s">
        <v>1052</v>
      </c>
      <c r="B39" s="194">
        <f>+C39+H39+K39+N39</f>
        <v>821959</v>
      </c>
      <c r="C39" s="194">
        <f>SUM(D39:G39)</f>
        <v>0</v>
      </c>
      <c r="D39" s="194">
        <v>0</v>
      </c>
      <c r="E39" s="194">
        <v>0</v>
      </c>
      <c r="F39" s="194">
        <v>0</v>
      </c>
      <c r="G39" s="194">
        <v>0</v>
      </c>
      <c r="H39" s="194">
        <f t="shared" ref="H39:H48" si="5">SUM(I39:J39)</f>
        <v>0</v>
      </c>
      <c r="I39" s="194">
        <v>0</v>
      </c>
      <c r="J39" s="194">
        <v>0</v>
      </c>
      <c r="K39" s="194">
        <f>SUM(L39:M39)</f>
        <v>821959</v>
      </c>
      <c r="L39" s="194">
        <v>0</v>
      </c>
      <c r="M39" s="325">
        <f>826959-5000</f>
        <v>821959</v>
      </c>
      <c r="N39" s="626">
        <v>0</v>
      </c>
    </row>
    <row r="40" spans="1:14" s="195" customFormat="1" ht="27.6" hidden="1" customHeight="1">
      <c r="A40" s="631" t="s">
        <v>1369</v>
      </c>
      <c r="B40" s="194"/>
      <c r="C40" s="194">
        <f>SUM(D40:G40)</f>
        <v>0</v>
      </c>
      <c r="D40" s="194">
        <v>0</v>
      </c>
      <c r="E40" s="194">
        <v>0</v>
      </c>
      <c r="F40" s="194">
        <v>0</v>
      </c>
      <c r="G40" s="194">
        <v>0</v>
      </c>
      <c r="H40" s="194">
        <f t="shared" si="5"/>
        <v>0</v>
      </c>
      <c r="I40" s="194">
        <v>0</v>
      </c>
      <c r="J40" s="194">
        <v>0</v>
      </c>
      <c r="K40" s="194">
        <f>SUM(L40:M40)</f>
        <v>0</v>
      </c>
      <c r="L40" s="194">
        <v>0</v>
      </c>
      <c r="M40" s="325">
        <v>0</v>
      </c>
      <c r="N40" s="626">
        <v>0</v>
      </c>
    </row>
    <row r="41" spans="1:14" s="195" customFormat="1" ht="32.450000000000003" customHeight="1">
      <c r="A41" s="631" t="s">
        <v>1104</v>
      </c>
      <c r="B41" s="194">
        <f>+C41+H41+K41+N41</f>
        <v>30000</v>
      </c>
      <c r="C41" s="194">
        <f t="shared" ref="C41:C48" si="6">SUM(D41:G41)</f>
        <v>0</v>
      </c>
      <c r="D41" s="194">
        <v>0</v>
      </c>
      <c r="E41" s="194">
        <v>0</v>
      </c>
      <c r="F41" s="194">
        <v>0</v>
      </c>
      <c r="G41" s="194">
        <v>0</v>
      </c>
      <c r="H41" s="194">
        <f t="shared" si="5"/>
        <v>0</v>
      </c>
      <c r="I41" s="194">
        <v>0</v>
      </c>
      <c r="J41" s="194">
        <v>0</v>
      </c>
      <c r="K41" s="194">
        <f>SUM(L41:M41)</f>
        <v>30000</v>
      </c>
      <c r="L41" s="194">
        <v>0</v>
      </c>
      <c r="M41" s="325">
        <v>30000</v>
      </c>
      <c r="N41" s="626">
        <v>0</v>
      </c>
    </row>
    <row r="42" spans="1:14" s="193" customFormat="1" ht="27.6" customHeight="1">
      <c r="A42" s="640" t="s">
        <v>455</v>
      </c>
      <c r="B42" s="192">
        <f>+B43+B44+B45</f>
        <v>692223625</v>
      </c>
      <c r="C42" s="192">
        <f t="shared" si="6"/>
        <v>692012438</v>
      </c>
      <c r="D42" s="192">
        <f>SUM(D43:D45)</f>
        <v>0</v>
      </c>
      <c r="E42" s="192">
        <f>SUM(E43:E45)</f>
        <v>692012438</v>
      </c>
      <c r="F42" s="192">
        <f>SUM(F43:F45)</f>
        <v>0</v>
      </c>
      <c r="G42" s="192">
        <f>SUM(G43:G45)</f>
        <v>0</v>
      </c>
      <c r="H42" s="192">
        <f t="shared" si="5"/>
        <v>0</v>
      </c>
      <c r="I42" s="192">
        <f>I43+I44+I45</f>
        <v>0</v>
      </c>
      <c r="J42" s="192">
        <f>J43+J44+J45</f>
        <v>0</v>
      </c>
      <c r="K42" s="192">
        <f>SUM(L42:M42)</f>
        <v>211187</v>
      </c>
      <c r="L42" s="192">
        <f>SUM(L43:L45)</f>
        <v>211187</v>
      </c>
      <c r="M42" s="324">
        <f>M44+M45+M43</f>
        <v>0</v>
      </c>
      <c r="N42" s="624">
        <f>SUM(N43:N45)</f>
        <v>0</v>
      </c>
    </row>
    <row r="43" spans="1:14" s="195" customFormat="1" ht="27.6" customHeight="1">
      <c r="A43" s="631" t="s">
        <v>700</v>
      </c>
      <c r="B43" s="194">
        <f>+C43+H43+K43+N43</f>
        <v>745547</v>
      </c>
      <c r="C43" s="194">
        <f>SUM(D43:G43)</f>
        <v>745547</v>
      </c>
      <c r="D43" s="194">
        <v>0</v>
      </c>
      <c r="E43" s="194">
        <v>745547</v>
      </c>
      <c r="F43" s="194">
        <v>0</v>
      </c>
      <c r="G43" s="194">
        <v>0</v>
      </c>
      <c r="H43" s="194">
        <f t="shared" si="5"/>
        <v>0</v>
      </c>
      <c r="I43" s="194">
        <v>0</v>
      </c>
      <c r="J43" s="1334">
        <f>3138000-3138000</f>
        <v>0</v>
      </c>
      <c r="K43" s="194">
        <f>SUM(L43:M43)</f>
        <v>0</v>
      </c>
      <c r="L43" s="194">
        <v>0</v>
      </c>
      <c r="M43" s="325">
        <v>0</v>
      </c>
      <c r="N43" s="626">
        <v>0</v>
      </c>
    </row>
    <row r="44" spans="1:14" s="195" customFormat="1" ht="27.6" customHeight="1">
      <c r="A44" s="631" t="s">
        <v>701</v>
      </c>
      <c r="B44" s="194">
        <f>+C44+H44+K44+N44</f>
        <v>586951800</v>
      </c>
      <c r="C44" s="194">
        <f t="shared" si="6"/>
        <v>586740613</v>
      </c>
      <c r="D44" s="194">
        <v>0</v>
      </c>
      <c r="E44" s="194">
        <v>586740613</v>
      </c>
      <c r="F44" s="194">
        <v>0</v>
      </c>
      <c r="G44" s="194">
        <v>0</v>
      </c>
      <c r="H44" s="194">
        <f t="shared" si="5"/>
        <v>0</v>
      </c>
      <c r="I44" s="194">
        <v>0</v>
      </c>
      <c r="J44" s="194">
        <v>0</v>
      </c>
      <c r="K44" s="194">
        <f>+L44+M44</f>
        <v>211187</v>
      </c>
      <c r="L44" s="194">
        <v>211187</v>
      </c>
      <c r="M44" s="325">
        <v>0</v>
      </c>
      <c r="N44" s="626">
        <v>0</v>
      </c>
    </row>
    <row r="45" spans="1:14" s="195" customFormat="1" ht="27.95" customHeight="1">
      <c r="A45" s="631" t="s">
        <v>450</v>
      </c>
      <c r="B45" s="194">
        <f>+C45+H45+K45+N45</f>
        <v>104526278</v>
      </c>
      <c r="C45" s="194">
        <f t="shared" si="6"/>
        <v>104526278</v>
      </c>
      <c r="D45" s="194">
        <v>0</v>
      </c>
      <c r="E45" s="194">
        <f>84526278+20000000</f>
        <v>104526278</v>
      </c>
      <c r="F45" s="194">
        <v>0</v>
      </c>
      <c r="G45" s="194">
        <v>0</v>
      </c>
      <c r="H45" s="194">
        <f t="shared" si="5"/>
        <v>0</v>
      </c>
      <c r="I45" s="194">
        <v>0</v>
      </c>
      <c r="J45" s="194">
        <v>0</v>
      </c>
      <c r="K45" s="194">
        <f>SUM(L45:M45)</f>
        <v>0</v>
      </c>
      <c r="L45" s="194">
        <v>0</v>
      </c>
      <c r="M45" s="325">
        <v>0</v>
      </c>
      <c r="N45" s="626">
        <v>0</v>
      </c>
    </row>
    <row r="46" spans="1:14" s="193" customFormat="1" ht="27.95" customHeight="1">
      <c r="A46" s="640" t="s">
        <v>558</v>
      </c>
      <c r="B46" s="192">
        <f>+B47</f>
        <v>4461662</v>
      </c>
      <c r="C46" s="192">
        <f t="shared" si="6"/>
        <v>2034</v>
      </c>
      <c r="D46" s="192">
        <f>D47</f>
        <v>0</v>
      </c>
      <c r="E46" s="192">
        <f>E47</f>
        <v>0</v>
      </c>
      <c r="F46" s="192">
        <f>F47</f>
        <v>0</v>
      </c>
      <c r="G46" s="192">
        <f>G47</f>
        <v>2034</v>
      </c>
      <c r="H46" s="192">
        <f t="shared" si="5"/>
        <v>161</v>
      </c>
      <c r="I46" s="192">
        <f>I47</f>
        <v>161</v>
      </c>
      <c r="J46" s="192">
        <f>J47</f>
        <v>0</v>
      </c>
      <c r="K46" s="324">
        <f>SUM(L46:M46)</f>
        <v>0</v>
      </c>
      <c r="L46" s="192">
        <f>L47</f>
        <v>0</v>
      </c>
      <c r="M46" s="342">
        <f>M47</f>
        <v>0</v>
      </c>
      <c r="N46" s="624">
        <f>N47</f>
        <v>4459467</v>
      </c>
    </row>
    <row r="47" spans="1:14" s="195" customFormat="1" ht="27.95" customHeight="1">
      <c r="A47" s="631" t="s">
        <v>451</v>
      </c>
      <c r="B47" s="194">
        <f>+C47+H47+K47+N47</f>
        <v>4461662</v>
      </c>
      <c r="C47" s="194">
        <f t="shared" si="6"/>
        <v>2034</v>
      </c>
      <c r="D47" s="194">
        <v>0</v>
      </c>
      <c r="E47" s="194">
        <v>0</v>
      </c>
      <c r="F47" s="194">
        <v>0</v>
      </c>
      <c r="G47" s="322">
        <v>2034</v>
      </c>
      <c r="H47" s="194">
        <f t="shared" si="5"/>
        <v>161</v>
      </c>
      <c r="I47" s="194">
        <v>161</v>
      </c>
      <c r="J47" s="194">
        <v>0</v>
      </c>
      <c r="K47" s="194">
        <f>SUM(L47:M47)</f>
        <v>0</v>
      </c>
      <c r="L47" s="194">
        <v>0</v>
      </c>
      <c r="M47" s="325">
        <v>0</v>
      </c>
      <c r="N47" s="626">
        <v>4459467</v>
      </c>
    </row>
    <row r="48" spans="1:14" s="193" customFormat="1" ht="191.25" customHeight="1" thickBot="1">
      <c r="A48" s="674" t="s">
        <v>452</v>
      </c>
      <c r="B48" s="630">
        <f>+B8+B19+B23+B30+B33+B42+B46+B37</f>
        <v>699230514</v>
      </c>
      <c r="C48" s="630">
        <f t="shared" si="6"/>
        <v>692497370</v>
      </c>
      <c r="D48" s="630">
        <f>+D8+D19+D23+D30+D33+D42+D46</f>
        <v>68000</v>
      </c>
      <c r="E48" s="630">
        <f>+E8+E19+E23+E30+E33+E42+E46</f>
        <v>692012438</v>
      </c>
      <c r="F48" s="630">
        <f>+F8+F19+F23+F30+F33+F42+F46</f>
        <v>414898</v>
      </c>
      <c r="G48" s="630">
        <f>+G8+G19+G23+G30+G33+G42+G46</f>
        <v>2034</v>
      </c>
      <c r="H48" s="630">
        <f t="shared" si="5"/>
        <v>977709</v>
      </c>
      <c r="I48" s="630">
        <f>+I8+I19+I23+I30+I33+I42+I46+I37</f>
        <v>32423</v>
      </c>
      <c r="J48" s="630">
        <f>+J8+J19+J23+J30+J33+J42+J46+J37</f>
        <v>945286</v>
      </c>
      <c r="K48" s="630">
        <f>SUM(L48:M48)</f>
        <v>1295968</v>
      </c>
      <c r="L48" s="630">
        <f>+L8+L19+L23+L30+L33+L42+L46</f>
        <v>211187</v>
      </c>
      <c r="M48" s="630">
        <f>+M8+M19+M23+M30+M33+M42+M46+M37</f>
        <v>1084781</v>
      </c>
      <c r="N48" s="649">
        <f>+N8+N19+N23+N30+N33+N42+N46</f>
        <v>4459467</v>
      </c>
    </row>
  </sheetData>
  <mergeCells count="10">
    <mergeCell ref="K5:M5"/>
    <mergeCell ref="A1:N1"/>
    <mergeCell ref="A2:N2"/>
    <mergeCell ref="F4:J4"/>
    <mergeCell ref="B5:B6"/>
    <mergeCell ref="C5:G5"/>
    <mergeCell ref="A5:A6"/>
    <mergeCell ref="F3:J3"/>
    <mergeCell ref="H5:J5"/>
    <mergeCell ref="M4:N4"/>
  </mergeCells>
  <phoneticPr fontId="6" type="noConversion"/>
  <printOptions horizontalCentered="1"/>
  <pageMargins left="0.59055118110236227" right="0.59055118110236227" top="0.59055118110236227" bottom="0.78740157480314965" header="0.51181102362204722" footer="0.51181102362204722"/>
  <pageSetup paperSize="9" firstPageNumber="58" pageOrder="overThenDown" orientation="portrait" useFirstPageNumber="1" r:id="rId1"/>
  <headerFooter alignWithMargins="0">
    <oddFooter>&amp;C&amp;"Times New Roman,標準"&amp;P</oddFooter>
  </headerFooter>
  <rowBreaks count="1" manualBreakCount="1">
    <brk id="30" max="16383"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E25"/>
  <sheetViews>
    <sheetView view="pageBreakPreview" topLeftCell="A14" zoomScaleNormal="100" zoomScaleSheetLayoutView="100" workbookViewId="0">
      <selection activeCell="G28" sqref="G28"/>
    </sheetView>
  </sheetViews>
  <sheetFormatPr defaultColWidth="9" defaultRowHeight="15.75"/>
  <cols>
    <col min="1" max="1" width="36.75" style="6" customWidth="1"/>
    <col min="2" max="5" width="13.375" style="6" customWidth="1"/>
    <col min="6" max="16384" width="9" style="6"/>
  </cols>
  <sheetData>
    <row r="1" spans="1:5" s="2" customFormat="1" ht="21">
      <c r="A1" s="1369" t="s">
        <v>40</v>
      </c>
      <c r="B1" s="1369"/>
      <c r="C1" s="1369"/>
      <c r="D1" s="1369"/>
      <c r="E1" s="1369"/>
    </row>
    <row r="2" spans="1:5" s="2" customFormat="1" ht="21">
      <c r="A2" s="1525" t="s">
        <v>41</v>
      </c>
      <c r="B2" s="1369"/>
      <c r="C2" s="1369"/>
      <c r="D2" s="1369"/>
      <c r="E2" s="1369"/>
    </row>
    <row r="3" spans="1:5" s="2" customFormat="1" ht="24.75" customHeight="1">
      <c r="A3" s="1370" t="s">
        <v>1145</v>
      </c>
      <c r="B3" s="1371"/>
      <c r="C3" s="1371"/>
      <c r="D3" s="1371"/>
      <c r="E3" s="1371"/>
    </row>
    <row r="4" spans="1:5" s="2" customFormat="1" ht="24.95" customHeight="1" thickBot="1">
      <c r="A4" s="1389" t="s">
        <v>1300</v>
      </c>
      <c r="B4" s="1390"/>
      <c r="C4" s="1390"/>
      <c r="D4" s="1390"/>
      <c r="E4" s="1390"/>
    </row>
    <row r="5" spans="1:5">
      <c r="A5" s="1638" t="s">
        <v>93</v>
      </c>
      <c r="B5" s="1635" t="s">
        <v>94</v>
      </c>
      <c r="C5" s="1635"/>
      <c r="D5" s="1635"/>
      <c r="E5" s="1636" t="s">
        <v>95</v>
      </c>
    </row>
    <row r="6" spans="1:5" ht="33">
      <c r="A6" s="1639"/>
      <c r="B6" s="403" t="s">
        <v>96</v>
      </c>
      <c r="C6" s="403" t="s">
        <v>97</v>
      </c>
      <c r="D6" s="404" t="s">
        <v>98</v>
      </c>
      <c r="E6" s="1637"/>
    </row>
    <row r="7" spans="1:5" ht="8.25" customHeight="1">
      <c r="A7" s="56"/>
      <c r="B7" s="57"/>
      <c r="C7" s="57"/>
      <c r="D7" s="57"/>
      <c r="E7" s="58"/>
    </row>
    <row r="8" spans="1:5" s="232" customFormat="1" ht="34.5" customHeight="1">
      <c r="A8" s="641" t="s">
        <v>359</v>
      </c>
      <c r="B8" s="61">
        <f>SUM(B9:B24)</f>
        <v>2131084</v>
      </c>
      <c r="C8" s="61"/>
      <c r="D8" s="61">
        <f>SUM(D9:D24)</f>
        <v>2131084</v>
      </c>
      <c r="E8" s="226">
        <f>SUM(E9:E24)</f>
        <v>274530</v>
      </c>
    </row>
    <row r="9" spans="1:5" ht="42.6" customHeight="1">
      <c r="A9" s="405" t="s">
        <v>456</v>
      </c>
      <c r="B9" s="59">
        <v>1640423</v>
      </c>
      <c r="C9" s="59"/>
      <c r="D9" s="59">
        <f>SUM(B9:C9)</f>
        <v>1640423</v>
      </c>
      <c r="E9" s="60">
        <v>147825</v>
      </c>
    </row>
    <row r="10" spans="1:5" s="30" customFormat="1" ht="32.25" customHeight="1">
      <c r="A10" s="405" t="s">
        <v>457</v>
      </c>
      <c r="B10" s="876">
        <v>0</v>
      </c>
      <c r="C10" s="875"/>
      <c r="D10" s="876">
        <v>0</v>
      </c>
      <c r="E10" s="60">
        <v>1296</v>
      </c>
    </row>
    <row r="11" spans="1:5" s="9" customFormat="1" ht="32.25" customHeight="1">
      <c r="A11" s="405" t="s">
        <v>458</v>
      </c>
      <c r="B11" s="59">
        <v>149250</v>
      </c>
      <c r="C11" s="59"/>
      <c r="D11" s="59">
        <f t="shared" ref="D11:D23" si="0">SUM(B11:C11)</f>
        <v>149250</v>
      </c>
      <c r="E11" s="60">
        <v>20789</v>
      </c>
    </row>
    <row r="12" spans="1:5" s="9" customFormat="1" ht="36.950000000000003" customHeight="1">
      <c r="A12" s="405" t="s">
        <v>1561</v>
      </c>
      <c r="B12" s="59">
        <v>101728</v>
      </c>
      <c r="C12" s="59"/>
      <c r="D12" s="59">
        <f t="shared" si="0"/>
        <v>101728</v>
      </c>
      <c r="E12" s="60">
        <v>1275</v>
      </c>
    </row>
    <row r="13" spans="1:5" s="9" customFormat="1" ht="32.25" hidden="1" customHeight="1">
      <c r="A13" s="405" t="s">
        <v>360</v>
      </c>
      <c r="B13" s="59">
        <v>0</v>
      </c>
      <c r="C13" s="59"/>
      <c r="D13" s="59">
        <f>SUM(B13:C13)</f>
        <v>0</v>
      </c>
      <c r="E13" s="368">
        <v>0</v>
      </c>
    </row>
    <row r="14" spans="1:5" s="9" customFormat="1" ht="32.25" customHeight="1">
      <c r="A14" s="405" t="s">
        <v>361</v>
      </c>
      <c r="B14" s="59">
        <v>1856</v>
      </c>
      <c r="C14" s="59"/>
      <c r="D14" s="59">
        <f t="shared" si="0"/>
        <v>1856</v>
      </c>
      <c r="E14" s="60">
        <v>360</v>
      </c>
    </row>
    <row r="15" spans="1:5" s="9" customFormat="1" ht="32.25" customHeight="1">
      <c r="A15" s="405" t="s">
        <v>459</v>
      </c>
      <c r="B15" s="59">
        <v>4059</v>
      </c>
      <c r="C15" s="59"/>
      <c r="D15" s="59">
        <f t="shared" si="0"/>
        <v>4059</v>
      </c>
      <c r="E15" s="60">
        <v>840</v>
      </c>
    </row>
    <row r="16" spans="1:5" ht="32.25" hidden="1" customHeight="1">
      <c r="A16" s="405" t="s">
        <v>460</v>
      </c>
      <c r="B16" s="59"/>
      <c r="C16" s="61"/>
      <c r="D16" s="59">
        <f t="shared" si="0"/>
        <v>0</v>
      </c>
      <c r="E16" s="368">
        <v>0</v>
      </c>
    </row>
    <row r="17" spans="1:5" ht="36.950000000000003" customHeight="1">
      <c r="A17" s="405" t="s">
        <v>461</v>
      </c>
      <c r="B17" s="59">
        <v>21246</v>
      </c>
      <c r="C17" s="59"/>
      <c r="D17" s="59">
        <f t="shared" si="0"/>
        <v>21246</v>
      </c>
      <c r="E17" s="368">
        <v>4152</v>
      </c>
    </row>
    <row r="18" spans="1:5" ht="36.950000000000003" customHeight="1">
      <c r="A18" s="405" t="s">
        <v>548</v>
      </c>
      <c r="B18" s="59">
        <v>22185</v>
      </c>
      <c r="C18" s="59"/>
      <c r="D18" s="59">
        <f t="shared" si="0"/>
        <v>22185</v>
      </c>
      <c r="E18" s="60">
        <v>2226</v>
      </c>
    </row>
    <row r="19" spans="1:5" ht="36.950000000000003" customHeight="1">
      <c r="A19" s="1187" t="s">
        <v>1249</v>
      </c>
      <c r="B19" s="59">
        <v>1142</v>
      </c>
      <c r="C19" s="59"/>
      <c r="D19" s="59">
        <f t="shared" si="0"/>
        <v>1142</v>
      </c>
      <c r="E19" s="60">
        <v>102</v>
      </c>
    </row>
    <row r="20" spans="1:5" ht="37.5" customHeight="1">
      <c r="A20" s="405" t="s">
        <v>462</v>
      </c>
      <c r="B20" s="59">
        <v>166581</v>
      </c>
      <c r="C20" s="59"/>
      <c r="D20" s="59">
        <f t="shared" si="0"/>
        <v>166581</v>
      </c>
      <c r="E20" s="60">
        <v>91268</v>
      </c>
    </row>
    <row r="21" spans="1:5" s="9" customFormat="1" ht="36.950000000000003" hidden="1" customHeight="1">
      <c r="A21" s="405" t="s">
        <v>463</v>
      </c>
      <c r="B21" s="59">
        <v>0</v>
      </c>
      <c r="C21" s="59"/>
      <c r="D21" s="59">
        <f t="shared" si="0"/>
        <v>0</v>
      </c>
      <c r="E21" s="368">
        <v>0</v>
      </c>
    </row>
    <row r="22" spans="1:5" ht="38.1" customHeight="1">
      <c r="A22" s="1187" t="s">
        <v>1446</v>
      </c>
      <c r="B22" s="59">
        <v>14596</v>
      </c>
      <c r="C22" s="59"/>
      <c r="D22" s="59">
        <f t="shared" si="0"/>
        <v>14596</v>
      </c>
      <c r="E22" s="60">
        <v>3376</v>
      </c>
    </row>
    <row r="23" spans="1:5" ht="148.5" customHeight="1">
      <c r="A23" s="1187" t="s">
        <v>1562</v>
      </c>
      <c r="B23" s="59">
        <v>8018</v>
      </c>
      <c r="C23" s="59"/>
      <c r="D23" s="59">
        <f t="shared" si="0"/>
        <v>8018</v>
      </c>
      <c r="E23" s="60">
        <v>1021</v>
      </c>
    </row>
    <row r="24" spans="1:5" ht="25.5" customHeight="1">
      <c r="A24" s="1187"/>
      <c r="B24" s="59"/>
      <c r="C24" s="59"/>
      <c r="D24" s="59"/>
      <c r="E24" s="60"/>
    </row>
    <row r="25" spans="1:5" ht="31.7" customHeight="1" thickBot="1">
      <c r="A25" s="249"/>
      <c r="B25" s="250"/>
      <c r="C25" s="250"/>
      <c r="D25" s="250"/>
      <c r="E25" s="251"/>
    </row>
  </sheetData>
  <mergeCells count="7">
    <mergeCell ref="B5:D5"/>
    <mergeCell ref="E5:E6"/>
    <mergeCell ref="A4:E4"/>
    <mergeCell ref="A1:E1"/>
    <mergeCell ref="A2:E2"/>
    <mergeCell ref="A3:E3"/>
    <mergeCell ref="A5:A6"/>
  </mergeCells>
  <phoneticPr fontId="6" type="noConversion"/>
  <printOptions horizontalCentered="1"/>
  <pageMargins left="0.59055118110236227" right="0.59055118110236227" top="0.59055118110236227" bottom="0.78740157480314965" header="0.51181102362204722" footer="0.51181102362204722"/>
  <pageSetup paperSize="9" firstPageNumber="63" orientation="portrait" useFirstPageNumber="1" r:id="rId1"/>
  <headerFooter alignWithMargins="0">
    <oddFooter>&amp;C&amp;"Times New Roman,標準"&amp;P</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N70"/>
  <sheetViews>
    <sheetView view="pageBreakPreview" topLeftCell="A16" zoomScaleNormal="91" zoomScaleSheetLayoutView="100" workbookViewId="0">
      <selection activeCell="N20" sqref="N20"/>
    </sheetView>
  </sheetViews>
  <sheetFormatPr defaultColWidth="9" defaultRowHeight="15.75"/>
  <cols>
    <col min="1" max="1" width="24.625" style="6" customWidth="1"/>
    <col min="2" max="2" width="11.5" style="6" customWidth="1"/>
    <col min="3" max="3" width="11" style="6" customWidth="1"/>
    <col min="4" max="4" width="7.375" style="6" customWidth="1"/>
    <col min="5" max="5" width="12.625" style="6" customWidth="1"/>
    <col min="6" max="6" width="2.375" style="6" customWidth="1"/>
    <col min="7" max="7" width="3.125" style="6" customWidth="1"/>
    <col min="8" max="8" width="17.5" style="6" customWidth="1"/>
    <col min="9" max="9" width="9" style="6"/>
    <col min="10" max="10" width="26.375" style="6" customWidth="1"/>
    <col min="11" max="11" width="19.875" style="6" customWidth="1"/>
    <col min="12" max="12" width="15" style="6" hidden="1" customWidth="1"/>
    <col min="13" max="13" width="12.25" style="6" hidden="1" customWidth="1"/>
    <col min="14" max="14" width="0" style="6" hidden="1" customWidth="1"/>
    <col min="15" max="16384" width="9" style="6"/>
  </cols>
  <sheetData>
    <row r="1" spans="1:14" s="2" customFormat="1" ht="21">
      <c r="A1" s="1525" t="s">
        <v>40</v>
      </c>
      <c r="B1" s="1369"/>
      <c r="C1" s="1369"/>
      <c r="D1" s="1369"/>
      <c r="E1" s="1369"/>
      <c r="F1" s="1369"/>
      <c r="G1" s="1369"/>
      <c r="H1" s="1369"/>
      <c r="I1" s="1"/>
      <c r="J1" s="1"/>
    </row>
    <row r="2" spans="1:14" s="2" customFormat="1" ht="21">
      <c r="A2" s="1525" t="s">
        <v>41</v>
      </c>
      <c r="B2" s="1369"/>
      <c r="C2" s="1369"/>
      <c r="D2" s="1369"/>
      <c r="E2" s="1369"/>
      <c r="F2" s="1369"/>
      <c r="G2" s="1369"/>
      <c r="H2" s="1369"/>
      <c r="I2" s="1"/>
      <c r="J2" s="1"/>
    </row>
    <row r="3" spans="1:14" s="2" customFormat="1" ht="24.75" customHeight="1">
      <c r="A3" s="1370" t="s">
        <v>1146</v>
      </c>
      <c r="B3" s="1371"/>
      <c r="C3" s="1371"/>
      <c r="D3" s="1371"/>
      <c r="E3" s="1371"/>
      <c r="F3" s="1371"/>
      <c r="G3" s="1371"/>
      <c r="H3" s="1371"/>
      <c r="I3" s="3"/>
    </row>
    <row r="4" spans="1:14" s="2" customFormat="1" ht="24.75" customHeight="1" thickBot="1">
      <c r="A4" s="1389" t="s">
        <v>1301</v>
      </c>
      <c r="B4" s="1390"/>
      <c r="C4" s="1390"/>
      <c r="D4" s="1390"/>
      <c r="E4" s="1390"/>
      <c r="F4" s="1390"/>
      <c r="G4" s="1390"/>
      <c r="H4" s="1390"/>
      <c r="I4" s="4"/>
      <c r="J4" s="4"/>
    </row>
    <row r="5" spans="1:14" ht="15.75" customHeight="1">
      <c r="A5" s="1511" t="s">
        <v>723</v>
      </c>
      <c r="B5" s="1503" t="s">
        <v>724</v>
      </c>
      <c r="C5" s="1504"/>
      <c r="D5" s="1504"/>
      <c r="E5" s="1505"/>
      <c r="F5" s="1418" t="s">
        <v>44</v>
      </c>
      <c r="G5" s="1419"/>
      <c r="H5" s="1420"/>
      <c r="I5" s="4"/>
      <c r="J5" s="4"/>
    </row>
    <row r="6" spans="1:14">
      <c r="A6" s="1512"/>
      <c r="B6" s="1647" t="s">
        <v>725</v>
      </c>
      <c r="C6" s="1649" t="s">
        <v>705</v>
      </c>
      <c r="D6" s="1651" t="s">
        <v>722</v>
      </c>
      <c r="E6" s="1652" t="s">
        <v>726</v>
      </c>
      <c r="F6" s="1421"/>
      <c r="G6" s="1422"/>
      <c r="H6" s="1423"/>
      <c r="I6" s="4"/>
      <c r="J6" s="4"/>
    </row>
    <row r="7" spans="1:14" ht="21.75" customHeight="1">
      <c r="A7" s="1513"/>
      <c r="B7" s="1648"/>
      <c r="C7" s="1650"/>
      <c r="D7" s="1651"/>
      <c r="E7" s="1652"/>
      <c r="F7" s="1424"/>
      <c r="G7" s="1425"/>
      <c r="H7" s="1426"/>
    </row>
    <row r="8" spans="1:14" ht="4.7" customHeight="1">
      <c r="A8" s="72"/>
      <c r="B8" s="79"/>
      <c r="C8" s="79"/>
      <c r="D8" s="80"/>
      <c r="E8" s="909"/>
      <c r="F8" s="83"/>
      <c r="G8" s="132"/>
      <c r="H8" s="86"/>
    </row>
    <row r="9" spans="1:14" s="30" customFormat="1" ht="24.2" customHeight="1">
      <c r="A9" s="431" t="s">
        <v>727</v>
      </c>
      <c r="B9" s="87"/>
      <c r="C9" s="87"/>
      <c r="D9" s="87"/>
      <c r="E9" s="20">
        <f>+E10+E26+E38+E45+E51</f>
        <v>530997778</v>
      </c>
      <c r="F9" s="1644"/>
      <c r="G9" s="1645"/>
      <c r="H9" s="1646"/>
    </row>
    <row r="10" spans="1:14" s="30" customFormat="1" ht="32.450000000000003" customHeight="1">
      <c r="A10" s="432" t="s">
        <v>728</v>
      </c>
      <c r="B10" s="87"/>
      <c r="C10" s="87"/>
      <c r="D10" s="87"/>
      <c r="E10" s="20">
        <f>E11+E25</f>
        <v>482778342</v>
      </c>
      <c r="F10" s="85"/>
      <c r="H10" s="1091"/>
      <c r="J10" s="36"/>
    </row>
    <row r="11" spans="1:14" s="30" customFormat="1" ht="32.450000000000003" customHeight="1">
      <c r="A11" s="433" t="s">
        <v>730</v>
      </c>
      <c r="B11" s="20">
        <f>SUM(B12:B24)</f>
        <v>10530000</v>
      </c>
      <c r="C11" s="1034">
        <v>34700</v>
      </c>
      <c r="D11" s="228">
        <v>11</v>
      </c>
      <c r="E11" s="20">
        <f>SUM(E12:E24)</f>
        <v>482321513</v>
      </c>
      <c r="F11" s="85" t="s">
        <v>729</v>
      </c>
      <c r="G11" s="1640" t="s">
        <v>1409</v>
      </c>
      <c r="H11" s="1641"/>
      <c r="L11" s="30">
        <f>SUM(L12:L24)/12</f>
        <v>365395086000</v>
      </c>
      <c r="M11" s="899">
        <f>L11/B11</f>
        <v>34700.388034188036</v>
      </c>
      <c r="N11" s="908">
        <f>E11/12/C11/B11*100*1000</f>
        <v>11.000122996096419</v>
      </c>
    </row>
    <row r="12" spans="1:14" s="908" customFormat="1" ht="43.9" customHeight="1">
      <c r="A12" s="138" t="s">
        <v>731</v>
      </c>
      <c r="B12" s="8">
        <v>3326000</v>
      </c>
      <c r="C12" s="8">
        <v>36720</v>
      </c>
      <c r="D12" s="81">
        <v>11</v>
      </c>
      <c r="E12" s="8">
        <v>161212550</v>
      </c>
      <c r="F12" s="85"/>
      <c r="G12" s="1640"/>
      <c r="H12" s="1641"/>
      <c r="L12" s="908">
        <f>B12*C12*12</f>
        <v>1465568640000</v>
      </c>
      <c r="N12" s="908">
        <f>E12/12/C12/B12*100*1000</f>
        <v>10.99999997270684</v>
      </c>
    </row>
    <row r="13" spans="1:14" s="908" customFormat="1" ht="30.6" customHeight="1">
      <c r="A13" s="138" t="s">
        <v>732</v>
      </c>
      <c r="B13" s="8">
        <v>3507000</v>
      </c>
      <c r="C13" s="8">
        <v>35260</v>
      </c>
      <c r="D13" s="81">
        <v>11</v>
      </c>
      <c r="E13" s="8">
        <v>163227002</v>
      </c>
      <c r="F13" s="905"/>
      <c r="G13" s="1640"/>
      <c r="H13" s="1641"/>
      <c r="L13" s="908">
        <f t="shared" ref="L13:L22" si="0">B13*C13*12</f>
        <v>1483881840000</v>
      </c>
      <c r="N13" s="908">
        <f t="shared" ref="N13:N24" si="1">E13/12/C13/B13*100*1000</f>
        <v>10.999999973043675</v>
      </c>
    </row>
    <row r="14" spans="1:14" s="908" customFormat="1" ht="54.75" customHeight="1">
      <c r="A14" s="138" t="s">
        <v>734</v>
      </c>
      <c r="B14" s="8">
        <v>389400</v>
      </c>
      <c r="C14" s="8">
        <v>37980</v>
      </c>
      <c r="D14" s="81">
        <v>11</v>
      </c>
      <c r="E14" s="8">
        <v>19522024</v>
      </c>
      <c r="F14" s="85" t="s">
        <v>733</v>
      </c>
      <c r="G14" s="1642" t="s">
        <v>1410</v>
      </c>
      <c r="H14" s="1643"/>
      <c r="L14" s="908">
        <f t="shared" si="0"/>
        <v>177472944000</v>
      </c>
      <c r="N14" s="1144">
        <f t="shared" si="1"/>
        <v>11.000000090154586</v>
      </c>
    </row>
    <row r="15" spans="1:14" s="908" customFormat="1" ht="45.95" customHeight="1">
      <c r="A15" s="138" t="s">
        <v>735</v>
      </c>
      <c r="B15" s="8">
        <v>495400</v>
      </c>
      <c r="C15" s="8">
        <v>36210</v>
      </c>
      <c r="D15" s="81">
        <v>11</v>
      </c>
      <c r="E15" s="8">
        <v>23678733</v>
      </c>
      <c r="F15" s="85" t="s">
        <v>1411</v>
      </c>
      <c r="G15" s="1640" t="s">
        <v>1412</v>
      </c>
      <c r="H15" s="1641"/>
      <c r="L15" s="908">
        <f t="shared" si="0"/>
        <v>215261208000</v>
      </c>
      <c r="N15" s="908">
        <f t="shared" si="1"/>
        <v>11.000000055746227</v>
      </c>
    </row>
    <row r="16" spans="1:14" s="908" customFormat="1" ht="44.65" customHeight="1">
      <c r="A16" s="138" t="s">
        <v>736</v>
      </c>
      <c r="B16" s="8">
        <v>9100</v>
      </c>
      <c r="C16" s="8">
        <v>27200</v>
      </c>
      <c r="D16" s="81">
        <v>11</v>
      </c>
      <c r="E16" s="8">
        <v>326726</v>
      </c>
      <c r="F16" s="85"/>
      <c r="G16" s="1640"/>
      <c r="H16" s="1641"/>
      <c r="K16" s="904"/>
      <c r="L16" s="908">
        <f t="shared" si="0"/>
        <v>2970240000</v>
      </c>
      <c r="N16" s="908">
        <f t="shared" si="1"/>
        <v>10.999986533074768</v>
      </c>
    </row>
    <row r="17" spans="1:14" s="908" customFormat="1" ht="45.2" customHeight="1">
      <c r="A17" s="138" t="s">
        <v>737</v>
      </c>
      <c r="B17" s="8">
        <v>13500</v>
      </c>
      <c r="C17" s="8">
        <v>13800</v>
      </c>
      <c r="D17" s="81">
        <v>11</v>
      </c>
      <c r="E17" s="8">
        <v>245916</v>
      </c>
      <c r="F17" s="85"/>
      <c r="G17" s="1640"/>
      <c r="H17" s="1641"/>
      <c r="L17" s="908">
        <f t="shared" si="0"/>
        <v>2235600000</v>
      </c>
      <c r="N17" s="908">
        <f t="shared" si="1"/>
        <v>11.000000000000002</v>
      </c>
    </row>
    <row r="18" spans="1:14" s="908" customFormat="1" ht="30.6" customHeight="1">
      <c r="A18" s="427" t="s">
        <v>738</v>
      </c>
      <c r="B18" s="8">
        <v>2039000</v>
      </c>
      <c r="C18" s="8">
        <v>30050</v>
      </c>
      <c r="D18" s="81">
        <v>11</v>
      </c>
      <c r="E18" s="8">
        <v>80878974</v>
      </c>
      <c r="F18" s="85"/>
      <c r="G18" s="1640"/>
      <c r="H18" s="1641"/>
      <c r="L18" s="908">
        <f>B18*C18*12</f>
        <v>735263400000</v>
      </c>
      <c r="N18" s="908">
        <f>E18/12/C18/B18*100*1000</f>
        <v>11</v>
      </c>
    </row>
    <row r="19" spans="1:14" s="908" customFormat="1" ht="32.1" customHeight="1">
      <c r="A19" s="427" t="s">
        <v>739</v>
      </c>
      <c r="B19" s="8">
        <v>241300</v>
      </c>
      <c r="C19" s="8">
        <v>30360</v>
      </c>
      <c r="D19" s="81">
        <v>11</v>
      </c>
      <c r="E19" s="8">
        <v>9670146</v>
      </c>
      <c r="F19" s="85"/>
      <c r="G19" s="1640"/>
      <c r="H19" s="1641"/>
      <c r="L19" s="908">
        <f t="shared" si="0"/>
        <v>87910416000</v>
      </c>
      <c r="N19" s="908">
        <f t="shared" si="1"/>
        <v>11.000000273005192</v>
      </c>
    </row>
    <row r="20" spans="1:14" s="908" customFormat="1" ht="33.6" customHeight="1">
      <c r="A20" s="427" t="s">
        <v>740</v>
      </c>
      <c r="B20" s="8">
        <v>446200</v>
      </c>
      <c r="C20" s="8">
        <v>34860</v>
      </c>
      <c r="D20" s="81">
        <v>11</v>
      </c>
      <c r="E20" s="8">
        <v>20531982</v>
      </c>
      <c r="F20" s="905"/>
      <c r="G20" s="1640"/>
      <c r="H20" s="1641"/>
      <c r="L20" s="908">
        <f t="shared" si="0"/>
        <v>186654384000</v>
      </c>
      <c r="N20" s="901">
        <f t="shared" si="1"/>
        <v>10.99999987142011</v>
      </c>
    </row>
    <row r="21" spans="1:14" s="908" customFormat="1" ht="36" customHeight="1">
      <c r="A21" s="427" t="s">
        <v>741</v>
      </c>
      <c r="B21" s="8">
        <v>8300</v>
      </c>
      <c r="C21" s="8">
        <v>38750</v>
      </c>
      <c r="D21" s="81">
        <v>11</v>
      </c>
      <c r="E21" s="8">
        <v>424545</v>
      </c>
      <c r="F21" s="905"/>
      <c r="G21" s="1243"/>
      <c r="H21" s="1301"/>
      <c r="L21" s="908">
        <f t="shared" si="0"/>
        <v>3859500000</v>
      </c>
      <c r="N21" s="901">
        <f t="shared" si="1"/>
        <v>11.000000000000002</v>
      </c>
    </row>
    <row r="22" spans="1:14" s="908" customFormat="1" ht="32.450000000000003" customHeight="1">
      <c r="A22" s="427" t="s">
        <v>742</v>
      </c>
      <c r="B22" s="8">
        <v>900</v>
      </c>
      <c r="C22" s="8">
        <v>43100</v>
      </c>
      <c r="D22" s="81">
        <v>11</v>
      </c>
      <c r="E22" s="8">
        <v>51203</v>
      </c>
      <c r="F22" s="905"/>
      <c r="G22" s="1243"/>
      <c r="H22" s="1301"/>
      <c r="L22" s="908">
        <f t="shared" si="0"/>
        <v>465480000</v>
      </c>
      <c r="N22" s="908">
        <f t="shared" si="1"/>
        <v>11.000042966400276</v>
      </c>
    </row>
    <row r="23" spans="1:14" s="908" customFormat="1" ht="31.35" customHeight="1">
      <c r="A23" s="427" t="s">
        <v>743</v>
      </c>
      <c r="B23" s="8">
        <v>900</v>
      </c>
      <c r="C23" s="8">
        <v>30850</v>
      </c>
      <c r="D23" s="81">
        <v>11</v>
      </c>
      <c r="E23" s="8">
        <v>36650</v>
      </c>
      <c r="F23" s="85"/>
      <c r="G23" s="1243"/>
      <c r="H23" s="1301"/>
      <c r="L23" s="908">
        <f>B23*C23*12</f>
        <v>333180000</v>
      </c>
      <c r="N23" s="901">
        <f t="shared" si="1"/>
        <v>11.000060027612703</v>
      </c>
    </row>
    <row r="24" spans="1:14" s="908" customFormat="1" ht="33" customHeight="1">
      <c r="A24" s="427" t="s">
        <v>744</v>
      </c>
      <c r="B24" s="8">
        <v>53000</v>
      </c>
      <c r="C24" s="8">
        <v>35950</v>
      </c>
      <c r="D24" s="81">
        <v>11</v>
      </c>
      <c r="E24" s="8">
        <v>2515062</v>
      </c>
      <c r="F24" s="85"/>
      <c r="G24" s="1128"/>
      <c r="H24" s="1091"/>
      <c r="L24" s="908">
        <f>B24*C24*12</f>
        <v>22864200000</v>
      </c>
      <c r="N24" s="901">
        <f t="shared" si="1"/>
        <v>11.000000000000002</v>
      </c>
    </row>
    <row r="25" spans="1:14" s="30" customFormat="1" ht="52.5" customHeight="1" thickBot="1">
      <c r="A25" s="1244" t="s">
        <v>745</v>
      </c>
      <c r="B25" s="1236"/>
      <c r="C25" s="1245"/>
      <c r="D25" s="1246"/>
      <c r="E25" s="1236">
        <v>456829</v>
      </c>
      <c r="F25" s="1225"/>
      <c r="G25" s="240"/>
      <c r="H25" s="1122"/>
    </row>
    <row r="26" spans="1:14" s="30" customFormat="1" ht="27.6" customHeight="1">
      <c r="A26" s="432" t="s">
        <v>746</v>
      </c>
      <c r="B26" s="87"/>
      <c r="C26" s="87"/>
      <c r="D26" s="87"/>
      <c r="E26" s="20">
        <f>E27+E35</f>
        <v>32081213</v>
      </c>
      <c r="F26" s="1644"/>
      <c r="G26" s="1645"/>
      <c r="H26" s="1646"/>
    </row>
    <row r="27" spans="1:14" s="30" customFormat="1" ht="30" customHeight="1">
      <c r="A27" s="433" t="s">
        <v>747</v>
      </c>
      <c r="B27" s="20">
        <f>SUM(B28:B34)</f>
        <v>7400000</v>
      </c>
      <c r="C27" s="20">
        <v>36100</v>
      </c>
      <c r="D27" s="228">
        <v>1</v>
      </c>
      <c r="E27" s="20">
        <f>SUM(E28:E34)</f>
        <v>32056864</v>
      </c>
      <c r="F27" s="85" t="s">
        <v>748</v>
      </c>
      <c r="G27" s="1655" t="s">
        <v>749</v>
      </c>
      <c r="H27" s="1656"/>
      <c r="L27" s="30">
        <f>SUM(L28:L34)</f>
        <v>3205686444000</v>
      </c>
      <c r="M27" s="899">
        <f>L27/B27/12</f>
        <v>36100.072567567571</v>
      </c>
      <c r="N27" s="30">
        <f>E27/12/C27/B27*100*1000</f>
        <v>1.0000019964562903</v>
      </c>
    </row>
    <row r="28" spans="1:14" s="908" customFormat="1" ht="38.450000000000003" customHeight="1">
      <c r="A28" s="138" t="s">
        <v>750</v>
      </c>
      <c r="B28" s="8">
        <v>2862600</v>
      </c>
      <c r="C28" s="8">
        <v>37290</v>
      </c>
      <c r="D28" s="81">
        <v>1</v>
      </c>
      <c r="E28" s="8">
        <v>12809562</v>
      </c>
      <c r="F28" s="85"/>
      <c r="G28" s="1657"/>
      <c r="H28" s="1656"/>
      <c r="L28" s="908">
        <f>B28*C28*12</f>
        <v>1280956248000</v>
      </c>
      <c r="N28" s="908">
        <f>E28/12/C28/B28*100*1000</f>
        <v>0.99999996252799406</v>
      </c>
    </row>
    <row r="29" spans="1:14" s="908" customFormat="1" ht="26.85" customHeight="1">
      <c r="A29" s="138" t="s">
        <v>751</v>
      </c>
      <c r="B29" s="8">
        <v>3247400</v>
      </c>
      <c r="C29" s="8">
        <v>34930</v>
      </c>
      <c r="D29" s="81">
        <v>1</v>
      </c>
      <c r="E29" s="8">
        <v>13611802</v>
      </c>
      <c r="F29" s="85" t="s">
        <v>733</v>
      </c>
      <c r="G29" s="1655" t="s">
        <v>752</v>
      </c>
      <c r="H29" s="1656"/>
      <c r="L29" s="908">
        <f t="shared" ref="L29:L34" si="2">B29*C29*12</f>
        <v>1361180184000</v>
      </c>
      <c r="N29" s="908">
        <f t="shared" ref="N29:N34" si="3">E29/12/C29/B29*100*1000</f>
        <v>1.0000000117545056</v>
      </c>
    </row>
    <row r="30" spans="1:14" s="908" customFormat="1" ht="42.6" customHeight="1">
      <c r="A30" s="138" t="s">
        <v>753</v>
      </c>
      <c r="B30" s="8">
        <v>373300</v>
      </c>
      <c r="C30" s="8">
        <v>38000</v>
      </c>
      <c r="D30" s="81">
        <v>1</v>
      </c>
      <c r="E30" s="8">
        <v>1702248</v>
      </c>
      <c r="F30" s="85"/>
      <c r="G30" s="1658"/>
      <c r="H30" s="1656"/>
      <c r="L30" s="908">
        <f>B30*C30*12</f>
        <v>170224800000</v>
      </c>
      <c r="N30" s="908">
        <f t="shared" si="3"/>
        <v>1</v>
      </c>
    </row>
    <row r="31" spans="1:14" s="908" customFormat="1" ht="42.6" customHeight="1">
      <c r="A31" s="138" t="s">
        <v>735</v>
      </c>
      <c r="B31" s="8">
        <v>446800</v>
      </c>
      <c r="C31" s="8">
        <v>37300</v>
      </c>
      <c r="D31" s="81">
        <v>1</v>
      </c>
      <c r="E31" s="8">
        <v>1999877</v>
      </c>
      <c r="F31" s="85"/>
      <c r="G31" s="1645"/>
      <c r="H31" s="1646"/>
      <c r="L31" s="908">
        <f t="shared" si="2"/>
        <v>199987680000</v>
      </c>
      <c r="N31" s="908">
        <f t="shared" si="3"/>
        <v>1.0000001000061602</v>
      </c>
    </row>
    <row r="32" spans="1:14" s="908" customFormat="1" ht="42.6" customHeight="1">
      <c r="A32" s="138" t="s">
        <v>736</v>
      </c>
      <c r="B32" s="8">
        <v>800</v>
      </c>
      <c r="C32" s="8">
        <v>36980</v>
      </c>
      <c r="D32" s="81">
        <v>1</v>
      </c>
      <c r="E32" s="8">
        <v>3550</v>
      </c>
      <c r="F32" s="231"/>
      <c r="G32" s="406"/>
      <c r="H32" s="407"/>
      <c r="L32" s="908">
        <f t="shared" si="2"/>
        <v>355008000</v>
      </c>
      <c r="N32" s="908">
        <f t="shared" si="3"/>
        <v>0.99997746529655673</v>
      </c>
    </row>
    <row r="33" spans="1:14" s="908" customFormat="1" ht="26.45" customHeight="1">
      <c r="A33" s="427" t="s">
        <v>754</v>
      </c>
      <c r="B33" s="8">
        <v>416100</v>
      </c>
      <c r="C33" s="8">
        <v>34070</v>
      </c>
      <c r="D33" s="81">
        <v>1</v>
      </c>
      <c r="E33" s="8">
        <v>1701183</v>
      </c>
      <c r="F33" s="231"/>
      <c r="G33" s="406"/>
      <c r="H33" s="407"/>
      <c r="L33" s="908">
        <f t="shared" si="2"/>
        <v>170118324000</v>
      </c>
      <c r="N33" s="908">
        <f t="shared" si="3"/>
        <v>0.99999985892172338</v>
      </c>
    </row>
    <row r="34" spans="1:14" s="908" customFormat="1" ht="30.2" customHeight="1">
      <c r="A34" s="427" t="s">
        <v>744</v>
      </c>
      <c r="B34" s="8">
        <v>53000</v>
      </c>
      <c r="C34" s="8">
        <v>35950</v>
      </c>
      <c r="D34" s="81">
        <v>1</v>
      </c>
      <c r="E34" s="8">
        <v>228642</v>
      </c>
      <c r="F34" s="85"/>
      <c r="G34" s="406"/>
      <c r="H34" s="407"/>
      <c r="L34" s="908">
        <f t="shared" si="2"/>
        <v>22864200000</v>
      </c>
      <c r="N34" s="908">
        <f t="shared" si="3"/>
        <v>1</v>
      </c>
    </row>
    <row r="35" spans="1:14" s="30" customFormat="1" ht="26.25" customHeight="1">
      <c r="A35" s="1227" t="s">
        <v>755</v>
      </c>
      <c r="B35" s="1179"/>
      <c r="C35" s="1247"/>
      <c r="D35" s="1248"/>
      <c r="E35" s="1179">
        <v>24349</v>
      </c>
      <c r="F35" s="85"/>
      <c r="G35" s="900"/>
      <c r="H35" s="407"/>
    </row>
    <row r="36" spans="1:14" s="231" customFormat="1" ht="5.85" customHeight="1">
      <c r="A36" s="454"/>
      <c r="B36" s="82"/>
      <c r="C36" s="88"/>
      <c r="D36" s="89"/>
      <c r="E36" s="8"/>
      <c r="F36" s="85"/>
      <c r="G36" s="900"/>
      <c r="H36" s="407"/>
    </row>
    <row r="37" spans="1:14" s="908" customFormat="1" ht="30" customHeight="1">
      <c r="A37" s="1227" t="s">
        <v>756</v>
      </c>
      <c r="B37" s="1228"/>
      <c r="C37" s="1228"/>
      <c r="D37" s="1228"/>
      <c r="E37" s="1179">
        <f>+E38+E45</f>
        <v>5943857</v>
      </c>
      <c r="F37" s="1229"/>
      <c r="G37" s="1230"/>
      <c r="H37" s="1231"/>
    </row>
    <row r="38" spans="1:14" s="908" customFormat="1" ht="28.9" customHeight="1">
      <c r="A38" s="1227" t="s">
        <v>757</v>
      </c>
      <c r="B38" s="1228"/>
      <c r="C38" s="1228"/>
      <c r="D38" s="1228"/>
      <c r="E38" s="1179">
        <f>E39+E44</f>
        <v>5780525</v>
      </c>
      <c r="F38" s="1229"/>
      <c r="G38" s="1230"/>
      <c r="H38" s="1231"/>
    </row>
    <row r="39" spans="1:14" s="908" customFormat="1" ht="30" customHeight="1">
      <c r="A39" s="1042" t="s">
        <v>758</v>
      </c>
      <c r="B39" s="1179">
        <v>925000</v>
      </c>
      <c r="C39" s="1179">
        <v>20400</v>
      </c>
      <c r="D39" s="1232">
        <v>2.5499999999999998</v>
      </c>
      <c r="E39" s="1179">
        <v>5774220</v>
      </c>
      <c r="F39" s="1229" t="s">
        <v>729</v>
      </c>
      <c r="G39" s="1659" t="s">
        <v>1556</v>
      </c>
      <c r="H39" s="1662"/>
      <c r="L39" s="1195">
        <f t="shared" ref="L39" si="4">B39*C39*12</f>
        <v>226440000000</v>
      </c>
      <c r="M39" s="1195"/>
      <c r="N39" s="1195">
        <f t="shared" ref="N39" si="5">E39/12/C39/B39*100*1000</f>
        <v>2.5500000000000003</v>
      </c>
    </row>
    <row r="40" spans="1:14" s="908" customFormat="1" ht="57.6" customHeight="1">
      <c r="A40" s="1227"/>
      <c r="B40" s="1233"/>
      <c r="C40" s="1234"/>
      <c r="D40" s="1235"/>
      <c r="E40" s="1233"/>
      <c r="F40" s="1340"/>
      <c r="G40" s="1661"/>
      <c r="H40" s="1662"/>
    </row>
    <row r="41" spans="1:14" s="908" customFormat="1" ht="33" customHeight="1">
      <c r="A41" s="1227"/>
      <c r="B41" s="1233"/>
      <c r="C41" s="1234"/>
      <c r="D41" s="1235"/>
      <c r="E41" s="1233"/>
      <c r="F41" s="1340"/>
      <c r="G41" s="1661"/>
      <c r="H41" s="1662"/>
    </row>
    <row r="42" spans="1:14" s="908" customFormat="1" ht="64.5" customHeight="1">
      <c r="A42" s="1227"/>
      <c r="B42" s="1233"/>
      <c r="C42" s="1234"/>
      <c r="D42" s="1235"/>
      <c r="E42" s="1233"/>
      <c r="F42" s="1229" t="s">
        <v>1358</v>
      </c>
      <c r="G42" s="1659" t="s">
        <v>1557</v>
      </c>
      <c r="H42" s="1660"/>
      <c r="J42" s="906"/>
    </row>
    <row r="43" spans="1:14" s="1226" customFormat="1" ht="26.25" customHeight="1">
      <c r="A43" s="1227"/>
      <c r="B43" s="1233"/>
      <c r="C43" s="1234"/>
      <c r="D43" s="1235"/>
      <c r="E43" s="1233"/>
      <c r="F43" s="1229"/>
      <c r="G43" s="1666"/>
      <c r="H43" s="1660"/>
      <c r="J43" s="906"/>
    </row>
    <row r="44" spans="1:14" s="908" customFormat="1" ht="26.25" customHeight="1" thickBot="1">
      <c r="A44" s="1303" t="s">
        <v>759</v>
      </c>
      <c r="B44" s="1236"/>
      <c r="C44" s="1304"/>
      <c r="D44" s="1305"/>
      <c r="E44" s="1236">
        <v>6305</v>
      </c>
      <c r="F44" s="1306"/>
      <c r="G44" s="1307"/>
      <c r="H44" s="1308"/>
    </row>
    <row r="45" spans="1:14" s="908" customFormat="1" ht="31.5" customHeight="1">
      <c r="A45" s="1237" t="s">
        <v>760</v>
      </c>
      <c r="B45" s="1238"/>
      <c r="C45" s="1239"/>
      <c r="D45" s="1238"/>
      <c r="E45" s="1179">
        <f>E46</f>
        <v>163332</v>
      </c>
      <c r="F45" s="1230"/>
      <c r="G45" s="1312"/>
      <c r="H45" s="1231"/>
    </row>
    <row r="46" spans="1:14" s="908" customFormat="1" ht="45.2" customHeight="1">
      <c r="A46" s="1240" t="s">
        <v>551</v>
      </c>
      <c r="B46" s="1179">
        <v>349000</v>
      </c>
      <c r="C46" s="1179">
        <v>20400</v>
      </c>
      <c r="D46" s="1241">
        <v>0.19</v>
      </c>
      <c r="E46" s="1179">
        <v>163332</v>
      </c>
      <c r="F46" s="1229" t="s">
        <v>729</v>
      </c>
      <c r="G46" s="1667" t="s">
        <v>1558</v>
      </c>
      <c r="H46" s="1668"/>
      <c r="L46" s="1195">
        <f t="shared" ref="L46" si="6">B46*C46*12</f>
        <v>85435200000</v>
      </c>
      <c r="M46" s="1195"/>
      <c r="N46" s="1195">
        <f t="shared" ref="N46" si="7">E46/12/C46/B46*100*1000</f>
        <v>0.19117647058823534</v>
      </c>
    </row>
    <row r="47" spans="1:14" s="1144" customFormat="1" ht="90.75" customHeight="1">
      <c r="A47" s="1240"/>
      <c r="B47" s="1179"/>
      <c r="C47" s="1242"/>
      <c r="D47" s="1241"/>
      <c r="E47" s="1179"/>
      <c r="F47" s="1341"/>
      <c r="G47" s="1669"/>
      <c r="H47" s="1668"/>
    </row>
    <row r="48" spans="1:14" s="1174" customFormat="1" ht="99" customHeight="1">
      <c r="A48" s="1240"/>
      <c r="B48" s="1179"/>
      <c r="C48" s="1179"/>
      <c r="D48" s="1179"/>
      <c r="E48" s="1179"/>
      <c r="F48" s="1243" t="s">
        <v>1359</v>
      </c>
      <c r="G48" s="1659" t="s">
        <v>1557</v>
      </c>
      <c r="H48" s="1660"/>
    </row>
    <row r="49" spans="1:14" s="1174" customFormat="1" ht="102" hidden="1" customHeight="1">
      <c r="A49" s="1240"/>
      <c r="B49" s="1179"/>
      <c r="C49" s="1179"/>
      <c r="D49" s="1179"/>
      <c r="E49" s="1179"/>
      <c r="F49" s="1243" t="s">
        <v>1360</v>
      </c>
      <c r="G49" s="1661" t="s">
        <v>1401</v>
      </c>
      <c r="H49" s="1662"/>
    </row>
    <row r="50" spans="1:14" s="1127" customFormat="1" ht="24.95" hidden="1" customHeight="1">
      <c r="A50" s="1240"/>
      <c r="B50" s="1179"/>
      <c r="C50" s="1179"/>
      <c r="D50" s="1179"/>
      <c r="E50" s="1179"/>
      <c r="F50" s="1243"/>
      <c r="G50" s="1661"/>
      <c r="H50" s="1662"/>
    </row>
    <row r="51" spans="1:14" s="30" customFormat="1" ht="30.75" customHeight="1">
      <c r="A51" s="1037" t="s">
        <v>761</v>
      </c>
      <c r="B51" s="87"/>
      <c r="C51" s="87"/>
      <c r="D51" s="87"/>
      <c r="E51" s="1034">
        <f>E52+E66</f>
        <v>10194366</v>
      </c>
      <c r="F51" s="84"/>
      <c r="G51" s="239"/>
      <c r="H51" s="1302"/>
    </row>
    <row r="52" spans="1:14" s="30" customFormat="1" ht="30.75" customHeight="1">
      <c r="A52" s="1038" t="s">
        <v>762</v>
      </c>
      <c r="B52" s="1034">
        <f>SUM(B53:B65)</f>
        <v>11290000</v>
      </c>
      <c r="C52" s="1179">
        <v>39200</v>
      </c>
      <c r="D52" s="228">
        <v>0.19</v>
      </c>
      <c r="E52" s="1034">
        <f>SUM(E53:E65)</f>
        <v>10179850</v>
      </c>
      <c r="F52" s="1663" t="s">
        <v>1402</v>
      </c>
      <c r="G52" s="1664"/>
      <c r="H52" s="1665"/>
      <c r="L52" s="30">
        <f>SUM(L53:L65)</f>
        <v>5310871896000</v>
      </c>
      <c r="M52" s="1224">
        <f>L52/B52/12</f>
        <v>39200.412577502218</v>
      </c>
      <c r="N52" s="908">
        <f>E52/12/C52/B52*100*1000</f>
        <v>0.19168146665220562</v>
      </c>
    </row>
    <row r="53" spans="1:14" s="908" customFormat="1" ht="41.25" customHeight="1">
      <c r="A53" s="138" t="s">
        <v>763</v>
      </c>
      <c r="B53" s="1033">
        <v>3560200</v>
      </c>
      <c r="C53" s="1033">
        <v>42920</v>
      </c>
      <c r="D53" s="81">
        <v>0.22</v>
      </c>
      <c r="E53" s="1033">
        <v>4034020</v>
      </c>
      <c r="F53" s="1663"/>
      <c r="G53" s="1664"/>
      <c r="H53" s="1665"/>
      <c r="L53" s="908">
        <f>B53*C53*12</f>
        <v>1833645408000</v>
      </c>
      <c r="N53" s="908">
        <f>E53/12/C53/B53*100*1000</f>
        <v>0.22000000558450389</v>
      </c>
    </row>
    <row r="54" spans="1:14" s="908" customFormat="1" ht="30" customHeight="1">
      <c r="A54" s="138" t="s">
        <v>764</v>
      </c>
      <c r="B54" s="1033">
        <v>3693200</v>
      </c>
      <c r="C54" s="1033">
        <v>41400</v>
      </c>
      <c r="D54" s="81">
        <v>0.17</v>
      </c>
      <c r="E54" s="1033">
        <v>3119129</v>
      </c>
      <c r="F54" s="1663"/>
      <c r="G54" s="1664"/>
      <c r="H54" s="1665"/>
      <c r="L54" s="1223">
        <f t="shared" ref="L54:L65" si="8">B54*C54*12</f>
        <v>1834781760000</v>
      </c>
      <c r="N54" s="1126">
        <f t="shared" ref="N54:N65" si="9">E54/12/C54/B54*100*1000</f>
        <v>0.17000000043601915</v>
      </c>
    </row>
    <row r="55" spans="1:14" s="908" customFormat="1" ht="42" customHeight="1">
      <c r="A55" s="138" t="s">
        <v>765</v>
      </c>
      <c r="B55" s="1033">
        <v>421200</v>
      </c>
      <c r="C55" s="1033">
        <v>44100</v>
      </c>
      <c r="D55" s="81">
        <v>0.12</v>
      </c>
      <c r="E55" s="1033">
        <v>267479</v>
      </c>
      <c r="F55" s="1175"/>
      <c r="G55" s="902"/>
      <c r="H55" s="903"/>
      <c r="L55" s="1223">
        <f t="shared" si="8"/>
        <v>222899040000</v>
      </c>
      <c r="N55" s="1126">
        <f t="shared" si="9"/>
        <v>0.12000006819230806</v>
      </c>
    </row>
    <row r="56" spans="1:14" s="908" customFormat="1" ht="40.5" customHeight="1">
      <c r="A56" s="138" t="s">
        <v>766</v>
      </c>
      <c r="B56" s="1033">
        <v>523200</v>
      </c>
      <c r="C56" s="1033">
        <v>42140</v>
      </c>
      <c r="D56" s="81">
        <v>0.13</v>
      </c>
      <c r="E56" s="1033">
        <v>343943</v>
      </c>
      <c r="F56" s="1175"/>
      <c r="G56" s="902"/>
      <c r="H56" s="903"/>
      <c r="L56" s="1223">
        <f t="shared" si="8"/>
        <v>264571776000</v>
      </c>
      <c r="N56" s="1126">
        <f t="shared" si="9"/>
        <v>0.12999988328309064</v>
      </c>
    </row>
    <row r="57" spans="1:14" s="908" customFormat="1" ht="51" customHeight="1">
      <c r="A57" s="138" t="s">
        <v>769</v>
      </c>
      <c r="B57" s="1033">
        <v>10200</v>
      </c>
      <c r="C57" s="1033">
        <v>27760</v>
      </c>
      <c r="D57" s="81">
        <v>0.19</v>
      </c>
      <c r="E57" s="1033">
        <v>6456</v>
      </c>
      <c r="F57" s="85"/>
      <c r="G57" s="1216"/>
      <c r="H57" s="1217"/>
      <c r="L57" s="1223">
        <f t="shared" si="8"/>
        <v>3397824000</v>
      </c>
      <c r="N57" s="1126">
        <f>E57/12/C57/B57*100*1000</f>
        <v>0.19000395547267898</v>
      </c>
    </row>
    <row r="58" spans="1:14" s="908" customFormat="1" ht="43.9" customHeight="1">
      <c r="A58" s="138" t="s">
        <v>772</v>
      </c>
      <c r="B58" s="1033">
        <v>18800</v>
      </c>
      <c r="C58" s="1033">
        <v>26900</v>
      </c>
      <c r="D58" s="81">
        <v>0.11</v>
      </c>
      <c r="E58" s="1033">
        <v>6676</v>
      </c>
      <c r="F58" s="85"/>
      <c r="G58" s="1216"/>
      <c r="H58" s="1217"/>
      <c r="L58" s="1223">
        <f t="shared" si="8"/>
        <v>6068640000</v>
      </c>
      <c r="N58" s="1126">
        <f>E58/12/C58/B58*100*1000</f>
        <v>0.11000817316565162</v>
      </c>
    </row>
    <row r="59" spans="1:14" s="908" customFormat="1" ht="34.15" customHeight="1">
      <c r="A59" s="427" t="s">
        <v>770</v>
      </c>
      <c r="B59" s="1033">
        <v>2151500</v>
      </c>
      <c r="C59" s="1033">
        <v>29820</v>
      </c>
      <c r="D59" s="81">
        <v>0.24</v>
      </c>
      <c r="E59" s="1033">
        <v>1847743</v>
      </c>
      <c r="F59" s="1084"/>
      <c r="G59" s="1216"/>
      <c r="H59" s="1217"/>
      <c r="L59" s="1223">
        <f t="shared" si="8"/>
        <v>769892760000</v>
      </c>
      <c r="N59" s="1126">
        <f>E59/12/C59/B59*100*1000</f>
        <v>0.24000004883797063</v>
      </c>
    </row>
    <row r="60" spans="1:14" s="908" customFormat="1" ht="24" customHeight="1" thickBot="1">
      <c r="A60" s="429" t="s">
        <v>771</v>
      </c>
      <c r="B60" s="37">
        <v>243600</v>
      </c>
      <c r="C60" s="37">
        <v>30220</v>
      </c>
      <c r="D60" s="907">
        <v>0.19</v>
      </c>
      <c r="E60" s="37">
        <v>167844</v>
      </c>
      <c r="F60" s="1309"/>
      <c r="G60" s="1310"/>
      <c r="H60" s="1311"/>
      <c r="L60" s="1223">
        <f t="shared" si="8"/>
        <v>88339104000</v>
      </c>
      <c r="N60" s="1126">
        <f>E60/12/C60/B60*100*1000</f>
        <v>0.18999966311634767</v>
      </c>
    </row>
    <row r="61" spans="1:14" s="908" customFormat="1" ht="37.5" customHeight="1">
      <c r="A61" s="427" t="s">
        <v>767</v>
      </c>
      <c r="B61" s="1033">
        <v>481900</v>
      </c>
      <c r="C61" s="1033">
        <v>39140</v>
      </c>
      <c r="D61" s="81">
        <v>0.12</v>
      </c>
      <c r="E61" s="1033">
        <v>271607</v>
      </c>
      <c r="F61" s="85"/>
      <c r="G61" s="1206"/>
      <c r="H61" s="1215"/>
      <c r="L61" s="1223">
        <f t="shared" si="8"/>
        <v>226338792000</v>
      </c>
      <c r="N61" s="1126">
        <f t="shared" si="9"/>
        <v>0.12000019864027553</v>
      </c>
    </row>
    <row r="62" spans="1:14" s="908" customFormat="1" ht="50.25" customHeight="1">
      <c r="A62" s="138" t="s">
        <v>768</v>
      </c>
      <c r="B62" s="1033">
        <v>180000</v>
      </c>
      <c r="C62" s="1033">
        <v>26900</v>
      </c>
      <c r="D62" s="81">
        <v>0.18</v>
      </c>
      <c r="E62" s="1033">
        <v>104587</v>
      </c>
      <c r="F62" s="85"/>
      <c r="G62" s="1216"/>
      <c r="H62" s="1217"/>
      <c r="L62" s="1223">
        <f t="shared" si="8"/>
        <v>58104000000</v>
      </c>
      <c r="N62" s="1126">
        <f t="shared" si="9"/>
        <v>0.17999965578961863</v>
      </c>
    </row>
    <row r="63" spans="1:14" s="908" customFormat="1" ht="34.15" customHeight="1">
      <c r="A63" s="427" t="s">
        <v>774</v>
      </c>
      <c r="B63" s="1033">
        <v>900</v>
      </c>
      <c r="C63" s="1033">
        <v>68270</v>
      </c>
      <c r="D63" s="81">
        <v>0.85</v>
      </c>
      <c r="E63" s="1033">
        <v>6267</v>
      </c>
      <c r="F63" s="85"/>
      <c r="G63" s="902"/>
      <c r="H63" s="903"/>
      <c r="L63" s="1223">
        <f t="shared" si="8"/>
        <v>737316000</v>
      </c>
      <c r="N63" s="1126">
        <f>E63/12/C63/B63*100*1000</f>
        <v>0.84997477336718585</v>
      </c>
    </row>
    <row r="64" spans="1:14" s="908" customFormat="1" ht="67.5" customHeight="1">
      <c r="A64" s="138" t="s">
        <v>773</v>
      </c>
      <c r="B64" s="1033">
        <v>300</v>
      </c>
      <c r="C64" s="1033">
        <v>31910</v>
      </c>
      <c r="D64" s="81">
        <v>0.12</v>
      </c>
      <c r="E64" s="1033">
        <v>138</v>
      </c>
      <c r="F64" s="85"/>
      <c r="G64" s="1216"/>
      <c r="H64" s="1217"/>
      <c r="L64" s="1223">
        <f t="shared" si="8"/>
        <v>114876000</v>
      </c>
      <c r="N64" s="1126">
        <f t="shared" si="9"/>
        <v>0.1201295309725269</v>
      </c>
    </row>
    <row r="65" spans="1:14" s="908" customFormat="1" ht="37.5" customHeight="1">
      <c r="A65" s="427" t="s">
        <v>775</v>
      </c>
      <c r="B65" s="1033">
        <v>5000</v>
      </c>
      <c r="C65" s="1033">
        <v>33010</v>
      </c>
      <c r="D65" s="81">
        <v>0.2</v>
      </c>
      <c r="E65" s="1033">
        <v>3961</v>
      </c>
      <c r="F65" s="85"/>
      <c r="G65" s="902"/>
      <c r="H65" s="903"/>
      <c r="L65" s="1223">
        <f t="shared" si="8"/>
        <v>1980600000</v>
      </c>
      <c r="N65" s="1126">
        <f t="shared" si="9"/>
        <v>0.19998990204988384</v>
      </c>
    </row>
    <row r="66" spans="1:14" s="908" customFormat="1" ht="44.45" customHeight="1">
      <c r="A66" s="1227" t="s">
        <v>745</v>
      </c>
      <c r="B66" s="1179"/>
      <c r="C66" s="1247"/>
      <c r="D66" s="1248"/>
      <c r="E66" s="1179">
        <v>14516</v>
      </c>
      <c r="F66" s="85"/>
      <c r="G66" s="1653"/>
      <c r="H66" s="407"/>
    </row>
    <row r="67" spans="1:14" s="1127" customFormat="1" ht="141.75" customHeight="1">
      <c r="A67" s="1037"/>
      <c r="B67" s="1034"/>
      <c r="C67" s="229"/>
      <c r="D67" s="230"/>
      <c r="E67" s="1034"/>
      <c r="F67" s="85"/>
      <c r="G67" s="1653"/>
      <c r="H67" s="407"/>
    </row>
    <row r="68" spans="1:14" s="908" customFormat="1" ht="96" customHeight="1">
      <c r="A68" s="432"/>
      <c r="B68" s="20"/>
      <c r="C68" s="229"/>
      <c r="D68" s="230"/>
      <c r="E68" s="20"/>
      <c r="F68" s="85"/>
      <c r="G68" s="1653"/>
      <c r="H68" s="407"/>
    </row>
    <row r="69" spans="1:14" s="1096" customFormat="1" ht="87" customHeight="1">
      <c r="A69" s="1037"/>
      <c r="B69" s="1034"/>
      <c r="C69" s="229"/>
      <c r="D69" s="230"/>
      <c r="E69" s="1034"/>
      <c r="F69" s="85"/>
      <c r="G69" s="1653"/>
      <c r="H69" s="407"/>
    </row>
    <row r="70" spans="1:14" s="30" customFormat="1" ht="39.4" customHeight="1" thickBot="1">
      <c r="A70" s="453"/>
      <c r="B70" s="273"/>
      <c r="C70" s="780"/>
      <c r="D70" s="781"/>
      <c r="E70" s="273"/>
      <c r="F70" s="782"/>
      <c r="G70" s="1654"/>
      <c r="H70" s="408"/>
    </row>
  </sheetData>
  <mergeCells count="26">
    <mergeCell ref="G15:H20"/>
    <mergeCell ref="G66:G70"/>
    <mergeCell ref="F26:H26"/>
    <mergeCell ref="G27:H28"/>
    <mergeCell ref="G29:H30"/>
    <mergeCell ref="G31:H31"/>
    <mergeCell ref="G48:H48"/>
    <mergeCell ref="G49:H50"/>
    <mergeCell ref="F52:H54"/>
    <mergeCell ref="G42:H43"/>
    <mergeCell ref="G39:H41"/>
    <mergeCell ref="G46:H47"/>
    <mergeCell ref="G11:H13"/>
    <mergeCell ref="G14:H14"/>
    <mergeCell ref="F9:H9"/>
    <mergeCell ref="A1:H1"/>
    <mergeCell ref="A2:H2"/>
    <mergeCell ref="A3:H3"/>
    <mergeCell ref="A4:H4"/>
    <mergeCell ref="A5:A7"/>
    <mergeCell ref="B5:E5"/>
    <mergeCell ref="F5:H7"/>
    <mergeCell ref="B6:B7"/>
    <mergeCell ref="C6:C7"/>
    <mergeCell ref="D6:D7"/>
    <mergeCell ref="E6:E7"/>
  </mergeCells>
  <phoneticPr fontId="6" type="noConversion"/>
  <printOptions horizontalCentered="1"/>
  <pageMargins left="0.59055118110236227" right="0.59055118110236227" top="0.59055118110236227" bottom="0.78740157480314965" header="0.51181102362204722" footer="0.51181102362204722"/>
  <pageSetup paperSize="9" firstPageNumber="64" orientation="portrait" useFirstPageNumber="1" r:id="rId1"/>
  <headerFooter alignWithMargins="0">
    <oddFooter>&amp;C&amp;"Times New Roman,標準"&amp;P</oddFooter>
  </headerFooter>
  <rowBreaks count="3" manualBreakCount="3">
    <brk id="25" max="7" man="1"/>
    <brk id="44" max="7" man="1"/>
    <brk id="60" max="7"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Q177"/>
  <sheetViews>
    <sheetView showGridLines="0" view="pageBreakPreview" zoomScaleNormal="100" zoomScaleSheetLayoutView="100" workbookViewId="0">
      <selection activeCell="N20" sqref="N20"/>
    </sheetView>
  </sheetViews>
  <sheetFormatPr defaultColWidth="12" defaultRowHeight="20.25"/>
  <cols>
    <col min="1" max="1" width="25.5" style="157" customWidth="1"/>
    <col min="2" max="2" width="14.75" style="157" customWidth="1"/>
    <col min="3" max="3" width="50" style="157" customWidth="1"/>
    <col min="4" max="4" width="14.625" style="157" bestFit="1" customWidth="1"/>
    <col min="5" max="5" width="12.25" style="157" hidden="1" customWidth="1"/>
    <col min="6" max="6" width="2.375" style="157" customWidth="1"/>
    <col min="7" max="7" width="12" style="157"/>
    <col min="8" max="8" width="17.5" style="157" customWidth="1"/>
    <col min="9" max="16384" width="12" style="157"/>
  </cols>
  <sheetData>
    <row r="1" spans="1:17" s="2" customFormat="1" ht="21">
      <c r="A1" s="1369" t="s">
        <v>40</v>
      </c>
      <c r="B1" s="1369"/>
      <c r="C1" s="1369"/>
    </row>
    <row r="2" spans="1:17" s="2" customFormat="1" ht="21">
      <c r="A2" s="1369" t="s">
        <v>41</v>
      </c>
      <c r="B2" s="1369"/>
      <c r="C2" s="1369"/>
    </row>
    <row r="3" spans="1:17" s="2" customFormat="1" ht="24.75" customHeight="1">
      <c r="A3" s="1621" t="s">
        <v>1147</v>
      </c>
      <c r="B3" s="1371"/>
      <c r="C3" s="1371"/>
    </row>
    <row r="4" spans="1:17" s="2" customFormat="1" ht="24.95" customHeight="1" thickBot="1">
      <c r="A4" s="1441" t="s">
        <v>1302</v>
      </c>
      <c r="B4" s="1373"/>
      <c r="C4" s="1373"/>
    </row>
    <row r="5" spans="1:17" s="6" customFormat="1" ht="15.75" customHeight="1">
      <c r="A5" s="1511" t="s">
        <v>126</v>
      </c>
      <c r="B5" s="1627" t="s">
        <v>43</v>
      </c>
      <c r="C5" s="1620" t="s">
        <v>44</v>
      </c>
      <c r="D5" s="4"/>
      <c r="E5" s="4"/>
    </row>
    <row r="6" spans="1:17" s="6" customFormat="1" ht="15.75" customHeight="1">
      <c r="A6" s="1512"/>
      <c r="B6" s="1676"/>
      <c r="C6" s="1678"/>
      <c r="D6" s="4"/>
      <c r="E6" s="4"/>
    </row>
    <row r="7" spans="1:17" s="6" customFormat="1" ht="15.75" customHeight="1">
      <c r="A7" s="1513"/>
      <c r="B7" s="1677"/>
      <c r="C7" s="1678"/>
    </row>
    <row r="8" spans="1:17" s="675" customFormat="1" ht="5.85" customHeight="1">
      <c r="A8" s="684"/>
      <c r="B8" s="683"/>
      <c r="C8" s="685"/>
    </row>
    <row r="9" spans="1:17" s="213" customFormat="1" ht="24.6" customHeight="1">
      <c r="A9" s="431" t="s">
        <v>173</v>
      </c>
      <c r="B9" s="205">
        <f>B10+B61+B93+B104</f>
        <v>530997778</v>
      </c>
      <c r="C9" s="676"/>
    </row>
    <row r="10" spans="1:17" s="233" customFormat="1" ht="25.5" customHeight="1">
      <c r="A10" s="432" t="s">
        <v>28</v>
      </c>
      <c r="B10" s="205">
        <f>SUM(B11,B59)</f>
        <v>482778342</v>
      </c>
      <c r="C10" s="677"/>
    </row>
    <row r="11" spans="1:17" s="233" customFormat="1" ht="35.1" customHeight="1">
      <c r="A11" s="433" t="s">
        <v>174</v>
      </c>
      <c r="B11" s="205">
        <f>SUM(B12,B16,B20,B24,B32,B39,B36,B42,B28,B46,B49,B52,B55)</f>
        <v>482321513</v>
      </c>
      <c r="C11" s="677"/>
      <c r="D11" s="1058"/>
      <c r="E11" s="1058"/>
      <c r="F11" s="1059"/>
    </row>
    <row r="12" spans="1:17" s="234" customFormat="1" ht="41.45" customHeight="1">
      <c r="A12" s="133" t="s">
        <v>175</v>
      </c>
      <c r="B12" s="209">
        <f>SUM(B13:B15)</f>
        <v>161212550</v>
      </c>
      <c r="C12" s="1672" t="s">
        <v>1169</v>
      </c>
    </row>
    <row r="13" spans="1:17" s="235" customFormat="1" ht="23.45" customHeight="1">
      <c r="A13" s="455" t="s">
        <v>188</v>
      </c>
      <c r="B13" s="208">
        <v>32242510</v>
      </c>
      <c r="C13" s="1670"/>
      <c r="E13" s="235">
        <f>$B$12*0.2-B13</f>
        <v>0</v>
      </c>
    </row>
    <row r="14" spans="1:17" s="235" customFormat="1" ht="23.45" customHeight="1">
      <c r="A14" s="455" t="s">
        <v>189</v>
      </c>
      <c r="B14" s="208">
        <v>112848785</v>
      </c>
      <c r="C14" s="1670"/>
      <c r="E14" s="235">
        <f>$B$12*0.7-B14</f>
        <v>0</v>
      </c>
    </row>
    <row r="15" spans="1:17" s="235" customFormat="1" ht="23.65" customHeight="1">
      <c r="A15" s="455" t="s">
        <v>187</v>
      </c>
      <c r="B15" s="208">
        <v>16121255</v>
      </c>
      <c r="C15" s="1670"/>
      <c r="E15" s="235">
        <f>$B$12*0.1-B15</f>
        <v>0</v>
      </c>
    </row>
    <row r="16" spans="1:17" s="234" customFormat="1" ht="39" customHeight="1">
      <c r="A16" s="133" t="s">
        <v>176</v>
      </c>
      <c r="B16" s="209">
        <f>SUM(B17:B19)</f>
        <v>163227002</v>
      </c>
      <c r="C16" s="1672" t="s">
        <v>1169</v>
      </c>
      <c r="D16" s="235"/>
      <c r="E16" s="235"/>
      <c r="F16" s="235"/>
      <c r="G16" s="235"/>
      <c r="H16" s="235"/>
      <c r="I16" s="235"/>
      <c r="J16" s="235"/>
      <c r="K16" s="235"/>
      <c r="L16" s="235"/>
      <c r="M16" s="235"/>
      <c r="N16" s="235"/>
      <c r="O16" s="235"/>
      <c r="P16" s="235"/>
      <c r="Q16" s="235"/>
    </row>
    <row r="17" spans="1:17" s="235" customFormat="1" ht="23.45" customHeight="1">
      <c r="A17" s="455" t="s">
        <v>190</v>
      </c>
      <c r="B17" s="208">
        <v>32645400</v>
      </c>
      <c r="C17" s="1670"/>
      <c r="E17" s="235">
        <f>$B$16*0.2-B17</f>
        <v>0.40000000223517418</v>
      </c>
    </row>
    <row r="18" spans="1:17" s="235" customFormat="1" ht="24.95" customHeight="1">
      <c r="A18" s="455" t="s">
        <v>189</v>
      </c>
      <c r="B18" s="208">
        <v>114258902</v>
      </c>
      <c r="C18" s="1670"/>
      <c r="E18" s="235">
        <f>$B$16*0.7-B18</f>
        <v>-0.60000000894069672</v>
      </c>
    </row>
    <row r="19" spans="1:17" s="235" customFormat="1" ht="24.95" customHeight="1">
      <c r="A19" s="455" t="s">
        <v>187</v>
      </c>
      <c r="B19" s="208">
        <v>16322700</v>
      </c>
      <c r="C19" s="1670"/>
      <c r="E19" s="235">
        <f>$B$16*0.1-B19</f>
        <v>0.20000000111758709</v>
      </c>
    </row>
    <row r="20" spans="1:17" s="235" customFormat="1" ht="50.25" customHeight="1">
      <c r="A20" s="133" t="s">
        <v>183</v>
      </c>
      <c r="B20" s="209">
        <f>SUM(B21:B23)</f>
        <v>19522024</v>
      </c>
      <c r="C20" s="1672" t="s">
        <v>1169</v>
      </c>
    </row>
    <row r="21" spans="1:17" s="235" customFormat="1" ht="23.45" customHeight="1">
      <c r="A21" s="455" t="s">
        <v>464</v>
      </c>
      <c r="B21" s="208">
        <v>3904405</v>
      </c>
      <c r="C21" s="1670"/>
      <c r="E21" s="235">
        <f>$B$20*0.2-B21</f>
        <v>-0.19999999972060323</v>
      </c>
    </row>
    <row r="22" spans="1:17" s="235" customFormat="1" ht="24.75" customHeight="1">
      <c r="A22" s="455" t="s">
        <v>191</v>
      </c>
      <c r="B22" s="208">
        <v>13665417</v>
      </c>
      <c r="C22" s="1670"/>
      <c r="E22" s="235">
        <f>$B$20*0.7-B22</f>
        <v>-0.20000000111758709</v>
      </c>
    </row>
    <row r="23" spans="1:17" s="235" customFormat="1" ht="24.6" customHeight="1">
      <c r="A23" s="455" t="s">
        <v>192</v>
      </c>
      <c r="B23" s="208">
        <v>1952202</v>
      </c>
      <c r="C23" s="1670"/>
      <c r="E23" s="235">
        <f>$B$20*0.1-B23</f>
        <v>0.40000000013969839</v>
      </c>
    </row>
    <row r="24" spans="1:17" s="235" customFormat="1" ht="47.1" customHeight="1">
      <c r="A24" s="133" t="s">
        <v>193</v>
      </c>
      <c r="B24" s="209">
        <f>SUM(B25:B27)</f>
        <v>23678733</v>
      </c>
      <c r="C24" s="1672" t="s">
        <v>1169</v>
      </c>
    </row>
    <row r="25" spans="1:17" s="235" customFormat="1" ht="24" customHeight="1">
      <c r="A25" s="455" t="s">
        <v>190</v>
      </c>
      <c r="B25" s="208">
        <v>4735747</v>
      </c>
      <c r="C25" s="1670"/>
      <c r="E25" s="235">
        <f>$B$24*0.2-B25</f>
        <v>-0.39999999944120646</v>
      </c>
    </row>
    <row r="26" spans="1:17" s="235" customFormat="1" ht="23.25" customHeight="1">
      <c r="A26" s="455" t="s">
        <v>189</v>
      </c>
      <c r="B26" s="208">
        <v>16575113</v>
      </c>
      <c r="C26" s="1670"/>
      <c r="E26" s="235">
        <f>$B$24*0.7-B26</f>
        <v>9.999999962747097E-2</v>
      </c>
    </row>
    <row r="27" spans="1:17" s="235" customFormat="1" ht="25.5" customHeight="1">
      <c r="A27" s="455" t="s">
        <v>187</v>
      </c>
      <c r="B27" s="208">
        <v>2367873</v>
      </c>
      <c r="C27" s="1670"/>
      <c r="E27" s="235">
        <f>$B$24*0.1-B27</f>
        <v>0.30000000027939677</v>
      </c>
    </row>
    <row r="28" spans="1:17" s="234" customFormat="1" ht="54" customHeight="1">
      <c r="A28" s="133" t="s">
        <v>185</v>
      </c>
      <c r="B28" s="209">
        <f>SUM(B29:B31)</f>
        <v>326726</v>
      </c>
      <c r="C28" s="1105" t="s">
        <v>1169</v>
      </c>
      <c r="D28" s="235"/>
      <c r="E28" s="235"/>
      <c r="F28" s="235"/>
      <c r="G28" s="235"/>
      <c r="H28" s="235"/>
      <c r="I28" s="235"/>
      <c r="J28" s="235"/>
      <c r="K28" s="235"/>
      <c r="L28" s="235"/>
      <c r="M28" s="235"/>
      <c r="N28" s="235"/>
      <c r="O28" s="235"/>
      <c r="P28" s="235"/>
      <c r="Q28" s="235"/>
    </row>
    <row r="29" spans="1:17" s="235" customFormat="1" ht="33.75" customHeight="1" thickBot="1">
      <c r="A29" s="458" t="s">
        <v>467</v>
      </c>
      <c r="B29" s="845">
        <v>65345</v>
      </c>
      <c r="C29" s="846"/>
      <c r="E29" s="235">
        <f>$B$28*0.2-B29</f>
        <v>0.20000000000436557</v>
      </c>
    </row>
    <row r="30" spans="1:17" s="235" customFormat="1" ht="25.15" customHeight="1">
      <c r="A30" s="455" t="s">
        <v>191</v>
      </c>
      <c r="B30" s="208">
        <v>228708</v>
      </c>
      <c r="C30" s="844"/>
      <c r="E30" s="235">
        <f>$B$28*0.7-B30</f>
        <v>0.1999999999825377</v>
      </c>
    </row>
    <row r="31" spans="1:17" s="235" customFormat="1" ht="24.6" customHeight="1">
      <c r="A31" s="455" t="s">
        <v>199</v>
      </c>
      <c r="B31" s="208">
        <v>32673</v>
      </c>
      <c r="C31" s="844"/>
      <c r="E31" s="235">
        <f>$B$28*0.1-B31</f>
        <v>-0.39999999999781721</v>
      </c>
    </row>
    <row r="32" spans="1:17" s="234" customFormat="1" ht="59.25" customHeight="1">
      <c r="A32" s="133" t="s">
        <v>465</v>
      </c>
      <c r="B32" s="209">
        <f>SUM(B33:B35)</f>
        <v>245916</v>
      </c>
      <c r="C32" s="1123" t="s">
        <v>1169</v>
      </c>
      <c r="D32" s="235"/>
      <c r="E32" s="235"/>
      <c r="F32" s="235"/>
      <c r="G32" s="235"/>
      <c r="H32" s="235"/>
      <c r="I32" s="235"/>
      <c r="J32" s="235"/>
      <c r="K32" s="235"/>
      <c r="L32" s="235"/>
      <c r="M32" s="235"/>
      <c r="N32" s="235"/>
      <c r="O32" s="235"/>
      <c r="P32" s="235"/>
      <c r="Q32" s="235"/>
    </row>
    <row r="33" spans="1:17" s="235" customFormat="1" ht="26.1" customHeight="1">
      <c r="A33" s="455" t="s">
        <v>464</v>
      </c>
      <c r="B33" s="208">
        <v>49183</v>
      </c>
      <c r="C33" s="679"/>
      <c r="E33" s="235">
        <f>$B$32*0.2-B33</f>
        <v>0.20000000000436557</v>
      </c>
    </row>
    <row r="34" spans="1:17" s="235" customFormat="1" ht="26.1" customHeight="1">
      <c r="A34" s="455" t="s">
        <v>466</v>
      </c>
      <c r="B34" s="208">
        <v>172141</v>
      </c>
      <c r="C34" s="679"/>
      <c r="E34" s="235">
        <f>$B$32*0.7-B34</f>
        <v>0.1999999999825377</v>
      </c>
    </row>
    <row r="35" spans="1:17" s="235" customFormat="1" ht="26.1" customHeight="1">
      <c r="A35" s="455" t="s">
        <v>195</v>
      </c>
      <c r="B35" s="208">
        <v>24592</v>
      </c>
      <c r="C35" s="679"/>
      <c r="E35" s="235">
        <f>$B$32*0.1-B35</f>
        <v>-0.39999999999781721</v>
      </c>
    </row>
    <row r="36" spans="1:17" s="234" customFormat="1" ht="38.1" customHeight="1">
      <c r="A36" s="26" t="s">
        <v>178</v>
      </c>
      <c r="B36" s="209">
        <f>SUM(B37:B38)</f>
        <v>80878974</v>
      </c>
      <c r="C36" s="1672" t="s">
        <v>1170</v>
      </c>
      <c r="D36" s="235"/>
      <c r="E36" s="235"/>
      <c r="F36" s="235"/>
      <c r="G36" s="235"/>
      <c r="H36" s="235"/>
      <c r="I36" s="235"/>
      <c r="J36" s="235"/>
      <c r="K36" s="235"/>
      <c r="L36" s="235"/>
      <c r="M36" s="235"/>
      <c r="N36" s="235"/>
      <c r="O36" s="235"/>
      <c r="P36" s="235"/>
      <c r="Q36" s="235"/>
    </row>
    <row r="37" spans="1:17" s="235" customFormat="1" ht="26.1" customHeight="1">
      <c r="A37" s="455" t="s">
        <v>197</v>
      </c>
      <c r="B37" s="208">
        <v>48527384</v>
      </c>
      <c r="C37" s="1670"/>
      <c r="E37" s="235">
        <f>$B$36*0.6-B37</f>
        <v>0.39999999850988388</v>
      </c>
    </row>
    <row r="38" spans="1:17" s="235" customFormat="1" ht="26.1" customHeight="1">
      <c r="A38" s="455" t="s">
        <v>196</v>
      </c>
      <c r="B38" s="208">
        <v>32351590</v>
      </c>
      <c r="C38" s="1670"/>
      <c r="E38" s="235">
        <f>$B$36*0.4-B38</f>
        <v>-0.39999999850988388</v>
      </c>
    </row>
    <row r="39" spans="1:17" s="234" customFormat="1" ht="38.1" customHeight="1">
      <c r="A39" s="26" t="s">
        <v>177</v>
      </c>
      <c r="B39" s="209">
        <f>SUM(B40:B41)</f>
        <v>9670146</v>
      </c>
      <c r="C39" s="1672" t="s">
        <v>870</v>
      </c>
      <c r="D39" s="235"/>
      <c r="E39" s="235"/>
      <c r="F39" s="235"/>
      <c r="G39" s="235"/>
      <c r="H39" s="235"/>
      <c r="I39" s="235"/>
      <c r="J39" s="235"/>
      <c r="K39" s="235"/>
      <c r="L39" s="235"/>
      <c r="M39" s="235"/>
      <c r="N39" s="235"/>
      <c r="O39" s="235"/>
      <c r="P39" s="235"/>
      <c r="Q39" s="235"/>
    </row>
    <row r="40" spans="1:17" s="235" customFormat="1" ht="26.1" customHeight="1">
      <c r="A40" s="455" t="s">
        <v>190</v>
      </c>
      <c r="B40" s="208">
        <v>1934029</v>
      </c>
      <c r="C40" s="1670"/>
      <c r="E40" s="235">
        <f>$B$39*0.2-B40</f>
        <v>0.20000000018626451</v>
      </c>
    </row>
    <row r="41" spans="1:17" s="235" customFormat="1" ht="35.25" customHeight="1">
      <c r="A41" s="455" t="s">
        <v>196</v>
      </c>
      <c r="B41" s="208">
        <v>7736117</v>
      </c>
      <c r="C41" s="1670"/>
      <c r="E41" s="235">
        <f>$B$39*0.8-B41</f>
        <v>-0.19999999925494194</v>
      </c>
    </row>
    <row r="42" spans="1:17" s="234" customFormat="1" ht="42" customHeight="1">
      <c r="A42" s="26" t="s">
        <v>179</v>
      </c>
      <c r="B42" s="209">
        <f>SUM(B43:B45)</f>
        <v>20531982</v>
      </c>
      <c r="C42" s="1672" t="s">
        <v>1169</v>
      </c>
      <c r="D42" s="235"/>
      <c r="E42" s="235"/>
      <c r="F42" s="235"/>
      <c r="G42" s="235"/>
      <c r="H42" s="235"/>
      <c r="I42" s="235"/>
      <c r="J42" s="235"/>
      <c r="K42" s="235"/>
      <c r="L42" s="235"/>
      <c r="M42" s="235"/>
      <c r="N42" s="235"/>
      <c r="O42" s="235"/>
      <c r="P42" s="235"/>
      <c r="Q42" s="235"/>
    </row>
    <row r="43" spans="1:17" s="235" customFormat="1" ht="26.25" customHeight="1">
      <c r="A43" s="455" t="s">
        <v>190</v>
      </c>
      <c r="B43" s="208">
        <v>4106396</v>
      </c>
      <c r="C43" s="1670"/>
      <c r="E43" s="235">
        <f>$B$42*0.2-B43</f>
        <v>0.40000000037252903</v>
      </c>
    </row>
    <row r="44" spans="1:17" s="235" customFormat="1" ht="26.1" customHeight="1">
      <c r="A44" s="455" t="s">
        <v>191</v>
      </c>
      <c r="B44" s="208">
        <v>14372388</v>
      </c>
      <c r="C44" s="1670"/>
      <c r="E44" s="235">
        <f>$B$42*0.7-B44</f>
        <v>-0.60000000149011612</v>
      </c>
    </row>
    <row r="45" spans="1:17" s="235" customFormat="1" ht="26.1" customHeight="1">
      <c r="A45" s="455" t="s">
        <v>198</v>
      </c>
      <c r="B45" s="208">
        <v>2053198</v>
      </c>
      <c r="C45" s="1670"/>
      <c r="E45" s="235">
        <f>$B$42*0.1-B45</f>
        <v>0.20000000018626451</v>
      </c>
    </row>
    <row r="46" spans="1:17" s="234" customFormat="1" ht="42" customHeight="1">
      <c r="A46" s="26" t="s">
        <v>180</v>
      </c>
      <c r="B46" s="209">
        <f>SUM(B47:B48)</f>
        <v>424545</v>
      </c>
      <c r="C46" s="1672" t="s">
        <v>873</v>
      </c>
      <c r="D46" s="235"/>
      <c r="E46" s="235"/>
      <c r="F46" s="235"/>
      <c r="G46" s="235"/>
      <c r="H46" s="235"/>
      <c r="I46" s="235"/>
      <c r="J46" s="235"/>
      <c r="K46" s="235"/>
      <c r="L46" s="235"/>
      <c r="M46" s="235"/>
      <c r="N46" s="235"/>
      <c r="O46" s="235"/>
      <c r="P46" s="235"/>
      <c r="Q46" s="235"/>
    </row>
    <row r="47" spans="1:17" s="235" customFormat="1" ht="26.45" customHeight="1">
      <c r="A47" s="455" t="s">
        <v>200</v>
      </c>
      <c r="B47" s="208">
        <v>339636</v>
      </c>
      <c r="C47" s="1673"/>
      <c r="E47" s="235">
        <f>$B$46*0.8-B47</f>
        <v>0</v>
      </c>
    </row>
    <row r="48" spans="1:17" s="235" customFormat="1" ht="27" customHeight="1">
      <c r="A48" s="455" t="s">
        <v>199</v>
      </c>
      <c r="B48" s="208">
        <v>84909</v>
      </c>
      <c r="C48" s="1673"/>
      <c r="E48" s="235">
        <f>$B$46*0.2-B48</f>
        <v>0</v>
      </c>
    </row>
    <row r="49" spans="1:17" s="234" customFormat="1" ht="47.25" customHeight="1" thickBot="1">
      <c r="A49" s="457" t="s">
        <v>181</v>
      </c>
      <c r="B49" s="212">
        <f>SUM(B50:B51)</f>
        <v>51203</v>
      </c>
      <c r="C49" s="1124" t="s">
        <v>873</v>
      </c>
      <c r="D49" s="235"/>
      <c r="E49" s="235"/>
      <c r="F49" s="235"/>
      <c r="G49" s="235"/>
      <c r="H49" s="235"/>
      <c r="I49" s="235"/>
      <c r="J49" s="235"/>
      <c r="K49" s="235"/>
      <c r="L49" s="235"/>
      <c r="M49" s="235"/>
      <c r="N49" s="235"/>
      <c r="O49" s="235"/>
      <c r="P49" s="235"/>
      <c r="Q49" s="235"/>
    </row>
    <row r="50" spans="1:17" s="235" customFormat="1" ht="24.95" customHeight="1">
      <c r="A50" s="455" t="s">
        <v>201</v>
      </c>
      <c r="B50" s="208">
        <v>40962</v>
      </c>
      <c r="C50" s="679"/>
      <c r="E50" s="235">
        <f>$B$49*0.8-B50</f>
        <v>0.40000000000145519</v>
      </c>
    </row>
    <row r="51" spans="1:17" s="235" customFormat="1" ht="24.95" customHeight="1">
      <c r="A51" s="455" t="s">
        <v>187</v>
      </c>
      <c r="B51" s="208">
        <v>10241</v>
      </c>
      <c r="C51" s="679"/>
      <c r="E51" s="235">
        <f>$B$49*0.2-B51</f>
        <v>-0.3999999999996362</v>
      </c>
    </row>
    <row r="52" spans="1:17" s="234" customFormat="1" ht="30.75" customHeight="1">
      <c r="A52" s="26" t="s">
        <v>194</v>
      </c>
      <c r="B52" s="209">
        <f>SUM(B53:B54)</f>
        <v>36650</v>
      </c>
      <c r="C52" s="1672" t="s">
        <v>1317</v>
      </c>
      <c r="D52" s="235"/>
      <c r="E52" s="235"/>
      <c r="F52" s="235"/>
      <c r="G52" s="235"/>
      <c r="H52" s="235"/>
      <c r="I52" s="235"/>
      <c r="J52" s="235"/>
      <c r="K52" s="235"/>
      <c r="L52" s="235"/>
      <c r="M52" s="235"/>
      <c r="N52" s="235"/>
      <c r="O52" s="235"/>
      <c r="P52" s="235"/>
      <c r="Q52" s="235"/>
    </row>
    <row r="53" spans="1:17" s="235" customFormat="1" ht="24.95" customHeight="1">
      <c r="A53" s="455" t="s">
        <v>200</v>
      </c>
      <c r="B53" s="208">
        <v>14660</v>
      </c>
      <c r="C53" s="1673"/>
      <c r="E53" s="235">
        <f>$B$52*0.4-B53</f>
        <v>0</v>
      </c>
    </row>
    <row r="54" spans="1:17" s="235" customFormat="1" ht="24.95" customHeight="1">
      <c r="A54" s="455" t="s">
        <v>202</v>
      </c>
      <c r="B54" s="208">
        <v>21990</v>
      </c>
      <c r="C54" s="1673"/>
      <c r="E54" s="235">
        <f>$B$52*0.6-B54</f>
        <v>0</v>
      </c>
    </row>
    <row r="55" spans="1:17" s="234" customFormat="1" ht="41.25" customHeight="1">
      <c r="A55" s="26" t="s">
        <v>182</v>
      </c>
      <c r="B55" s="209">
        <f>SUM(B56:B58)</f>
        <v>2515062</v>
      </c>
      <c r="C55" s="1672" t="s">
        <v>1318</v>
      </c>
      <c r="D55" s="235"/>
      <c r="E55" s="235"/>
      <c r="F55" s="235"/>
      <c r="G55" s="235"/>
      <c r="H55" s="235"/>
      <c r="I55" s="235"/>
      <c r="J55" s="235"/>
      <c r="K55" s="235"/>
      <c r="L55" s="235"/>
      <c r="M55" s="235"/>
      <c r="N55" s="235"/>
      <c r="O55" s="235"/>
      <c r="P55" s="235"/>
      <c r="Q55" s="235"/>
    </row>
    <row r="56" spans="1:17" s="234" customFormat="1" ht="26.1" customHeight="1">
      <c r="A56" s="455" t="s">
        <v>467</v>
      </c>
      <c r="B56" s="208">
        <v>503012</v>
      </c>
      <c r="C56" s="1673"/>
      <c r="D56" s="235"/>
      <c r="E56" s="235">
        <f>$B$55*0.2-B56</f>
        <v>0.40000000002328306</v>
      </c>
      <c r="F56" s="235"/>
      <c r="G56" s="235"/>
      <c r="H56" s="235"/>
      <c r="I56" s="235"/>
      <c r="J56" s="235"/>
      <c r="K56" s="235"/>
      <c r="L56" s="235"/>
      <c r="M56" s="235"/>
      <c r="N56" s="235"/>
      <c r="O56" s="235"/>
      <c r="P56" s="235"/>
      <c r="Q56" s="235"/>
    </row>
    <row r="57" spans="1:17" s="234" customFormat="1" ht="26.1" customHeight="1">
      <c r="A57" s="455" t="s">
        <v>191</v>
      </c>
      <c r="B57" s="208">
        <v>1760544</v>
      </c>
      <c r="C57" s="1673"/>
      <c r="D57" s="235"/>
      <c r="E57" s="235">
        <f>$B$55*0.7-B57</f>
        <v>-0.60000000009313226</v>
      </c>
      <c r="F57" s="235"/>
      <c r="G57" s="235"/>
      <c r="H57" s="235"/>
      <c r="I57" s="235"/>
      <c r="J57" s="235"/>
      <c r="K57" s="235"/>
      <c r="L57" s="235"/>
      <c r="M57" s="235"/>
      <c r="N57" s="235"/>
      <c r="O57" s="235"/>
      <c r="P57" s="235"/>
      <c r="Q57" s="235"/>
    </row>
    <row r="58" spans="1:17" s="235" customFormat="1" ht="26.1" customHeight="1">
      <c r="A58" s="455" t="s">
        <v>195</v>
      </c>
      <c r="B58" s="208">
        <v>251506</v>
      </c>
      <c r="C58" s="677"/>
      <c r="E58" s="235">
        <f>$B$55*0.1-B58</f>
        <v>0.20000000001164153</v>
      </c>
    </row>
    <row r="59" spans="1:17" s="234" customFormat="1" ht="52.15" customHeight="1">
      <c r="A59" s="432" t="s">
        <v>211</v>
      </c>
      <c r="B59" s="1250">
        <v>456829</v>
      </c>
      <c r="C59" s="1249" t="s">
        <v>1361</v>
      </c>
      <c r="D59" s="235"/>
      <c r="E59" s="235"/>
      <c r="F59" s="235"/>
      <c r="G59" s="235"/>
      <c r="H59" s="235"/>
      <c r="I59" s="235"/>
      <c r="J59" s="235"/>
      <c r="K59" s="235"/>
      <c r="L59" s="235"/>
      <c r="M59" s="235"/>
      <c r="N59" s="235"/>
      <c r="O59" s="235"/>
      <c r="P59" s="235"/>
      <c r="Q59" s="235"/>
    </row>
    <row r="60" spans="1:17" s="234" customFormat="1" ht="11.1" customHeight="1">
      <c r="A60" s="455"/>
      <c r="B60" s="209"/>
      <c r="C60" s="677"/>
      <c r="D60" s="235"/>
      <c r="E60" s="235"/>
      <c r="F60" s="235"/>
      <c r="G60" s="235"/>
      <c r="H60" s="235"/>
      <c r="I60" s="235"/>
      <c r="J60" s="235"/>
      <c r="K60" s="235"/>
      <c r="L60" s="235"/>
      <c r="M60" s="235"/>
      <c r="N60" s="235"/>
      <c r="O60" s="235"/>
      <c r="P60" s="235"/>
      <c r="Q60" s="235"/>
    </row>
    <row r="61" spans="1:17" s="234" customFormat="1" ht="29.25" customHeight="1">
      <c r="A61" s="432" t="s">
        <v>29</v>
      </c>
      <c r="B61" s="205">
        <f>SUM(B62,B91)</f>
        <v>32081213</v>
      </c>
      <c r="C61" s="677"/>
    </row>
    <row r="62" spans="1:17" s="234" customFormat="1" ht="30" customHeight="1">
      <c r="A62" s="433" t="s">
        <v>174</v>
      </c>
      <c r="B62" s="205">
        <f>SUM(B63,B67,B71,B75,B83,B79,B87)</f>
        <v>32056864</v>
      </c>
      <c r="C62" s="677"/>
    </row>
    <row r="63" spans="1:17" s="234" customFormat="1" ht="51.6" customHeight="1">
      <c r="A63" s="133" t="s">
        <v>175</v>
      </c>
      <c r="B63" s="205">
        <f>SUM(B64:B66)</f>
        <v>12809562</v>
      </c>
      <c r="C63" s="1670" t="s">
        <v>99</v>
      </c>
    </row>
    <row r="64" spans="1:17" s="235" customFormat="1" ht="26.85" customHeight="1">
      <c r="A64" s="455" t="s">
        <v>467</v>
      </c>
      <c r="B64" s="206">
        <v>2561912</v>
      </c>
      <c r="C64" s="1670"/>
    </row>
    <row r="65" spans="1:17" s="235" customFormat="1" ht="28.15" customHeight="1">
      <c r="A65" s="455" t="s">
        <v>466</v>
      </c>
      <c r="B65" s="206">
        <v>8966694</v>
      </c>
      <c r="C65" s="1670"/>
    </row>
    <row r="66" spans="1:17" s="235" customFormat="1" ht="28.9" customHeight="1">
      <c r="A66" s="455" t="s">
        <v>195</v>
      </c>
      <c r="B66" s="206">
        <v>1280956</v>
      </c>
      <c r="C66" s="1670"/>
    </row>
    <row r="67" spans="1:17" s="234" customFormat="1" ht="39" customHeight="1">
      <c r="A67" s="133" t="s">
        <v>468</v>
      </c>
      <c r="B67" s="205">
        <f>SUM(B68:B70)</f>
        <v>13611802</v>
      </c>
      <c r="C67" s="681" t="s">
        <v>99</v>
      </c>
      <c r="D67" s="235"/>
      <c r="E67" s="235"/>
      <c r="F67" s="235"/>
      <c r="G67" s="235"/>
      <c r="H67" s="235"/>
      <c r="I67" s="235"/>
      <c r="J67" s="235"/>
      <c r="K67" s="235"/>
      <c r="L67" s="235"/>
      <c r="M67" s="235"/>
      <c r="N67" s="235"/>
      <c r="O67" s="235"/>
      <c r="P67" s="235"/>
      <c r="Q67" s="235"/>
    </row>
    <row r="68" spans="1:17" s="235" customFormat="1" ht="28.9" customHeight="1">
      <c r="A68" s="455" t="s">
        <v>188</v>
      </c>
      <c r="B68" s="206">
        <v>2722361</v>
      </c>
      <c r="C68" s="681"/>
    </row>
    <row r="69" spans="1:17" s="235" customFormat="1" ht="28.9" customHeight="1">
      <c r="A69" s="455" t="s">
        <v>191</v>
      </c>
      <c r="B69" s="206">
        <v>9528261</v>
      </c>
      <c r="C69" s="681"/>
    </row>
    <row r="70" spans="1:17" s="235" customFormat="1" ht="35.25" customHeight="1" thickBot="1">
      <c r="A70" s="458" t="s">
        <v>187</v>
      </c>
      <c r="B70" s="207">
        <v>1361180</v>
      </c>
      <c r="C70" s="678"/>
    </row>
    <row r="71" spans="1:17" s="235" customFormat="1" ht="42.6" customHeight="1">
      <c r="A71" s="133" t="s">
        <v>186</v>
      </c>
      <c r="B71" s="205">
        <f>SUM(B72:B74)</f>
        <v>1702248</v>
      </c>
      <c r="C71" s="1670" t="s">
        <v>99</v>
      </c>
    </row>
    <row r="72" spans="1:17" s="235" customFormat="1" ht="25.15" customHeight="1">
      <c r="A72" s="455" t="s">
        <v>203</v>
      </c>
      <c r="B72" s="206">
        <v>340450</v>
      </c>
      <c r="C72" s="1670"/>
    </row>
    <row r="73" spans="1:17" s="235" customFormat="1" ht="25.15" customHeight="1">
      <c r="A73" s="455" t="s">
        <v>191</v>
      </c>
      <c r="B73" s="206">
        <v>1191573</v>
      </c>
      <c r="C73" s="1670"/>
    </row>
    <row r="74" spans="1:17" s="235" customFormat="1" ht="25.15" customHeight="1">
      <c r="A74" s="455" t="s">
        <v>187</v>
      </c>
      <c r="B74" s="206">
        <v>170225</v>
      </c>
      <c r="C74" s="1670"/>
    </row>
    <row r="75" spans="1:17" s="235" customFormat="1" ht="42.6" customHeight="1">
      <c r="A75" s="133" t="s">
        <v>184</v>
      </c>
      <c r="B75" s="205">
        <f>SUM(B76:B78)</f>
        <v>1999877</v>
      </c>
      <c r="C75" s="682" t="s">
        <v>99</v>
      </c>
    </row>
    <row r="76" spans="1:17" s="235" customFormat="1" ht="25.15" customHeight="1">
      <c r="A76" s="455" t="s">
        <v>190</v>
      </c>
      <c r="B76" s="206">
        <v>399975</v>
      </c>
      <c r="C76" s="681"/>
    </row>
    <row r="77" spans="1:17" s="235" customFormat="1" ht="25.15" customHeight="1">
      <c r="A77" s="455" t="s">
        <v>189</v>
      </c>
      <c r="B77" s="206">
        <v>1399914</v>
      </c>
      <c r="C77" s="681"/>
    </row>
    <row r="78" spans="1:17" s="235" customFormat="1" ht="25.15" customHeight="1">
      <c r="A78" s="455" t="s">
        <v>187</v>
      </c>
      <c r="B78" s="206">
        <v>199988</v>
      </c>
      <c r="C78" s="681"/>
    </row>
    <row r="79" spans="1:17" s="234" customFormat="1" ht="43.15" customHeight="1">
      <c r="A79" s="133" t="s">
        <v>185</v>
      </c>
      <c r="B79" s="205">
        <f>SUM(B80:B82)</f>
        <v>3550</v>
      </c>
      <c r="C79" s="1670" t="s">
        <v>99</v>
      </c>
      <c r="D79" s="235"/>
      <c r="E79" s="235"/>
      <c r="F79" s="235"/>
      <c r="G79" s="235"/>
      <c r="H79" s="235"/>
      <c r="I79" s="235"/>
      <c r="J79" s="235"/>
      <c r="K79" s="235"/>
      <c r="L79" s="235"/>
      <c r="M79" s="235"/>
      <c r="N79" s="235"/>
      <c r="O79" s="235"/>
      <c r="P79" s="235"/>
      <c r="Q79" s="235"/>
    </row>
    <row r="80" spans="1:17" s="235" customFormat="1" ht="21.6" customHeight="1">
      <c r="A80" s="455" t="s">
        <v>467</v>
      </c>
      <c r="B80" s="206">
        <v>710</v>
      </c>
      <c r="C80" s="1670"/>
    </row>
    <row r="81" spans="1:17" s="235" customFormat="1" ht="23.45" customHeight="1">
      <c r="A81" s="455" t="s">
        <v>204</v>
      </c>
      <c r="B81" s="206">
        <v>2485</v>
      </c>
      <c r="C81" s="1670"/>
    </row>
    <row r="82" spans="1:17" s="235" customFormat="1" ht="24" customHeight="1">
      <c r="A82" s="455" t="s">
        <v>469</v>
      </c>
      <c r="B82" s="206">
        <v>355</v>
      </c>
      <c r="C82" s="1670"/>
    </row>
    <row r="83" spans="1:17" s="234" customFormat="1" ht="39" customHeight="1">
      <c r="A83" s="26" t="s">
        <v>179</v>
      </c>
      <c r="B83" s="205">
        <f>SUM(B84:B86)</f>
        <v>1701183</v>
      </c>
      <c r="C83" s="1670" t="s">
        <v>99</v>
      </c>
      <c r="D83" s="235"/>
      <c r="E83" s="235"/>
      <c r="F83" s="235"/>
      <c r="G83" s="235"/>
      <c r="H83" s="235"/>
      <c r="I83" s="235"/>
      <c r="J83" s="235"/>
      <c r="K83" s="235"/>
      <c r="L83" s="235"/>
      <c r="M83" s="235"/>
      <c r="N83" s="235"/>
      <c r="O83" s="235"/>
      <c r="P83" s="235"/>
      <c r="Q83" s="235"/>
    </row>
    <row r="84" spans="1:17" s="235" customFormat="1" ht="24.6" customHeight="1">
      <c r="A84" s="455" t="s">
        <v>188</v>
      </c>
      <c r="B84" s="206">
        <v>340237</v>
      </c>
      <c r="C84" s="1670"/>
    </row>
    <row r="85" spans="1:17" s="235" customFormat="1" ht="23.45" customHeight="1">
      <c r="A85" s="455" t="s">
        <v>189</v>
      </c>
      <c r="B85" s="206">
        <v>1190828</v>
      </c>
      <c r="C85" s="1670"/>
    </row>
    <row r="86" spans="1:17" s="235" customFormat="1" ht="22.9" customHeight="1">
      <c r="A86" s="455" t="s">
        <v>196</v>
      </c>
      <c r="B86" s="206">
        <v>170118</v>
      </c>
      <c r="C86" s="1670"/>
    </row>
    <row r="87" spans="1:17" s="235" customFormat="1" ht="53.65" customHeight="1">
      <c r="A87" s="26" t="s">
        <v>182</v>
      </c>
      <c r="B87" s="205">
        <f>SUM(B88:B90)</f>
        <v>228642</v>
      </c>
      <c r="C87" s="1674" t="s">
        <v>1319</v>
      </c>
    </row>
    <row r="88" spans="1:17" s="235" customFormat="1" ht="26.25" customHeight="1">
      <c r="A88" s="455" t="s">
        <v>470</v>
      </c>
      <c r="B88" s="206">
        <v>45728</v>
      </c>
      <c r="C88" s="1675"/>
    </row>
    <row r="89" spans="1:17" s="235" customFormat="1" ht="25.5" customHeight="1">
      <c r="A89" s="455" t="s">
        <v>191</v>
      </c>
      <c r="B89" s="206">
        <v>160050</v>
      </c>
      <c r="C89" s="679"/>
    </row>
    <row r="90" spans="1:17" s="235" customFormat="1" ht="27.6" customHeight="1">
      <c r="A90" s="455" t="s">
        <v>187</v>
      </c>
      <c r="B90" s="206">
        <v>22864</v>
      </c>
      <c r="C90" s="1104"/>
    </row>
    <row r="91" spans="1:17" s="234" customFormat="1" ht="46.5" customHeight="1" thickBot="1">
      <c r="A91" s="1244" t="s">
        <v>210</v>
      </c>
      <c r="B91" s="1251">
        <v>24349</v>
      </c>
      <c r="C91" s="1252" t="s">
        <v>1567</v>
      </c>
      <c r="D91" s="235"/>
      <c r="E91" s="235"/>
      <c r="F91" s="235"/>
      <c r="G91" s="235"/>
      <c r="H91" s="235"/>
      <c r="I91" s="235"/>
      <c r="J91" s="235"/>
      <c r="K91" s="235"/>
      <c r="L91" s="235"/>
      <c r="M91" s="235"/>
      <c r="N91" s="235"/>
      <c r="O91" s="235"/>
      <c r="P91" s="235"/>
      <c r="Q91" s="235"/>
    </row>
    <row r="92" spans="1:17" s="234" customFormat="1" ht="2.65" customHeight="1">
      <c r="A92" s="455"/>
      <c r="B92" s="209"/>
      <c r="C92" s="677"/>
      <c r="D92" s="235"/>
      <c r="E92" s="235"/>
      <c r="F92" s="235"/>
      <c r="G92" s="235"/>
      <c r="H92" s="235"/>
      <c r="I92" s="235"/>
      <c r="J92" s="235"/>
      <c r="K92" s="235"/>
      <c r="L92" s="235"/>
      <c r="M92" s="235"/>
      <c r="N92" s="235"/>
      <c r="O92" s="235"/>
      <c r="P92" s="235"/>
      <c r="Q92" s="235"/>
    </row>
    <row r="93" spans="1:17" s="234" customFormat="1" ht="30" customHeight="1">
      <c r="A93" s="1227" t="s">
        <v>549</v>
      </c>
      <c r="B93" s="1250">
        <f>+B94+B99</f>
        <v>5943857</v>
      </c>
      <c r="C93" s="1258"/>
      <c r="D93" s="235"/>
      <c r="E93" s="235"/>
      <c r="F93" s="235"/>
      <c r="G93" s="235"/>
      <c r="H93" s="235"/>
      <c r="I93" s="235"/>
      <c r="J93" s="235"/>
      <c r="K93" s="235"/>
      <c r="L93" s="235"/>
      <c r="M93" s="235"/>
      <c r="N93" s="235"/>
      <c r="O93" s="235"/>
      <c r="P93" s="235"/>
      <c r="Q93" s="235"/>
    </row>
    <row r="94" spans="1:17" s="234" customFormat="1" ht="28.15" customHeight="1">
      <c r="A94" s="1227" t="s">
        <v>550</v>
      </c>
      <c r="B94" s="1250">
        <f>+B95+B98</f>
        <v>5780525</v>
      </c>
      <c r="C94" s="1258"/>
      <c r="D94" s="235"/>
      <c r="E94" s="235"/>
      <c r="F94" s="235"/>
      <c r="G94" s="235"/>
      <c r="H94" s="235"/>
      <c r="I94" s="235"/>
      <c r="J94" s="235"/>
      <c r="K94" s="235"/>
      <c r="L94" s="235"/>
      <c r="M94" s="235"/>
      <c r="N94" s="235"/>
      <c r="O94" s="235"/>
      <c r="P94" s="235"/>
      <c r="Q94" s="235"/>
    </row>
    <row r="95" spans="1:17" s="234" customFormat="1" ht="114" customHeight="1">
      <c r="A95" s="1042" t="s">
        <v>553</v>
      </c>
      <c r="B95" s="1250">
        <f>SUM(B96:B97)</f>
        <v>5774220</v>
      </c>
      <c r="C95" s="1342" t="s">
        <v>1570</v>
      </c>
      <c r="D95" s="235"/>
      <c r="E95" s="235"/>
      <c r="F95" s="235"/>
      <c r="G95" s="235"/>
      <c r="H95" s="235"/>
      <c r="I95" s="235"/>
      <c r="J95" s="235"/>
      <c r="K95" s="235"/>
      <c r="L95" s="235"/>
      <c r="M95" s="235"/>
      <c r="N95" s="235"/>
      <c r="O95" s="235"/>
      <c r="P95" s="235"/>
      <c r="Q95" s="235"/>
    </row>
    <row r="96" spans="1:17" s="235" customFormat="1" ht="24.75" customHeight="1">
      <c r="A96" s="1260" t="s">
        <v>554</v>
      </c>
      <c r="B96" s="1261">
        <v>1732266</v>
      </c>
      <c r="C96" s="1259"/>
    </row>
    <row r="97" spans="1:17" s="235" customFormat="1" ht="25.5" customHeight="1">
      <c r="A97" s="1260" t="s">
        <v>555</v>
      </c>
      <c r="B97" s="1261">
        <v>4041954</v>
      </c>
      <c r="C97" s="1259"/>
    </row>
    <row r="98" spans="1:17" s="234" customFormat="1" ht="36" customHeight="1">
      <c r="A98" s="1227" t="s">
        <v>556</v>
      </c>
      <c r="B98" s="1250">
        <v>6305</v>
      </c>
      <c r="C98" s="1262" t="s">
        <v>1571</v>
      </c>
      <c r="D98" s="235"/>
      <c r="E98" s="235"/>
      <c r="F98" s="235"/>
      <c r="G98" s="235"/>
      <c r="H98" s="235"/>
      <c r="I98" s="235"/>
      <c r="J98" s="235"/>
      <c r="K98" s="235"/>
      <c r="L98" s="235"/>
      <c r="M98" s="235"/>
      <c r="N98" s="235"/>
      <c r="O98" s="235"/>
      <c r="P98" s="235"/>
      <c r="Q98" s="235"/>
    </row>
    <row r="99" spans="1:17" s="1147" customFormat="1" ht="28.9" customHeight="1">
      <c r="A99" s="1227" t="s">
        <v>552</v>
      </c>
      <c r="B99" s="1250">
        <f>SUM(B100)</f>
        <v>163332</v>
      </c>
      <c r="C99" s="1263"/>
      <c r="D99" s="1146"/>
      <c r="E99" s="1146"/>
      <c r="F99" s="1146"/>
      <c r="G99" s="1146"/>
      <c r="H99" s="1146"/>
      <c r="I99" s="1146"/>
      <c r="J99" s="1146"/>
      <c r="K99" s="1146"/>
      <c r="L99" s="1146"/>
      <c r="M99" s="1146"/>
      <c r="N99" s="1146"/>
      <c r="O99" s="1146"/>
      <c r="P99" s="1146"/>
      <c r="Q99" s="1146"/>
    </row>
    <row r="100" spans="1:17" s="1147" customFormat="1" ht="104.25" customHeight="1">
      <c r="A100" s="1042" t="s">
        <v>551</v>
      </c>
      <c r="B100" s="1250">
        <f>SUM(B101:B102)</f>
        <v>163332</v>
      </c>
      <c r="C100" s="1343" t="s">
        <v>1569</v>
      </c>
      <c r="D100" s="1146"/>
      <c r="E100" s="1146"/>
      <c r="F100" s="1146"/>
      <c r="G100" s="1146"/>
      <c r="H100" s="1146"/>
      <c r="I100" s="1146"/>
      <c r="J100" s="1146"/>
      <c r="K100" s="1146"/>
      <c r="L100" s="1146"/>
      <c r="M100" s="1146"/>
      <c r="N100" s="1146"/>
      <c r="O100" s="1146"/>
      <c r="P100" s="1146"/>
      <c r="Q100" s="1146"/>
    </row>
    <row r="101" spans="1:17" s="1146" customFormat="1" ht="27.75" customHeight="1">
      <c r="A101" s="1265" t="s">
        <v>554</v>
      </c>
      <c r="B101" s="1266">
        <v>96324</v>
      </c>
      <c r="C101" s="1264"/>
    </row>
    <row r="102" spans="1:17" s="1146" customFormat="1" ht="27.6" customHeight="1">
      <c r="A102" s="1265" t="s">
        <v>555</v>
      </c>
      <c r="B102" s="1266">
        <v>67008</v>
      </c>
      <c r="C102" s="1264"/>
    </row>
    <row r="103" spans="1:17" s="235" customFormat="1" ht="11.1" customHeight="1">
      <c r="A103" s="455"/>
      <c r="B103" s="208"/>
      <c r="C103" s="793"/>
    </row>
    <row r="104" spans="1:17" s="233" customFormat="1" ht="26.45" customHeight="1">
      <c r="A104" s="1037" t="s">
        <v>761</v>
      </c>
      <c r="B104" s="205">
        <f>SUM(B105,B137)</f>
        <v>10194366</v>
      </c>
      <c r="C104" s="1063"/>
    </row>
    <row r="105" spans="1:17" s="233" customFormat="1" ht="26.45" customHeight="1">
      <c r="A105" s="1038" t="s">
        <v>174</v>
      </c>
      <c r="B105" s="209">
        <f>SUM(B106,B108,B110,B112,B116,B121,B118,B124,B114,B128,B133,B135,B126,B131)</f>
        <v>10179850</v>
      </c>
      <c r="C105" s="1055"/>
      <c r="D105" s="1058"/>
      <c r="E105" s="1058"/>
      <c r="F105" s="1059">
        <f>D105+E105</f>
        <v>0</v>
      </c>
    </row>
    <row r="106" spans="1:17" s="234" customFormat="1" ht="43.15" customHeight="1">
      <c r="A106" s="133" t="s">
        <v>175</v>
      </c>
      <c r="B106" s="209">
        <f>B107</f>
        <v>4034020</v>
      </c>
      <c r="C106" s="1671" t="s">
        <v>867</v>
      </c>
    </row>
    <row r="107" spans="1:17" s="235" customFormat="1" ht="23.45" customHeight="1">
      <c r="A107" s="455" t="s">
        <v>189</v>
      </c>
      <c r="B107" s="208">
        <v>4034020</v>
      </c>
      <c r="C107" s="1670"/>
    </row>
    <row r="108" spans="1:17" s="234" customFormat="1" ht="30.75" customHeight="1">
      <c r="A108" s="133" t="s">
        <v>176</v>
      </c>
      <c r="B108" s="209">
        <f>B109</f>
        <v>3119129</v>
      </c>
      <c r="C108" s="1060" t="s">
        <v>867</v>
      </c>
      <c r="D108" s="235"/>
      <c r="E108" s="235"/>
      <c r="F108" s="235"/>
      <c r="G108" s="235"/>
      <c r="H108" s="235"/>
      <c r="I108" s="235"/>
      <c r="J108" s="235"/>
      <c r="K108" s="235"/>
      <c r="L108" s="235"/>
      <c r="M108" s="235"/>
      <c r="N108" s="235"/>
      <c r="O108" s="235"/>
      <c r="P108" s="235"/>
      <c r="Q108" s="235"/>
    </row>
    <row r="109" spans="1:17" s="235" customFormat="1" ht="30" customHeight="1" thickBot="1">
      <c r="A109" s="458" t="s">
        <v>189</v>
      </c>
      <c r="B109" s="845">
        <v>3119129</v>
      </c>
      <c r="C109" s="1213"/>
    </row>
    <row r="110" spans="1:17" s="235" customFormat="1" ht="43.9" customHeight="1">
      <c r="A110" s="133" t="s">
        <v>183</v>
      </c>
      <c r="B110" s="209">
        <f>B111</f>
        <v>267479</v>
      </c>
      <c r="C110" s="1060" t="s">
        <v>867</v>
      </c>
    </row>
    <row r="111" spans="1:17" s="235" customFormat="1" ht="45.75" customHeight="1">
      <c r="A111" s="455" t="s">
        <v>191</v>
      </c>
      <c r="B111" s="208">
        <v>267479</v>
      </c>
      <c r="C111" s="1061"/>
    </row>
    <row r="112" spans="1:17" s="235" customFormat="1" ht="43.9" customHeight="1">
      <c r="A112" s="133" t="s">
        <v>193</v>
      </c>
      <c r="B112" s="209">
        <f>B113</f>
        <v>343943</v>
      </c>
      <c r="C112" s="1060" t="s">
        <v>867</v>
      </c>
    </row>
    <row r="113" spans="1:17" s="235" customFormat="1" ht="21.6" customHeight="1">
      <c r="A113" s="455" t="s">
        <v>189</v>
      </c>
      <c r="B113" s="208">
        <v>343943</v>
      </c>
      <c r="C113" s="1061"/>
    </row>
    <row r="114" spans="1:17" s="234" customFormat="1" ht="54" customHeight="1">
      <c r="A114" s="133" t="s">
        <v>185</v>
      </c>
      <c r="B114" s="209">
        <f>B115</f>
        <v>6456</v>
      </c>
      <c r="C114" s="1063" t="s">
        <v>867</v>
      </c>
      <c r="D114" s="235"/>
      <c r="E114" s="235"/>
      <c r="F114" s="235"/>
      <c r="G114" s="235"/>
      <c r="H114" s="235"/>
      <c r="I114" s="235"/>
      <c r="J114" s="235"/>
      <c r="K114" s="235"/>
      <c r="L114" s="235"/>
      <c r="M114" s="235"/>
      <c r="N114" s="235"/>
      <c r="O114" s="235"/>
      <c r="P114" s="235"/>
      <c r="Q114" s="235"/>
    </row>
    <row r="115" spans="1:17" s="235" customFormat="1" ht="25.15" customHeight="1">
      <c r="A115" s="455" t="s">
        <v>191</v>
      </c>
      <c r="B115" s="208">
        <v>6456</v>
      </c>
      <c r="C115" s="1055"/>
    </row>
    <row r="116" spans="1:17" s="234" customFormat="1" ht="48.4" customHeight="1">
      <c r="A116" s="133" t="s">
        <v>465</v>
      </c>
      <c r="B116" s="209">
        <f>B117</f>
        <v>6676</v>
      </c>
      <c r="C116" s="1064" t="s">
        <v>871</v>
      </c>
      <c r="D116" s="235"/>
      <c r="E116" s="235"/>
      <c r="F116" s="235"/>
      <c r="G116" s="235"/>
      <c r="H116" s="235"/>
      <c r="I116" s="235"/>
      <c r="J116" s="235"/>
      <c r="K116" s="235"/>
      <c r="L116" s="235"/>
      <c r="M116" s="235"/>
      <c r="N116" s="235"/>
      <c r="O116" s="235"/>
      <c r="P116" s="235"/>
      <c r="Q116" s="235"/>
    </row>
    <row r="117" spans="1:17" s="235" customFormat="1" ht="26.1" customHeight="1">
      <c r="A117" s="455" t="s">
        <v>466</v>
      </c>
      <c r="B117" s="208">
        <v>6676</v>
      </c>
      <c r="C117" s="679"/>
    </row>
    <row r="118" spans="1:17" s="234" customFormat="1" ht="38.1" customHeight="1">
      <c r="A118" s="26" t="s">
        <v>178</v>
      </c>
      <c r="B118" s="209">
        <f>B119+B120</f>
        <v>1847743</v>
      </c>
      <c r="C118" s="1672" t="s">
        <v>1170</v>
      </c>
      <c r="D118" s="235"/>
      <c r="E118" s="235"/>
      <c r="F118" s="235"/>
      <c r="G118" s="235"/>
      <c r="H118" s="235"/>
      <c r="I118" s="235"/>
      <c r="J118" s="235"/>
      <c r="K118" s="235"/>
      <c r="L118" s="235"/>
      <c r="M118" s="235"/>
      <c r="N118" s="235"/>
      <c r="O118" s="235"/>
      <c r="P118" s="235"/>
      <c r="Q118" s="235"/>
    </row>
    <row r="119" spans="1:17" s="235" customFormat="1" ht="26.1" customHeight="1">
      <c r="A119" s="455" t="s">
        <v>197</v>
      </c>
      <c r="B119" s="208">
        <v>1108646</v>
      </c>
      <c r="C119" s="1670"/>
    </row>
    <row r="120" spans="1:17" s="235" customFormat="1" ht="31.5" customHeight="1">
      <c r="A120" s="455" t="s">
        <v>196</v>
      </c>
      <c r="B120" s="208">
        <v>739097</v>
      </c>
      <c r="C120" s="1670"/>
    </row>
    <row r="121" spans="1:17" s="234" customFormat="1" ht="38.1" customHeight="1">
      <c r="A121" s="26" t="s">
        <v>177</v>
      </c>
      <c r="B121" s="209">
        <f>B122+B123</f>
        <v>167844</v>
      </c>
      <c r="C121" s="1670" t="s">
        <v>870</v>
      </c>
      <c r="D121" s="235"/>
      <c r="E121" s="235"/>
      <c r="F121" s="235"/>
      <c r="G121" s="235"/>
      <c r="H121" s="235"/>
      <c r="I121" s="235"/>
      <c r="J121" s="235"/>
      <c r="K121" s="235"/>
      <c r="L121" s="235"/>
      <c r="M121" s="235"/>
      <c r="N121" s="235"/>
      <c r="O121" s="235"/>
      <c r="P121" s="235"/>
      <c r="Q121" s="235"/>
    </row>
    <row r="122" spans="1:17" s="235" customFormat="1" ht="26.1" customHeight="1">
      <c r="A122" s="455" t="s">
        <v>190</v>
      </c>
      <c r="B122" s="208">
        <v>33569</v>
      </c>
      <c r="C122" s="1670"/>
    </row>
    <row r="123" spans="1:17" s="235" customFormat="1" ht="33.4" customHeight="1">
      <c r="A123" s="455" t="s">
        <v>196</v>
      </c>
      <c r="B123" s="208">
        <v>134275</v>
      </c>
      <c r="C123" s="1670"/>
    </row>
    <row r="124" spans="1:17" s="234" customFormat="1" ht="42" customHeight="1">
      <c r="A124" s="26" t="s">
        <v>179</v>
      </c>
      <c r="B124" s="209">
        <f>B125</f>
        <v>271607</v>
      </c>
      <c r="C124" s="1060" t="s">
        <v>867</v>
      </c>
      <c r="D124" s="235"/>
      <c r="E124" s="235"/>
      <c r="F124" s="235"/>
      <c r="G124" s="235"/>
      <c r="H124" s="235"/>
      <c r="I124" s="235"/>
      <c r="J124" s="235"/>
      <c r="K124" s="235"/>
      <c r="L124" s="235"/>
      <c r="M124" s="235"/>
      <c r="N124" s="235"/>
      <c r="O124" s="235"/>
      <c r="P124" s="235"/>
      <c r="Q124" s="235"/>
    </row>
    <row r="125" spans="1:17" s="235" customFormat="1" ht="26.1" customHeight="1">
      <c r="A125" s="455" t="s">
        <v>191</v>
      </c>
      <c r="B125" s="208">
        <v>271607</v>
      </c>
      <c r="C125" s="1061"/>
    </row>
    <row r="126" spans="1:17" s="234" customFormat="1" ht="42" customHeight="1">
      <c r="A126" s="133" t="s">
        <v>869</v>
      </c>
      <c r="B126" s="209">
        <f>B127</f>
        <v>104587</v>
      </c>
      <c r="C126" s="1060" t="s">
        <v>867</v>
      </c>
      <c r="D126" s="235"/>
      <c r="E126" s="235"/>
      <c r="F126" s="235"/>
      <c r="G126" s="235"/>
      <c r="H126" s="235"/>
      <c r="I126" s="235"/>
      <c r="J126" s="235"/>
      <c r="K126" s="235"/>
      <c r="L126" s="235"/>
      <c r="M126" s="235"/>
      <c r="N126" s="235"/>
      <c r="O126" s="235"/>
      <c r="P126" s="235"/>
      <c r="Q126" s="235"/>
    </row>
    <row r="127" spans="1:17" s="235" customFormat="1" ht="28.5" customHeight="1" thickBot="1">
      <c r="A127" s="458" t="s">
        <v>191</v>
      </c>
      <c r="B127" s="845">
        <v>104587</v>
      </c>
      <c r="C127" s="1213"/>
    </row>
    <row r="128" spans="1:17" s="234" customFormat="1" ht="30" customHeight="1">
      <c r="A128" s="26" t="s">
        <v>181</v>
      </c>
      <c r="B128" s="209">
        <f>B129+B130</f>
        <v>6267</v>
      </c>
      <c r="C128" s="681" t="s">
        <v>873</v>
      </c>
      <c r="D128" s="235"/>
      <c r="E128" s="235"/>
      <c r="F128" s="235"/>
      <c r="G128" s="235"/>
      <c r="H128" s="235"/>
      <c r="I128" s="235"/>
      <c r="J128" s="235"/>
      <c r="K128" s="235"/>
      <c r="L128" s="235"/>
      <c r="M128" s="235"/>
      <c r="N128" s="235"/>
      <c r="O128" s="235"/>
      <c r="P128" s="235"/>
      <c r="Q128" s="235"/>
    </row>
    <row r="129" spans="1:17" s="235" customFormat="1" ht="26.25" customHeight="1">
      <c r="A129" s="455" t="s">
        <v>201</v>
      </c>
      <c r="B129" s="208">
        <v>5014</v>
      </c>
      <c r="C129" s="679"/>
    </row>
    <row r="130" spans="1:17" s="235" customFormat="1" ht="29.25" customHeight="1">
      <c r="A130" s="455" t="s">
        <v>187</v>
      </c>
      <c r="B130" s="208">
        <v>1253</v>
      </c>
      <c r="C130" s="679"/>
    </row>
    <row r="131" spans="1:17" s="234" customFormat="1" ht="60.2" customHeight="1">
      <c r="A131" s="133" t="s">
        <v>872</v>
      </c>
      <c r="B131" s="209">
        <f>B132</f>
        <v>138</v>
      </c>
      <c r="C131" s="1064" t="s">
        <v>871</v>
      </c>
      <c r="D131" s="235"/>
      <c r="E131" s="235"/>
      <c r="F131" s="235"/>
      <c r="G131" s="235"/>
      <c r="H131" s="235"/>
      <c r="I131" s="235"/>
      <c r="J131" s="235"/>
      <c r="K131" s="235"/>
      <c r="L131" s="235"/>
      <c r="M131" s="235"/>
      <c r="N131" s="235"/>
      <c r="O131" s="235"/>
      <c r="P131" s="235"/>
      <c r="Q131" s="235"/>
    </row>
    <row r="132" spans="1:17" s="235" customFormat="1" ht="26.1" customHeight="1">
      <c r="A132" s="455" t="s">
        <v>466</v>
      </c>
      <c r="B132" s="208">
        <v>138</v>
      </c>
      <c r="C132" s="679"/>
    </row>
    <row r="133" spans="1:17" s="234" customFormat="1" ht="30.75" customHeight="1">
      <c r="A133" s="26" t="s">
        <v>868</v>
      </c>
      <c r="B133" s="209">
        <f>B134</f>
        <v>3961</v>
      </c>
      <c r="C133" s="1060" t="s">
        <v>867</v>
      </c>
      <c r="D133" s="235"/>
      <c r="E133" s="235"/>
      <c r="F133" s="235"/>
      <c r="G133" s="235"/>
      <c r="H133" s="235"/>
      <c r="I133" s="235"/>
      <c r="J133" s="235"/>
      <c r="K133" s="235"/>
      <c r="L133" s="235"/>
      <c r="M133" s="235"/>
      <c r="N133" s="235"/>
      <c r="O133" s="235"/>
      <c r="P133" s="235"/>
      <c r="Q133" s="235"/>
    </row>
    <row r="134" spans="1:17" s="235" customFormat="1" ht="24.95" customHeight="1">
      <c r="A134" s="455" t="s">
        <v>191</v>
      </c>
      <c r="B134" s="208">
        <v>3961</v>
      </c>
      <c r="C134" s="1062"/>
    </row>
    <row r="135" spans="1:17" s="234" customFormat="1" ht="64.150000000000006" hidden="1" customHeight="1">
      <c r="A135" s="133" t="s">
        <v>776</v>
      </c>
      <c r="B135" s="209">
        <f>SUM(B136)</f>
        <v>0</v>
      </c>
      <c r="C135" s="1671" t="s">
        <v>874</v>
      </c>
      <c r="D135" s="235"/>
      <c r="E135" s="235"/>
      <c r="F135" s="235"/>
      <c r="G135" s="235"/>
      <c r="H135" s="235"/>
      <c r="I135" s="235"/>
      <c r="J135" s="235"/>
      <c r="K135" s="235"/>
      <c r="L135" s="235"/>
      <c r="M135" s="235"/>
      <c r="N135" s="235"/>
      <c r="O135" s="235"/>
      <c r="P135" s="235"/>
      <c r="Q135" s="235"/>
    </row>
    <row r="136" spans="1:17" s="234" customFormat="1" ht="24.95" hidden="1" customHeight="1">
      <c r="A136" s="455" t="s">
        <v>191</v>
      </c>
      <c r="B136" s="208"/>
      <c r="C136" s="1670"/>
      <c r="D136" s="235"/>
      <c r="E136" s="235"/>
      <c r="F136" s="235"/>
      <c r="G136" s="235"/>
      <c r="H136" s="235"/>
      <c r="I136" s="235"/>
      <c r="J136" s="235"/>
      <c r="K136" s="235"/>
      <c r="L136" s="235"/>
      <c r="M136" s="235"/>
      <c r="N136" s="235"/>
      <c r="O136" s="235"/>
      <c r="P136" s="235"/>
      <c r="Q136" s="235"/>
    </row>
    <row r="137" spans="1:17" s="234" customFormat="1" ht="54.95" customHeight="1">
      <c r="A137" s="1037" t="s">
        <v>211</v>
      </c>
      <c r="B137" s="1250">
        <v>14516</v>
      </c>
      <c r="C137" s="1249" t="s">
        <v>1362</v>
      </c>
      <c r="D137" s="235"/>
      <c r="E137" s="235"/>
      <c r="F137" s="235"/>
      <c r="G137" s="235"/>
      <c r="H137" s="235"/>
      <c r="I137" s="235"/>
      <c r="J137" s="235"/>
      <c r="K137" s="235"/>
      <c r="L137" s="235"/>
      <c r="M137" s="235"/>
      <c r="N137" s="235"/>
      <c r="O137" s="235"/>
      <c r="P137" s="235"/>
      <c r="Q137" s="235"/>
    </row>
    <row r="138" spans="1:17" s="234" customFormat="1" ht="52.15" customHeight="1">
      <c r="A138" s="1037"/>
      <c r="B138" s="205"/>
      <c r="C138" s="680"/>
      <c r="D138" s="235"/>
      <c r="E138" s="235"/>
      <c r="F138" s="235"/>
      <c r="G138" s="235"/>
      <c r="H138" s="235"/>
      <c r="I138" s="235"/>
      <c r="J138" s="235"/>
      <c r="K138" s="235"/>
      <c r="L138" s="235"/>
      <c r="M138" s="235"/>
      <c r="N138" s="235"/>
      <c r="O138" s="235"/>
      <c r="P138" s="235"/>
      <c r="Q138" s="235"/>
    </row>
    <row r="139" spans="1:17" s="235" customFormat="1" ht="43.9" customHeight="1">
      <c r="A139" s="455"/>
      <c r="B139" s="208"/>
      <c r="C139" s="793"/>
    </row>
    <row r="140" spans="1:17" s="235" customFormat="1" ht="65.45" customHeight="1">
      <c r="A140" s="455"/>
      <c r="B140" s="208"/>
      <c r="C140" s="793"/>
    </row>
    <row r="141" spans="1:17" s="235" customFormat="1" ht="46.5" customHeight="1">
      <c r="A141" s="455"/>
      <c r="B141" s="208"/>
      <c r="C141" s="793"/>
    </row>
    <row r="142" spans="1:17" s="235" customFormat="1" ht="30.75" customHeight="1">
      <c r="A142" s="455"/>
      <c r="B142" s="208"/>
      <c r="C142" s="1106"/>
    </row>
    <row r="143" spans="1:17" s="235" customFormat="1" ht="39" hidden="1" customHeight="1">
      <c r="A143" s="455"/>
      <c r="B143" s="208"/>
      <c r="C143" s="1106"/>
    </row>
    <row r="144" spans="1:17" s="235" customFormat="1" ht="18.75" customHeight="1">
      <c r="A144" s="455"/>
      <c r="B144" s="208"/>
      <c r="C144" s="1106"/>
    </row>
    <row r="145" spans="1:17" s="235" customFormat="1" ht="46.5" customHeight="1">
      <c r="A145" s="455"/>
      <c r="B145" s="208"/>
      <c r="C145" s="793"/>
    </row>
    <row r="146" spans="1:17" s="234" customFormat="1" ht="53.65" customHeight="1" thickBot="1">
      <c r="A146" s="453"/>
      <c r="B146" s="210"/>
      <c r="C146" s="792"/>
      <c r="D146" s="235"/>
      <c r="E146" s="235"/>
      <c r="F146" s="235"/>
      <c r="G146" s="235"/>
      <c r="H146" s="235"/>
      <c r="I146" s="235"/>
      <c r="J146" s="235"/>
      <c r="K146" s="235"/>
      <c r="L146" s="235"/>
      <c r="M146" s="235"/>
      <c r="N146" s="235"/>
      <c r="O146" s="235"/>
      <c r="P146" s="235"/>
      <c r="Q146" s="235"/>
    </row>
    <row r="147" spans="1:17" ht="24.75" customHeight="1">
      <c r="B147" s="213"/>
    </row>
    <row r="148" spans="1:17" ht="24.75" customHeight="1"/>
    <row r="149" spans="1:17">
      <c r="A149" s="411"/>
    </row>
    <row r="173" ht="27.95" customHeight="1"/>
    <row r="174" ht="47.25" customHeight="1"/>
    <row r="175" ht="27" customHeight="1"/>
    <row r="177" ht="30.75" customHeight="1"/>
  </sheetData>
  <mergeCells count="26">
    <mergeCell ref="C83:C86"/>
    <mergeCell ref="C79:C82"/>
    <mergeCell ref="C87:C88"/>
    <mergeCell ref="A1:C1"/>
    <mergeCell ref="A2:C2"/>
    <mergeCell ref="A3:C3"/>
    <mergeCell ref="A4:C4"/>
    <mergeCell ref="A5:A7"/>
    <mergeCell ref="B5:B7"/>
    <mergeCell ref="C5:C7"/>
    <mergeCell ref="C121:C123"/>
    <mergeCell ref="C135:C136"/>
    <mergeCell ref="C106:C107"/>
    <mergeCell ref="C118:C120"/>
    <mergeCell ref="C12:C15"/>
    <mergeCell ref="C16:C19"/>
    <mergeCell ref="C20:C23"/>
    <mergeCell ref="C24:C27"/>
    <mergeCell ref="C39:C41"/>
    <mergeCell ref="C36:C38"/>
    <mergeCell ref="C42:C45"/>
    <mergeCell ref="C46:C48"/>
    <mergeCell ref="C52:C54"/>
    <mergeCell ref="C55:C57"/>
    <mergeCell ref="C63:C66"/>
    <mergeCell ref="C71:C74"/>
  </mergeCells>
  <phoneticPr fontId="6" type="noConversion"/>
  <printOptions horizontalCentered="1"/>
  <pageMargins left="0.59055118110236227" right="0.59055118110236227" top="0.59055118110236227" bottom="0.78740157480314965" header="0.51181102362204722" footer="0.51181102362204722"/>
  <pageSetup paperSize="9" firstPageNumber="68" orientation="portrait" useFirstPageNumber="1" r:id="rId1"/>
  <headerFooter alignWithMargins="0">
    <oddFooter>&amp;C&amp;"Times New Roman,標準"&amp;P</oddFooter>
  </headerFooter>
  <rowBreaks count="3" manualBreakCount="3">
    <brk id="29" max="2" man="1"/>
    <brk id="49" max="2" man="1"/>
    <brk id="91" max="2" man="1"/>
  </row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A1:H116"/>
  <sheetViews>
    <sheetView showGridLines="0" view="pageBreakPreview" zoomScale="120" zoomScaleSheetLayoutView="120" workbookViewId="0">
      <selection activeCell="G28" sqref="G28"/>
    </sheetView>
  </sheetViews>
  <sheetFormatPr defaultColWidth="12" defaultRowHeight="20.25"/>
  <cols>
    <col min="1" max="1" width="33.875" style="417" customWidth="1"/>
    <col min="2" max="2" width="10" style="417" customWidth="1"/>
    <col min="3" max="3" width="11.375" style="417" customWidth="1"/>
    <col min="4" max="4" width="12.5" style="417" customWidth="1"/>
    <col min="5" max="5" width="2.375" style="417" customWidth="1"/>
    <col min="6" max="6" width="20.125" style="417" customWidth="1"/>
    <col min="7" max="7" width="12" style="417"/>
    <col min="8" max="8" width="12.875" style="417" hidden="1" customWidth="1"/>
    <col min="9" max="16384" width="12" style="417"/>
  </cols>
  <sheetData>
    <row r="1" spans="1:8" s="2" customFormat="1" ht="21">
      <c r="A1" s="1369" t="s">
        <v>40</v>
      </c>
      <c r="B1" s="1369"/>
      <c r="C1" s="1369"/>
      <c r="D1" s="1369"/>
      <c r="E1" s="1369"/>
      <c r="F1" s="1369"/>
    </row>
    <row r="2" spans="1:8" s="2" customFormat="1" ht="21">
      <c r="A2" s="1369" t="s">
        <v>41</v>
      </c>
      <c r="B2" s="1369"/>
      <c r="C2" s="1369"/>
      <c r="D2" s="1369"/>
      <c r="E2" s="1369"/>
      <c r="F2" s="1369"/>
    </row>
    <row r="3" spans="1:8" s="2" customFormat="1" ht="24.75" customHeight="1">
      <c r="A3" s="1370" t="s">
        <v>1148</v>
      </c>
      <c r="B3" s="1371"/>
      <c r="C3" s="1371"/>
      <c r="D3" s="1371"/>
      <c r="E3" s="1371"/>
      <c r="F3" s="1371"/>
    </row>
    <row r="4" spans="1:8" s="2" customFormat="1" ht="24.75" customHeight="1" thickBot="1">
      <c r="A4" s="1389" t="s">
        <v>1303</v>
      </c>
      <c r="B4" s="1390"/>
      <c r="C4" s="1390"/>
      <c r="D4" s="1390"/>
      <c r="E4" s="1390"/>
      <c r="F4" s="1390"/>
    </row>
    <row r="5" spans="1:8" s="415" customFormat="1" ht="52.5" customHeight="1">
      <c r="A5" s="717" t="s">
        <v>100</v>
      </c>
      <c r="B5" s="412" t="s">
        <v>101</v>
      </c>
      <c r="C5" s="413" t="s">
        <v>102</v>
      </c>
      <c r="D5" s="414" t="s">
        <v>103</v>
      </c>
      <c r="E5" s="1687" t="s">
        <v>104</v>
      </c>
      <c r="F5" s="1688"/>
    </row>
    <row r="6" spans="1:8" s="416" customFormat="1" ht="6.6" customHeight="1">
      <c r="A6" s="718"/>
      <c r="B6" s="266"/>
      <c r="C6" s="267"/>
      <c r="D6" s="267"/>
      <c r="E6" s="267"/>
      <c r="F6" s="955"/>
    </row>
    <row r="7" spans="1:8" s="270" customFormat="1" ht="32.85" customHeight="1">
      <c r="A7" s="719" t="s">
        <v>489</v>
      </c>
      <c r="B7" s="268"/>
      <c r="C7" s="269"/>
      <c r="D7" s="343">
        <f>D8+D29+D37+D46+D56</f>
        <v>586951800</v>
      </c>
      <c r="E7" s="343"/>
      <c r="F7" s="956"/>
    </row>
    <row r="8" spans="1:8" s="30" customFormat="1" ht="38.1" customHeight="1">
      <c r="A8" s="720" t="s">
        <v>708</v>
      </c>
      <c r="B8" s="114"/>
      <c r="C8" s="211"/>
      <c r="D8" s="211">
        <f>D10</f>
        <v>543211117</v>
      </c>
      <c r="E8" s="1679" t="s">
        <v>1328</v>
      </c>
      <c r="F8" s="1680"/>
    </row>
    <row r="9" spans="1:8" s="710" customFormat="1" ht="3.95" customHeight="1">
      <c r="A9" s="721"/>
      <c r="B9" s="862"/>
      <c r="C9" s="864"/>
      <c r="D9" s="864"/>
      <c r="E9" s="864"/>
      <c r="F9" s="957"/>
    </row>
    <row r="10" spans="1:8" s="30" customFormat="1" ht="33.4" customHeight="1">
      <c r="A10" s="1155" t="s">
        <v>1182</v>
      </c>
      <c r="B10" s="114"/>
      <c r="C10" s="211"/>
      <c r="D10" s="211">
        <f>SUM(D11,D12,D13,D17,D18,D23)</f>
        <v>543211117</v>
      </c>
      <c r="E10" s="1683"/>
      <c r="F10" s="1684"/>
    </row>
    <row r="11" spans="1:8" s="710" customFormat="1" ht="30" customHeight="1">
      <c r="A11" s="1132" t="s">
        <v>1183</v>
      </c>
      <c r="B11" s="862">
        <v>113000</v>
      </c>
      <c r="C11" s="864">
        <v>69000</v>
      </c>
      <c r="D11" s="864">
        <v>7797000</v>
      </c>
      <c r="E11" s="1685" t="s">
        <v>1330</v>
      </c>
      <c r="F11" s="1686"/>
      <c r="H11" s="871">
        <f>B11*C11/1000-D11</f>
        <v>0</v>
      </c>
    </row>
    <row r="12" spans="1:8" s="710" customFormat="1" ht="30" customHeight="1">
      <c r="A12" s="1132" t="s">
        <v>1184</v>
      </c>
      <c r="B12" s="862">
        <v>128361</v>
      </c>
      <c r="C12" s="864">
        <v>8375</v>
      </c>
      <c r="D12" s="864">
        <v>1075023</v>
      </c>
      <c r="E12" s="1685" t="s">
        <v>1320</v>
      </c>
      <c r="F12" s="1686"/>
      <c r="H12" s="871">
        <f>B12*C12/1000-D12</f>
        <v>0.375</v>
      </c>
    </row>
    <row r="13" spans="1:8" s="710" customFormat="1" ht="30" customHeight="1">
      <c r="A13" s="1132" t="s">
        <v>1185</v>
      </c>
      <c r="B13" s="862"/>
      <c r="C13" s="864"/>
      <c r="D13" s="864">
        <f>SUM(D14:D16)</f>
        <v>5323617</v>
      </c>
      <c r="E13" s="864"/>
      <c r="F13" s="1087"/>
      <c r="H13" s="870"/>
    </row>
    <row r="14" spans="1:8" s="710" customFormat="1" ht="30" customHeight="1">
      <c r="A14" s="1133" t="s">
        <v>1186</v>
      </c>
      <c r="B14" s="862">
        <v>19488</v>
      </c>
      <c r="C14" s="864">
        <v>235599</v>
      </c>
      <c r="D14" s="864">
        <v>4591353</v>
      </c>
      <c r="E14" s="1685" t="s">
        <v>1321</v>
      </c>
      <c r="F14" s="1686"/>
      <c r="H14" s="871">
        <f>B14*C14/1000-D14</f>
        <v>0.31199999991804361</v>
      </c>
    </row>
    <row r="15" spans="1:8" s="710" customFormat="1" ht="30" customHeight="1">
      <c r="A15" s="1133" t="s">
        <v>1187</v>
      </c>
      <c r="B15" s="862">
        <v>74</v>
      </c>
      <c r="C15" s="864">
        <v>681004</v>
      </c>
      <c r="D15" s="864">
        <v>50394</v>
      </c>
      <c r="E15" s="864"/>
      <c r="F15" s="957"/>
      <c r="H15" s="871">
        <f>B15*C15/1000-D15</f>
        <v>0.29600000000209548</v>
      </c>
    </row>
    <row r="16" spans="1:8" s="710" customFormat="1" ht="30" customHeight="1">
      <c r="A16" s="1133" t="s">
        <v>1188</v>
      </c>
      <c r="B16" s="862">
        <v>5747</v>
      </c>
      <c r="C16" s="864">
        <v>118648</v>
      </c>
      <c r="D16" s="864">
        <v>681870</v>
      </c>
      <c r="E16" s="864"/>
      <c r="F16" s="1110"/>
      <c r="H16" s="871">
        <f>B16*C16/1000-D16</f>
        <v>5.5999999982304871E-2</v>
      </c>
    </row>
    <row r="17" spans="1:8" s="710" customFormat="1" ht="30" customHeight="1">
      <c r="A17" s="1132" t="s">
        <v>1189</v>
      </c>
      <c r="B17" s="862">
        <v>192</v>
      </c>
      <c r="C17" s="864">
        <v>3119</v>
      </c>
      <c r="D17" s="864">
        <v>599</v>
      </c>
      <c r="E17" s="1683" t="s">
        <v>1322</v>
      </c>
      <c r="F17" s="1684"/>
      <c r="H17" s="871">
        <f>B17*C17/1000-D17</f>
        <v>-0.15200000000004366</v>
      </c>
    </row>
    <row r="18" spans="1:8" s="710" customFormat="1" ht="30" customHeight="1">
      <c r="A18" s="1132" t="s">
        <v>1190</v>
      </c>
      <c r="B18" s="862"/>
      <c r="C18" s="864"/>
      <c r="D18" s="864">
        <f>SUM(D19:D22)</f>
        <v>490815267</v>
      </c>
      <c r="E18" s="864"/>
      <c r="F18" s="1107"/>
      <c r="H18" s="870"/>
    </row>
    <row r="19" spans="1:8" s="710" customFormat="1" ht="30" customHeight="1">
      <c r="A19" s="1134" t="s">
        <v>1171</v>
      </c>
      <c r="B19" s="862">
        <v>65600</v>
      </c>
      <c r="C19" s="864">
        <v>1359000</v>
      </c>
      <c r="D19" s="864">
        <v>89150400</v>
      </c>
      <c r="E19" s="1685" t="s">
        <v>1325</v>
      </c>
      <c r="F19" s="1686"/>
      <c r="H19" s="871">
        <f>B19*C19/1000-D19</f>
        <v>0</v>
      </c>
    </row>
    <row r="20" spans="1:8" s="710" customFormat="1" ht="30" customHeight="1">
      <c r="A20" s="1134" t="s">
        <v>1172</v>
      </c>
      <c r="B20" s="862">
        <v>20000</v>
      </c>
      <c r="C20" s="864">
        <v>97000</v>
      </c>
      <c r="D20" s="864">
        <v>1940000</v>
      </c>
      <c r="E20" s="1685" t="s">
        <v>1331</v>
      </c>
      <c r="F20" s="1686"/>
      <c r="H20" s="871">
        <f>B20*C20/1000-D20</f>
        <v>0</v>
      </c>
    </row>
    <row r="21" spans="1:8" s="710" customFormat="1" ht="30" customHeight="1">
      <c r="A21" s="1133" t="s">
        <v>1191</v>
      </c>
      <c r="B21" s="862">
        <v>5300</v>
      </c>
      <c r="C21" s="864">
        <v>744000</v>
      </c>
      <c r="D21" s="864">
        <v>3943200</v>
      </c>
      <c r="E21" s="864"/>
      <c r="F21" s="959"/>
      <c r="H21" s="871">
        <f>B21*C21/1000-D21</f>
        <v>0</v>
      </c>
    </row>
    <row r="22" spans="1:8" s="710" customFormat="1" ht="30" customHeight="1">
      <c r="A22" s="1133" t="s">
        <v>1192</v>
      </c>
      <c r="B22" s="862">
        <v>1843400</v>
      </c>
      <c r="C22" s="864">
        <v>214702</v>
      </c>
      <c r="D22" s="864">
        <v>395781667</v>
      </c>
      <c r="E22" s="864"/>
      <c r="F22" s="1110"/>
      <c r="H22" s="871">
        <f>B22*C22/1000-D22</f>
        <v>-0.19999998807907104</v>
      </c>
    </row>
    <row r="23" spans="1:8" s="710" customFormat="1" ht="30" customHeight="1">
      <c r="A23" s="1132" t="s">
        <v>1193</v>
      </c>
      <c r="B23" s="862"/>
      <c r="C23" s="864"/>
      <c r="D23" s="864">
        <f>SUM(D24:D25)</f>
        <v>38199611</v>
      </c>
      <c r="E23" s="864"/>
      <c r="F23" s="1110"/>
      <c r="H23" s="870"/>
    </row>
    <row r="24" spans="1:8" s="710" customFormat="1" ht="30" customHeight="1">
      <c r="A24" s="1133" t="s">
        <v>1194</v>
      </c>
      <c r="B24" s="862">
        <v>152685</v>
      </c>
      <c r="C24" s="864">
        <v>114563</v>
      </c>
      <c r="D24" s="864">
        <v>17492052</v>
      </c>
      <c r="E24" s="1685" t="s">
        <v>1324</v>
      </c>
      <c r="F24" s="1686"/>
      <c r="H24" s="871">
        <f>B24*C24/1000-D24</f>
        <v>-0.3449999988079071</v>
      </c>
    </row>
    <row r="25" spans="1:8" s="710" customFormat="1" ht="30" customHeight="1">
      <c r="A25" s="1133" t="s">
        <v>1195</v>
      </c>
      <c r="B25" s="862"/>
      <c r="C25" s="864"/>
      <c r="D25" s="864">
        <f>SUM(D26:D27)</f>
        <v>20707559</v>
      </c>
      <c r="E25" s="864"/>
      <c r="F25" s="1130"/>
      <c r="H25" s="870"/>
    </row>
    <row r="26" spans="1:8" s="710" customFormat="1" ht="30" customHeight="1">
      <c r="A26" s="1133" t="s">
        <v>1196</v>
      </c>
      <c r="B26" s="862">
        <v>14005</v>
      </c>
      <c r="C26" s="864">
        <v>939174</v>
      </c>
      <c r="D26" s="864">
        <v>13153132</v>
      </c>
      <c r="E26" s="1685" t="s">
        <v>1323</v>
      </c>
      <c r="F26" s="1686"/>
      <c r="H26" s="871">
        <f>B26*C26/1000-D26</f>
        <v>-0.13000000081956387</v>
      </c>
    </row>
    <row r="27" spans="1:8" s="710" customFormat="1" ht="24.95" customHeight="1">
      <c r="A27" s="1133" t="s">
        <v>1197</v>
      </c>
      <c r="B27" s="862">
        <v>54532</v>
      </c>
      <c r="C27" s="864">
        <v>138532</v>
      </c>
      <c r="D27" s="864">
        <v>7554427</v>
      </c>
      <c r="E27" s="864"/>
      <c r="F27" s="1110"/>
      <c r="H27" s="872">
        <f>B27*C27/1000-D27</f>
        <v>2.4000000208616257E-2</v>
      </c>
    </row>
    <row r="28" spans="1:8" s="1096" customFormat="1" ht="21.75" customHeight="1" thickBot="1">
      <c r="A28" s="1136"/>
      <c r="B28" s="863"/>
      <c r="C28" s="865"/>
      <c r="D28" s="865"/>
      <c r="E28" s="865"/>
      <c r="F28" s="958"/>
      <c r="H28" s="872"/>
    </row>
    <row r="29" spans="1:8" s="30" customFormat="1" ht="34.700000000000003" customHeight="1">
      <c r="A29" s="1131" t="s">
        <v>1198</v>
      </c>
      <c r="B29" s="114"/>
      <c r="C29" s="211"/>
      <c r="D29" s="211">
        <f>SUM(D30:D34)</f>
        <v>24949551</v>
      </c>
      <c r="E29" s="1681" t="s">
        <v>1327</v>
      </c>
      <c r="F29" s="1682"/>
      <c r="H29" s="870"/>
    </row>
    <row r="30" spans="1:8" s="710" customFormat="1" ht="27.95" customHeight="1">
      <c r="A30" s="1132" t="s">
        <v>1199</v>
      </c>
      <c r="B30" s="862">
        <v>90000</v>
      </c>
      <c r="C30" s="864"/>
      <c r="D30" s="864">
        <f>9552060+1592010</f>
        <v>11144070</v>
      </c>
      <c r="E30" s="1683" t="s">
        <v>1373</v>
      </c>
      <c r="F30" s="1684"/>
      <c r="H30" s="870"/>
    </row>
    <row r="31" spans="1:8" s="710" customFormat="1" ht="27.95" customHeight="1">
      <c r="A31" s="1132" t="s">
        <v>1200</v>
      </c>
      <c r="B31" s="862">
        <v>36000</v>
      </c>
      <c r="C31" s="864">
        <v>51000</v>
      </c>
      <c r="D31" s="864">
        <v>1836000</v>
      </c>
      <c r="E31" s="1683" t="s">
        <v>1374</v>
      </c>
      <c r="F31" s="1684"/>
      <c r="H31" s="871">
        <f>B31*C31/1000-D31</f>
        <v>0</v>
      </c>
    </row>
    <row r="32" spans="1:8" s="710" customFormat="1" ht="27.95" customHeight="1">
      <c r="A32" s="1132" t="s">
        <v>1201</v>
      </c>
      <c r="B32" s="862">
        <v>7000</v>
      </c>
      <c r="C32" s="864"/>
      <c r="D32" s="864">
        <f>530670+88445</f>
        <v>619115</v>
      </c>
      <c r="E32" s="1685" t="s">
        <v>1372</v>
      </c>
      <c r="F32" s="1686"/>
      <c r="H32" s="870"/>
    </row>
    <row r="33" spans="1:8" s="710" customFormat="1" ht="27.95" customHeight="1">
      <c r="A33" s="1132" t="s">
        <v>1202</v>
      </c>
      <c r="B33" s="862">
        <v>95000</v>
      </c>
      <c r="C33" s="864">
        <v>113477</v>
      </c>
      <c r="D33" s="864">
        <v>10780315</v>
      </c>
      <c r="E33" s="1685" t="s">
        <v>1326</v>
      </c>
      <c r="F33" s="1686"/>
      <c r="H33" s="871">
        <f>B33*C33/1000-D33</f>
        <v>0</v>
      </c>
    </row>
    <row r="34" spans="1:8" s="710" customFormat="1" ht="212.1" customHeight="1">
      <c r="A34" s="1132" t="s">
        <v>1203</v>
      </c>
      <c r="B34" s="862">
        <v>730835</v>
      </c>
      <c r="C34" s="864">
        <v>780</v>
      </c>
      <c r="D34" s="864">
        <v>570051</v>
      </c>
      <c r="E34" s="1683" t="s">
        <v>1118</v>
      </c>
      <c r="F34" s="1686"/>
      <c r="H34" s="871">
        <f>B34*C34/1000-D34</f>
        <v>0.30000000004656613</v>
      </c>
    </row>
    <row r="35" spans="1:8" s="1096" customFormat="1" ht="6.6" customHeight="1">
      <c r="A35" s="1132"/>
      <c r="B35" s="862"/>
      <c r="C35" s="864"/>
      <c r="D35" s="864"/>
      <c r="E35" s="1108"/>
      <c r="F35" s="1107"/>
      <c r="H35" s="871"/>
    </row>
    <row r="36" spans="1:8" s="710" customFormat="1" ht="27" customHeight="1">
      <c r="A36" s="1135" t="s">
        <v>527</v>
      </c>
      <c r="B36" s="862"/>
      <c r="C36" s="864"/>
      <c r="D36" s="211">
        <f>+D37+D46</f>
        <v>11126966</v>
      </c>
      <c r="E36" s="211"/>
      <c r="F36" s="957"/>
    </row>
    <row r="37" spans="1:8" s="30" customFormat="1" ht="28.15" customHeight="1">
      <c r="A37" s="1131" t="s">
        <v>1204</v>
      </c>
      <c r="B37" s="114"/>
      <c r="C37" s="211"/>
      <c r="D37" s="211">
        <f>SUM(D38)</f>
        <v>10888472</v>
      </c>
      <c r="E37" s="1685" t="s">
        <v>1341</v>
      </c>
      <c r="F37" s="1686"/>
    </row>
    <row r="38" spans="1:8" s="30" customFormat="1" ht="27.95" customHeight="1">
      <c r="A38" s="1131" t="s">
        <v>1220</v>
      </c>
      <c r="B38" s="114"/>
      <c r="C38" s="211"/>
      <c r="D38" s="211">
        <f>SUM(D39,D42,D44,D43)</f>
        <v>10888472</v>
      </c>
      <c r="E38" s="1697"/>
      <c r="F38" s="1686"/>
    </row>
    <row r="39" spans="1:8" s="710" customFormat="1" ht="27.95" customHeight="1">
      <c r="A39" s="1132" t="s">
        <v>1221</v>
      </c>
      <c r="B39" s="862"/>
      <c r="C39" s="864"/>
      <c r="D39" s="864">
        <f>SUM(D40:D41)</f>
        <v>113220</v>
      </c>
      <c r="E39" s="864"/>
      <c r="F39" s="957"/>
    </row>
    <row r="40" spans="1:8" s="710" customFormat="1" ht="27.95" customHeight="1">
      <c r="A40" s="1132" t="s">
        <v>1222</v>
      </c>
      <c r="B40" s="862">
        <v>555</v>
      </c>
      <c r="C40" s="864">
        <v>61200</v>
      </c>
      <c r="D40" s="864">
        <v>33966</v>
      </c>
      <c r="E40" s="1685" t="s">
        <v>1336</v>
      </c>
      <c r="F40" s="1686"/>
      <c r="H40" s="871">
        <f>B40*C40/1000-D40</f>
        <v>0</v>
      </c>
    </row>
    <row r="41" spans="1:8" s="710" customFormat="1" ht="27.95" customHeight="1">
      <c r="A41" s="1133" t="s">
        <v>1226</v>
      </c>
      <c r="B41" s="862">
        <v>1295</v>
      </c>
      <c r="C41" s="864">
        <v>61200</v>
      </c>
      <c r="D41" s="864">
        <v>79254</v>
      </c>
      <c r="E41" s="1685" t="s">
        <v>1337</v>
      </c>
      <c r="F41" s="1686"/>
      <c r="H41" s="871">
        <f>B41*C41/1000-D41</f>
        <v>0</v>
      </c>
    </row>
    <row r="42" spans="1:8" s="710" customFormat="1" ht="27.95" customHeight="1">
      <c r="A42" s="1132" t="s">
        <v>1223</v>
      </c>
      <c r="B42" s="862">
        <v>9805</v>
      </c>
      <c r="C42" s="864">
        <v>221980</v>
      </c>
      <c r="D42" s="864">
        <v>2176514</v>
      </c>
      <c r="E42" s="1685" t="s">
        <v>1338</v>
      </c>
      <c r="F42" s="1686"/>
      <c r="H42" s="871">
        <f>B42*C42/1000-D42</f>
        <v>-0.10000000009313226</v>
      </c>
    </row>
    <row r="43" spans="1:8" s="710" customFormat="1" ht="27.95" customHeight="1">
      <c r="A43" s="1132" t="s">
        <v>1224</v>
      </c>
      <c r="B43" s="862">
        <v>28100</v>
      </c>
      <c r="C43" s="864">
        <v>306000</v>
      </c>
      <c r="D43" s="864">
        <v>8598600</v>
      </c>
      <c r="E43" s="1685" t="s">
        <v>1339</v>
      </c>
      <c r="F43" s="1686"/>
      <c r="H43" s="871">
        <f>B43*C43/1000-D43</f>
        <v>0</v>
      </c>
    </row>
    <row r="44" spans="1:8" s="710" customFormat="1" ht="27.95" customHeight="1">
      <c r="A44" s="1132" t="s">
        <v>1225</v>
      </c>
      <c r="B44" s="862">
        <v>145</v>
      </c>
      <c r="C44" s="864">
        <v>955</v>
      </c>
      <c r="D44" s="864">
        <v>138</v>
      </c>
      <c r="E44" s="1683" t="s">
        <v>1340</v>
      </c>
      <c r="F44" s="1684"/>
      <c r="H44" s="871">
        <f>B44*C44/1000-D44</f>
        <v>0.47499999999999432</v>
      </c>
    </row>
    <row r="45" spans="1:8" s="710" customFormat="1" ht="18.75" customHeight="1" thickBot="1">
      <c r="A45" s="1137"/>
      <c r="B45" s="863"/>
      <c r="C45" s="865"/>
      <c r="D45" s="865"/>
      <c r="E45" s="865"/>
      <c r="F45" s="1109"/>
    </row>
    <row r="46" spans="1:8" s="30" customFormat="1" ht="31.5" customHeight="1">
      <c r="A46" s="1131" t="s">
        <v>1205</v>
      </c>
      <c r="B46" s="114"/>
      <c r="C46" s="211"/>
      <c r="D46" s="211">
        <f>SUM(D47)</f>
        <v>238494</v>
      </c>
      <c r="E46" s="1685" t="s">
        <v>1342</v>
      </c>
      <c r="F46" s="1686"/>
    </row>
    <row r="47" spans="1:8" s="30" customFormat="1" ht="31.5" customHeight="1">
      <c r="A47" s="1131" t="s">
        <v>1220</v>
      </c>
      <c r="B47" s="114"/>
      <c r="C47" s="211"/>
      <c r="D47" s="211">
        <f>+D48+D50+D49+D53+D54</f>
        <v>238494</v>
      </c>
      <c r="E47" s="1697"/>
      <c r="F47" s="1686"/>
    </row>
    <row r="48" spans="1:8" s="777" customFormat="1" ht="30.75" customHeight="1">
      <c r="A48" s="1132" t="s">
        <v>1227</v>
      </c>
      <c r="B48" s="862">
        <v>5438</v>
      </c>
      <c r="C48" s="864">
        <v>24752</v>
      </c>
      <c r="D48" s="864">
        <v>134601</v>
      </c>
      <c r="E48" s="1685" t="s">
        <v>1343</v>
      </c>
      <c r="F48" s="1686"/>
      <c r="H48" s="871">
        <f>B48*C48/1000-D48</f>
        <v>0.37599999998928979</v>
      </c>
    </row>
    <row r="49" spans="1:8" s="777" customFormat="1" ht="30.2" customHeight="1">
      <c r="A49" s="1132" t="s">
        <v>1223</v>
      </c>
      <c r="B49" s="862">
        <v>93</v>
      </c>
      <c r="C49" s="864">
        <v>198000</v>
      </c>
      <c r="D49" s="864">
        <v>18414</v>
      </c>
      <c r="E49" s="1683" t="s">
        <v>1344</v>
      </c>
      <c r="F49" s="1684"/>
      <c r="H49" s="871">
        <f>B49*C49/1000-D49</f>
        <v>0</v>
      </c>
    </row>
    <row r="50" spans="1:8" s="777" customFormat="1" ht="30.2" customHeight="1">
      <c r="A50" s="1132" t="s">
        <v>1228</v>
      </c>
      <c r="B50" s="862"/>
      <c r="C50" s="864"/>
      <c r="D50" s="864">
        <f>SUM(D51:D52)</f>
        <v>28560</v>
      </c>
      <c r="E50" s="864"/>
      <c r="F50" s="1130"/>
    </row>
    <row r="51" spans="1:8" s="777" customFormat="1" ht="30.75" customHeight="1">
      <c r="A51" s="1132" t="s">
        <v>1229</v>
      </c>
      <c r="B51" s="862">
        <v>265809</v>
      </c>
      <c r="C51" s="864">
        <v>50</v>
      </c>
      <c r="D51" s="864">
        <v>13290</v>
      </c>
      <c r="E51" s="864"/>
      <c r="F51" s="1087"/>
      <c r="H51" s="871">
        <f>B51*C51/1000-D51</f>
        <v>0.4500000000007276</v>
      </c>
    </row>
    <row r="52" spans="1:8" s="777" customFormat="1" ht="30.2" customHeight="1">
      <c r="A52" s="1156" t="s">
        <v>1230</v>
      </c>
      <c r="B52" s="862">
        <v>16967</v>
      </c>
      <c r="C52" s="864">
        <v>900</v>
      </c>
      <c r="D52" s="864">
        <v>15270</v>
      </c>
      <c r="E52" s="864"/>
      <c r="F52" s="1087"/>
      <c r="H52" s="871">
        <f>B52*C52/1000-D52</f>
        <v>0.2999999999992724</v>
      </c>
    </row>
    <row r="53" spans="1:8" s="777" customFormat="1" ht="30.2" customHeight="1">
      <c r="A53" s="1132" t="s">
        <v>1224</v>
      </c>
      <c r="B53" s="862">
        <v>93</v>
      </c>
      <c r="C53" s="864">
        <v>612000</v>
      </c>
      <c r="D53" s="864">
        <v>56916</v>
      </c>
      <c r="E53" s="1683" t="s">
        <v>1344</v>
      </c>
      <c r="F53" s="1684"/>
      <c r="H53" s="871">
        <f>B53*C53/1000-D53</f>
        <v>0</v>
      </c>
    </row>
    <row r="54" spans="1:8" s="777" customFormat="1" ht="30.2" customHeight="1">
      <c r="A54" s="1132" t="s">
        <v>1225</v>
      </c>
      <c r="B54" s="862">
        <v>3</v>
      </c>
      <c r="C54" s="864">
        <v>955</v>
      </c>
      <c r="D54" s="864">
        <v>3</v>
      </c>
      <c r="E54" s="1683" t="s">
        <v>1119</v>
      </c>
      <c r="F54" s="1684"/>
      <c r="H54" s="871">
        <f>B54*C54/1000-D54</f>
        <v>-0.13499999999999979</v>
      </c>
    </row>
    <row r="55" spans="1:8" s="889" customFormat="1" ht="19.7" customHeight="1">
      <c r="A55" s="1132"/>
      <c r="B55" s="862"/>
      <c r="C55" s="864"/>
      <c r="D55" s="864"/>
      <c r="E55" s="864"/>
      <c r="F55" s="957"/>
    </row>
    <row r="56" spans="1:8" s="30" customFormat="1" ht="36" customHeight="1">
      <c r="A56" s="1135" t="s">
        <v>1231</v>
      </c>
      <c r="B56" s="114"/>
      <c r="C56" s="211"/>
      <c r="D56" s="211">
        <f>D61+D57+D92+D93+D94+D99+D102+D103+D104+D105+D106+D111+D112</f>
        <v>7664166</v>
      </c>
      <c r="E56" s="1695" t="s">
        <v>1329</v>
      </c>
      <c r="F56" s="1696"/>
    </row>
    <row r="57" spans="1:8" s="30" customFormat="1" ht="30.75" customHeight="1">
      <c r="A57" s="720" t="s">
        <v>1031</v>
      </c>
      <c r="B57" s="114"/>
      <c r="C57" s="211"/>
      <c r="D57" s="211">
        <f>+D59+D58</f>
        <v>3144300</v>
      </c>
      <c r="E57" s="211"/>
      <c r="F57" s="1110"/>
      <c r="H57" s="889"/>
    </row>
    <row r="58" spans="1:8" s="889" customFormat="1" ht="30.75" customHeight="1">
      <c r="A58" s="721" t="s">
        <v>706</v>
      </c>
      <c r="B58" s="862">
        <v>1510000</v>
      </c>
      <c r="C58" s="864">
        <v>1170</v>
      </c>
      <c r="D58" s="864">
        <v>1766700</v>
      </c>
      <c r="E58" s="1685" t="s">
        <v>1375</v>
      </c>
      <c r="F58" s="1686"/>
      <c r="H58" s="871">
        <f>B58*C58/1000-D58</f>
        <v>0</v>
      </c>
    </row>
    <row r="59" spans="1:8" s="889" customFormat="1" ht="30.75" customHeight="1">
      <c r="A59" s="721" t="s">
        <v>1035</v>
      </c>
      <c r="B59" s="862">
        <v>30000</v>
      </c>
      <c r="C59" s="864">
        <v>45920</v>
      </c>
      <c r="D59" s="864">
        <v>1377600</v>
      </c>
      <c r="E59" s="1685" t="s">
        <v>1332</v>
      </c>
      <c r="F59" s="1686"/>
      <c r="H59" s="871">
        <f>B59*C59/1000-D59</f>
        <v>0</v>
      </c>
    </row>
    <row r="60" spans="1:8" ht="8.4499999999999993" customHeight="1">
      <c r="A60" s="721"/>
      <c r="B60" s="862"/>
      <c r="C60" s="862"/>
      <c r="D60" s="862"/>
      <c r="E60" s="864"/>
      <c r="F60" s="1110"/>
      <c r="H60" s="871"/>
    </row>
    <row r="61" spans="1:8" s="30" customFormat="1" ht="30.2" customHeight="1">
      <c r="A61" s="720" t="s">
        <v>496</v>
      </c>
      <c r="B61" s="114"/>
      <c r="C61" s="211"/>
      <c r="D61" s="211">
        <f>SUM(D63,D64,D75,D80,D83,D87,D88,D89,D69,D70,D74,D90)</f>
        <v>4308679</v>
      </c>
      <c r="E61" s="85"/>
      <c r="F61" s="1089"/>
    </row>
    <row r="62" spans="1:8" s="1035" customFormat="1" ht="4.3499999999999996" customHeight="1">
      <c r="A62" s="720"/>
      <c r="B62" s="114"/>
      <c r="C62" s="211"/>
      <c r="D62" s="211"/>
      <c r="E62" s="1088"/>
      <c r="F62" s="1151"/>
    </row>
    <row r="63" spans="1:8" s="889" customFormat="1" ht="30.2" customHeight="1">
      <c r="A63" s="721" t="s">
        <v>493</v>
      </c>
      <c r="B63" s="862">
        <v>51257</v>
      </c>
      <c r="C63" s="864">
        <v>45435</v>
      </c>
      <c r="D63" s="864">
        <v>2328862</v>
      </c>
      <c r="E63" s="1685" t="s">
        <v>1333</v>
      </c>
      <c r="F63" s="1686"/>
      <c r="H63" s="871">
        <f>B63*C63/1000-D63</f>
        <v>-0.20500000007450581</v>
      </c>
    </row>
    <row r="64" spans="1:8" s="889" customFormat="1" ht="30.2" customHeight="1">
      <c r="A64" s="721" t="s">
        <v>494</v>
      </c>
      <c r="B64" s="862"/>
      <c r="C64" s="864"/>
      <c r="D64" s="864">
        <f>SUM(D65:D68)</f>
        <v>788252</v>
      </c>
      <c r="E64" s="864"/>
      <c r="F64" s="1089"/>
    </row>
    <row r="65" spans="1:8" s="889" customFormat="1" ht="30.75" customHeight="1">
      <c r="A65" s="1125" t="s">
        <v>1173</v>
      </c>
      <c r="B65" s="862">
        <v>1690</v>
      </c>
      <c r="C65" s="864">
        <v>382593</v>
      </c>
      <c r="D65" s="864">
        <v>646582</v>
      </c>
      <c r="E65" s="1685" t="s">
        <v>1334</v>
      </c>
      <c r="F65" s="1686"/>
      <c r="H65" s="871">
        <f t="shared" ref="H65:H77" si="0">B65*C65/1000-D65</f>
        <v>0.17000000004190952</v>
      </c>
    </row>
    <row r="66" spans="1:8" s="889" customFormat="1" ht="30.95" customHeight="1">
      <c r="A66" s="1125" t="s">
        <v>1174</v>
      </c>
      <c r="B66" s="862">
        <v>14</v>
      </c>
      <c r="C66" s="864">
        <v>780612</v>
      </c>
      <c r="D66" s="864">
        <v>10929</v>
      </c>
      <c r="E66" s="864"/>
      <c r="F66" s="1110"/>
      <c r="H66" s="871">
        <f>B66*C66/1000-D66</f>
        <v>-0.43200000000069849</v>
      </c>
    </row>
    <row r="67" spans="1:8" s="889" customFormat="1" ht="45.75" customHeight="1" thickBot="1">
      <c r="A67" s="1153" t="s">
        <v>1175</v>
      </c>
      <c r="B67" s="863">
        <v>738</v>
      </c>
      <c r="C67" s="865">
        <v>168693</v>
      </c>
      <c r="D67" s="865">
        <v>124495</v>
      </c>
      <c r="E67" s="865"/>
      <c r="F67" s="958"/>
      <c r="H67" s="871">
        <f t="shared" si="0"/>
        <v>0.43399999999382999</v>
      </c>
    </row>
    <row r="68" spans="1:8" s="1129" customFormat="1" ht="26.25" customHeight="1">
      <c r="A68" s="1125" t="s">
        <v>1181</v>
      </c>
      <c r="B68" s="862">
        <v>9</v>
      </c>
      <c r="C68" s="864">
        <v>694000</v>
      </c>
      <c r="D68" s="864">
        <v>6246</v>
      </c>
      <c r="E68" s="864"/>
      <c r="F68" s="1110"/>
      <c r="H68" s="871">
        <f t="shared" si="0"/>
        <v>0</v>
      </c>
    </row>
    <row r="69" spans="1:8" s="889" customFormat="1" ht="24.75" customHeight="1">
      <c r="A69" s="721" t="s">
        <v>492</v>
      </c>
      <c r="B69" s="862">
        <v>50</v>
      </c>
      <c r="C69" s="864">
        <v>2500</v>
      </c>
      <c r="D69" s="864">
        <v>125</v>
      </c>
      <c r="E69" s="864"/>
      <c r="F69" s="1110"/>
      <c r="H69" s="871">
        <f t="shared" si="0"/>
        <v>0</v>
      </c>
    </row>
    <row r="70" spans="1:8" s="889" customFormat="1" ht="30.95" customHeight="1">
      <c r="A70" s="721" t="s">
        <v>495</v>
      </c>
      <c r="B70" s="862"/>
      <c r="C70" s="864"/>
      <c r="D70" s="864">
        <f>SUM(D71:D73)</f>
        <v>819488</v>
      </c>
      <c r="E70" s="864"/>
      <c r="F70" s="1110"/>
    </row>
    <row r="71" spans="1:8" s="889" customFormat="1" ht="30.95" customHeight="1">
      <c r="A71" s="1125" t="s">
        <v>1178</v>
      </c>
      <c r="B71" s="862">
        <v>594</v>
      </c>
      <c r="C71" s="862">
        <v>758263</v>
      </c>
      <c r="D71" s="864">
        <v>450408</v>
      </c>
      <c r="E71" s="1685" t="s">
        <v>1335</v>
      </c>
      <c r="F71" s="1686"/>
      <c r="H71" s="871">
        <f>B71*C71/1000-D71</f>
        <v>0.22200000000884756</v>
      </c>
    </row>
    <row r="72" spans="1:8" s="889" customFormat="1" ht="30.95" customHeight="1">
      <c r="A72" s="1125" t="s">
        <v>1179</v>
      </c>
      <c r="B72" s="862">
        <v>2476</v>
      </c>
      <c r="C72" s="862">
        <v>142084</v>
      </c>
      <c r="D72" s="862">
        <v>351800</v>
      </c>
      <c r="E72" s="711"/>
      <c r="F72" s="960"/>
      <c r="H72" s="871">
        <f>B72*C72/1000-D72</f>
        <v>-1.6000000003259629E-2</v>
      </c>
    </row>
    <row r="73" spans="1:8" s="915" customFormat="1" ht="30.95" customHeight="1">
      <c r="A73" s="1125" t="s">
        <v>1180</v>
      </c>
      <c r="B73" s="862">
        <v>54</v>
      </c>
      <c r="C73" s="864">
        <v>319998</v>
      </c>
      <c r="D73" s="864">
        <v>17280</v>
      </c>
      <c r="E73" s="864"/>
      <c r="F73" s="1110"/>
      <c r="H73" s="871">
        <f>B73*C73/1000-D73</f>
        <v>-0.10800000000017462</v>
      </c>
    </row>
    <row r="74" spans="1:8" s="889" customFormat="1" ht="30.95" customHeight="1">
      <c r="A74" s="721" t="s">
        <v>790</v>
      </c>
      <c r="B74" s="862">
        <v>31</v>
      </c>
      <c r="C74" s="864">
        <v>409811</v>
      </c>
      <c r="D74" s="864">
        <v>12704</v>
      </c>
      <c r="E74" s="864"/>
      <c r="F74" s="1110"/>
      <c r="H74" s="871">
        <f>B74*C74/1000-D74</f>
        <v>0.14099999999962165</v>
      </c>
    </row>
    <row r="75" spans="1:8" s="1150" customFormat="1" ht="30.95" customHeight="1">
      <c r="A75" s="721" t="s">
        <v>1213</v>
      </c>
      <c r="B75" s="862"/>
      <c r="C75" s="864"/>
      <c r="D75" s="864">
        <f>SUM(D76:D79)</f>
        <v>109803</v>
      </c>
      <c r="E75" s="864"/>
      <c r="F75" s="1110"/>
      <c r="H75" s="871"/>
    </row>
    <row r="76" spans="1:8" s="1157" customFormat="1" ht="30.95" customHeight="1">
      <c r="A76" s="1152" t="s">
        <v>1232</v>
      </c>
      <c r="B76" s="862">
        <v>3000</v>
      </c>
      <c r="C76" s="864">
        <v>24000</v>
      </c>
      <c r="D76" s="864">
        <v>72000</v>
      </c>
      <c r="E76" s="864"/>
      <c r="F76" s="1110"/>
      <c r="H76" s="871">
        <f t="shared" si="0"/>
        <v>0</v>
      </c>
    </row>
    <row r="77" spans="1:8" s="890" customFormat="1" ht="30.95" customHeight="1">
      <c r="A77" s="1152" t="s">
        <v>1214</v>
      </c>
      <c r="B77" s="862">
        <v>20</v>
      </c>
      <c r="C77" s="864">
        <v>645291</v>
      </c>
      <c r="D77" s="864">
        <v>12906</v>
      </c>
      <c r="E77" s="864"/>
      <c r="F77" s="1110"/>
      <c r="H77" s="871">
        <f t="shared" si="0"/>
        <v>-0.18000000000029104</v>
      </c>
    </row>
    <row r="78" spans="1:8" s="890" customFormat="1" ht="30.95" customHeight="1">
      <c r="A78" s="1152" t="s">
        <v>1215</v>
      </c>
      <c r="B78" s="862">
        <v>34</v>
      </c>
      <c r="C78" s="864">
        <v>725720</v>
      </c>
      <c r="D78" s="864">
        <v>24674</v>
      </c>
      <c r="E78" s="864"/>
      <c r="F78" s="1110"/>
      <c r="H78" s="871">
        <f>B78*C78/1000-D78</f>
        <v>0.47999999999956344</v>
      </c>
    </row>
    <row r="79" spans="1:8" s="890" customFormat="1" ht="30.95" customHeight="1">
      <c r="A79" s="1125" t="s">
        <v>1233</v>
      </c>
      <c r="B79" s="862">
        <v>2</v>
      </c>
      <c r="C79" s="864">
        <v>111600</v>
      </c>
      <c r="D79" s="864">
        <v>223</v>
      </c>
      <c r="E79" s="864"/>
      <c r="F79" s="1111"/>
      <c r="H79" s="871">
        <f>B79*C79/1000-D79</f>
        <v>0.19999999999998863</v>
      </c>
    </row>
    <row r="80" spans="1:8" s="890" customFormat="1" ht="30.95" customHeight="1">
      <c r="A80" s="721" t="s">
        <v>788</v>
      </c>
      <c r="B80" s="862"/>
      <c r="C80" s="864"/>
      <c r="D80" s="864">
        <f>SUM(D81:D82)</f>
        <v>45406</v>
      </c>
      <c r="E80" s="864"/>
      <c r="F80" s="1085"/>
    </row>
    <row r="81" spans="1:8" s="890" customFormat="1" ht="30.95" customHeight="1">
      <c r="A81" s="1125" t="s">
        <v>1176</v>
      </c>
      <c r="B81" s="862">
        <v>2120</v>
      </c>
      <c r="C81" s="864">
        <v>13200</v>
      </c>
      <c r="D81" s="864">
        <v>27984</v>
      </c>
      <c r="E81" s="864"/>
      <c r="F81" s="1111"/>
      <c r="H81" s="871">
        <f>B81*C81/1000-D81</f>
        <v>0</v>
      </c>
    </row>
    <row r="82" spans="1:8" s="1129" customFormat="1" ht="30.95" customHeight="1">
      <c r="A82" s="1125" t="s">
        <v>1177</v>
      </c>
      <c r="B82" s="862">
        <v>147</v>
      </c>
      <c r="C82" s="864">
        <v>118517</v>
      </c>
      <c r="D82" s="864">
        <v>17422</v>
      </c>
      <c r="E82" s="864"/>
      <c r="F82" s="1111"/>
      <c r="H82" s="871">
        <f>B82*C82/1000-D82</f>
        <v>-1.0000000002037268E-3</v>
      </c>
    </row>
    <row r="83" spans="1:8" s="1150" customFormat="1" ht="30.95" customHeight="1">
      <c r="A83" s="721" t="s">
        <v>1216</v>
      </c>
      <c r="B83" s="862"/>
      <c r="C83" s="864"/>
      <c r="D83" s="864">
        <f>SUM(D84:D86)</f>
        <v>166878</v>
      </c>
      <c r="E83" s="864"/>
      <c r="F83" s="1111"/>
      <c r="H83" s="871"/>
    </row>
    <row r="84" spans="1:8" s="914" customFormat="1" ht="30.95" customHeight="1">
      <c r="A84" s="1152" t="s">
        <v>1217</v>
      </c>
      <c r="B84" s="862">
        <v>28</v>
      </c>
      <c r="C84" s="864">
        <v>111600</v>
      </c>
      <c r="D84" s="864">
        <v>3125</v>
      </c>
      <c r="E84" s="864"/>
      <c r="F84" s="1110"/>
      <c r="H84" s="871">
        <f>B84*C84/1000-D84</f>
        <v>-0.1999999999998181</v>
      </c>
    </row>
    <row r="85" spans="1:8" s="890" customFormat="1" ht="30.95" customHeight="1">
      <c r="A85" s="1152" t="s">
        <v>1218</v>
      </c>
      <c r="B85" s="862">
        <v>23</v>
      </c>
      <c r="C85" s="864">
        <v>766480</v>
      </c>
      <c r="D85" s="864">
        <v>17629</v>
      </c>
      <c r="E85" s="864"/>
      <c r="F85" s="1110"/>
      <c r="H85" s="871">
        <f>B85*C85/1000-D85</f>
        <v>4.0000000000873115E-2</v>
      </c>
    </row>
    <row r="86" spans="1:8" s="890" customFormat="1" ht="30.95" customHeight="1">
      <c r="A86" s="1152" t="s">
        <v>1219</v>
      </c>
      <c r="B86" s="862">
        <v>123</v>
      </c>
      <c r="C86" s="864">
        <v>1188000</v>
      </c>
      <c r="D86" s="864">
        <v>146124</v>
      </c>
      <c r="E86" s="864"/>
      <c r="F86" s="1110"/>
      <c r="H86" s="871">
        <f t="shared" ref="H86:H87" si="1">B86*C86/1000-D86</f>
        <v>0</v>
      </c>
    </row>
    <row r="87" spans="1:8" s="889" customFormat="1" ht="27" customHeight="1">
      <c r="A87" s="721" t="s">
        <v>709</v>
      </c>
      <c r="B87" s="862">
        <v>41</v>
      </c>
      <c r="C87" s="864">
        <v>7000</v>
      </c>
      <c r="D87" s="864">
        <v>287</v>
      </c>
      <c r="E87" s="864"/>
      <c r="F87" s="1110"/>
      <c r="H87" s="871">
        <f t="shared" si="1"/>
        <v>0</v>
      </c>
    </row>
    <row r="88" spans="1:8" s="890" customFormat="1" ht="30" customHeight="1" thickBot="1">
      <c r="A88" s="1154" t="s">
        <v>710</v>
      </c>
      <c r="B88" s="863">
        <v>7988</v>
      </c>
      <c r="C88" s="865">
        <v>1000</v>
      </c>
      <c r="D88" s="865">
        <v>7988</v>
      </c>
      <c r="E88" s="865"/>
      <c r="F88" s="958"/>
      <c r="H88" s="871">
        <f t="shared" ref="H88:H89" si="2">B88*C88/1000-D88</f>
        <v>0</v>
      </c>
    </row>
    <row r="89" spans="1:8" s="890" customFormat="1" ht="30" customHeight="1">
      <c r="A89" s="721" t="s">
        <v>711</v>
      </c>
      <c r="B89" s="862">
        <v>11237</v>
      </c>
      <c r="C89" s="864">
        <v>700</v>
      </c>
      <c r="D89" s="864">
        <v>7866</v>
      </c>
      <c r="E89" s="864"/>
      <c r="F89" s="1110"/>
      <c r="H89" s="871">
        <f t="shared" si="2"/>
        <v>-0.1000000000003638</v>
      </c>
    </row>
    <row r="90" spans="1:8" ht="55.7" customHeight="1">
      <c r="A90" s="721" t="s">
        <v>720</v>
      </c>
      <c r="B90" s="862">
        <v>11957</v>
      </c>
      <c r="C90" s="864">
        <v>1758</v>
      </c>
      <c r="D90" s="864">
        <v>21020</v>
      </c>
      <c r="E90" s="864"/>
      <c r="F90" s="1110"/>
      <c r="H90" s="871">
        <f>B90*C90/1000-D90</f>
        <v>0.40599999999903957</v>
      </c>
    </row>
    <row r="91" spans="1:8" s="889" customFormat="1" ht="9.9499999999999993" customHeight="1">
      <c r="A91" s="721"/>
      <c r="B91" s="862"/>
      <c r="C91" s="864"/>
      <c r="D91" s="864"/>
      <c r="E91" s="864"/>
      <c r="F91" s="1110"/>
    </row>
    <row r="92" spans="1:8" s="213" customFormat="1" ht="32.85" customHeight="1">
      <c r="A92" s="791" t="s">
        <v>1032</v>
      </c>
      <c r="B92" s="204">
        <v>20</v>
      </c>
      <c r="C92" s="204">
        <v>520000</v>
      </c>
      <c r="D92" s="1256">
        <v>10400</v>
      </c>
      <c r="E92" s="1691" t="s">
        <v>1345</v>
      </c>
      <c r="F92" s="1692"/>
      <c r="H92" s="871">
        <f t="shared" ref="H92:H93" si="3">B92*C92/1000-D92</f>
        <v>0</v>
      </c>
    </row>
    <row r="93" spans="1:8" s="213" customFormat="1" ht="32.85" customHeight="1">
      <c r="A93" s="791" t="s">
        <v>1033</v>
      </c>
      <c r="B93" s="204">
        <v>8</v>
      </c>
      <c r="C93" s="204">
        <v>720000</v>
      </c>
      <c r="D93" s="1256">
        <v>5760</v>
      </c>
      <c r="E93" s="1691" t="s">
        <v>1346</v>
      </c>
      <c r="F93" s="1692"/>
      <c r="H93" s="871">
        <f t="shared" si="3"/>
        <v>0</v>
      </c>
    </row>
    <row r="94" spans="1:8" s="916" customFormat="1" ht="29.45" customHeight="1">
      <c r="A94" s="431" t="s">
        <v>1034</v>
      </c>
      <c r="B94" s="862"/>
      <c r="C94" s="864"/>
      <c r="D94" s="211">
        <v>8437</v>
      </c>
      <c r="E94" s="864"/>
      <c r="F94" s="1087"/>
    </row>
    <row r="95" spans="1:8" s="916" customFormat="1" ht="36.6" customHeight="1">
      <c r="A95" s="722" t="s">
        <v>1036</v>
      </c>
      <c r="B95" s="862">
        <v>362</v>
      </c>
      <c r="C95" s="864">
        <v>8700</v>
      </c>
      <c r="D95" s="864">
        <v>3149</v>
      </c>
      <c r="E95" s="1689" t="s">
        <v>1357</v>
      </c>
      <c r="F95" s="1690"/>
      <c r="H95" s="871">
        <f>B95*C95/1000-D95</f>
        <v>0.40000000000009095</v>
      </c>
    </row>
    <row r="96" spans="1:8" s="272" customFormat="1" ht="36" customHeight="1">
      <c r="A96" s="723" t="s">
        <v>1037</v>
      </c>
      <c r="B96" s="862">
        <v>702</v>
      </c>
      <c r="C96" s="864">
        <v>6200</v>
      </c>
      <c r="D96" s="864">
        <v>4352</v>
      </c>
      <c r="E96" s="1689" t="s">
        <v>1347</v>
      </c>
      <c r="F96" s="1690"/>
      <c r="H96" s="871">
        <f>B96*C96/1000-D96</f>
        <v>0.3999999999996362</v>
      </c>
    </row>
    <row r="97" spans="1:8" s="272" customFormat="1" ht="36.6" customHeight="1">
      <c r="A97" s="723" t="s">
        <v>1038</v>
      </c>
      <c r="B97" s="862">
        <v>36</v>
      </c>
      <c r="C97" s="864">
        <v>3200</v>
      </c>
      <c r="D97" s="864">
        <v>115</v>
      </c>
      <c r="E97" s="1689" t="s">
        <v>1348</v>
      </c>
      <c r="F97" s="1690"/>
      <c r="H97" s="871">
        <f>B97*C97/1000-D97</f>
        <v>0.20000000000000284</v>
      </c>
    </row>
    <row r="98" spans="1:8" s="272" customFormat="1" ht="48.4" customHeight="1">
      <c r="A98" s="1159" t="s">
        <v>1235</v>
      </c>
      <c r="B98" s="862">
        <v>432</v>
      </c>
      <c r="C98" s="864">
        <v>1900</v>
      </c>
      <c r="D98" s="864">
        <v>821</v>
      </c>
      <c r="E98" s="1689" t="s">
        <v>1349</v>
      </c>
      <c r="F98" s="1690"/>
      <c r="H98" s="871">
        <f>B98*C98/1000-D98</f>
        <v>-0.20000000000004547</v>
      </c>
    </row>
    <row r="99" spans="1:8" s="272" customFormat="1" ht="30.75" customHeight="1">
      <c r="A99" s="133" t="s">
        <v>1039</v>
      </c>
      <c r="B99" s="862"/>
      <c r="C99" s="864"/>
      <c r="D99" s="211">
        <f>SUM(D100:D101)</f>
        <v>94524</v>
      </c>
      <c r="E99" s="864"/>
      <c r="F99" s="1110"/>
    </row>
    <row r="100" spans="1:8" s="272" customFormat="1" ht="37.15" customHeight="1">
      <c r="A100" s="724" t="s">
        <v>1040</v>
      </c>
      <c r="B100" s="862">
        <v>4032</v>
      </c>
      <c r="C100" s="864">
        <v>8700</v>
      </c>
      <c r="D100" s="864">
        <v>35078</v>
      </c>
      <c r="E100" s="1689" t="s">
        <v>1350</v>
      </c>
      <c r="F100" s="1690"/>
      <c r="H100" s="871">
        <f t="shared" ref="H100:H105" si="4">B100*C100/1000-D100</f>
        <v>0.40000000000145519</v>
      </c>
    </row>
    <row r="101" spans="1:8" s="272" customFormat="1" ht="39" customHeight="1">
      <c r="A101" s="723" t="s">
        <v>1041</v>
      </c>
      <c r="B101" s="862">
        <v>9588</v>
      </c>
      <c r="C101" s="864">
        <v>6200</v>
      </c>
      <c r="D101" s="864">
        <v>59446</v>
      </c>
      <c r="E101" s="1689" t="s">
        <v>1353</v>
      </c>
      <c r="F101" s="1690"/>
      <c r="H101" s="871">
        <f t="shared" si="4"/>
        <v>-0.40000000000145519</v>
      </c>
    </row>
    <row r="102" spans="1:8" s="272" customFormat="1" ht="32.85" customHeight="1">
      <c r="A102" s="431" t="s">
        <v>1042</v>
      </c>
      <c r="B102" s="862">
        <v>12</v>
      </c>
      <c r="C102" s="864">
        <v>14800</v>
      </c>
      <c r="D102" s="211">
        <v>178</v>
      </c>
      <c r="E102" s="1689" t="s">
        <v>1351</v>
      </c>
      <c r="F102" s="1690"/>
      <c r="H102" s="871">
        <f t="shared" si="4"/>
        <v>-0.40000000000000568</v>
      </c>
    </row>
    <row r="103" spans="1:8" s="272" customFormat="1" ht="32.85" customHeight="1">
      <c r="A103" s="431" t="s">
        <v>1043</v>
      </c>
      <c r="B103" s="862">
        <v>610</v>
      </c>
      <c r="C103" s="864">
        <v>13500</v>
      </c>
      <c r="D103" s="211">
        <v>8235</v>
      </c>
      <c r="E103" s="1689" t="s">
        <v>1352</v>
      </c>
      <c r="F103" s="1690"/>
      <c r="H103" s="871">
        <f t="shared" si="4"/>
        <v>0</v>
      </c>
    </row>
    <row r="104" spans="1:8" s="272" customFormat="1" ht="32.85" customHeight="1">
      <c r="A104" s="431" t="s">
        <v>1044</v>
      </c>
      <c r="B104" s="862">
        <v>3660</v>
      </c>
      <c r="C104" s="864">
        <v>12400</v>
      </c>
      <c r="D104" s="211">
        <v>45384</v>
      </c>
      <c r="E104" s="1689" t="s">
        <v>1354</v>
      </c>
      <c r="F104" s="1690"/>
      <c r="H104" s="871">
        <f>B104*C104/1000-D104</f>
        <v>0</v>
      </c>
    </row>
    <row r="105" spans="1:8" ht="32.85" customHeight="1">
      <c r="A105" s="431" t="s">
        <v>1045</v>
      </c>
      <c r="B105" s="862">
        <v>380</v>
      </c>
      <c r="C105" s="864">
        <v>100000</v>
      </c>
      <c r="D105" s="211">
        <v>38000</v>
      </c>
      <c r="E105" s="1689" t="s">
        <v>1355</v>
      </c>
      <c r="F105" s="1690"/>
      <c r="H105" s="871">
        <f t="shared" si="4"/>
        <v>0</v>
      </c>
    </row>
    <row r="106" spans="1:8" ht="47.25" customHeight="1" thickBot="1">
      <c r="A106" s="1313" t="s">
        <v>1049</v>
      </c>
      <c r="B106" s="863"/>
      <c r="C106" s="865"/>
      <c r="D106" s="1257">
        <f>SUM(D107:D110)</f>
        <v>239</v>
      </c>
      <c r="E106" s="865"/>
      <c r="F106" s="958"/>
    </row>
    <row r="107" spans="1:8" ht="41.25" customHeight="1">
      <c r="A107" s="723" t="s">
        <v>1046</v>
      </c>
      <c r="B107" s="862">
        <v>12</v>
      </c>
      <c r="C107" s="864">
        <v>8700</v>
      </c>
      <c r="D107" s="864">
        <v>104</v>
      </c>
      <c r="E107" s="1691" t="s">
        <v>1208</v>
      </c>
      <c r="F107" s="1692"/>
      <c r="H107" s="871">
        <f t="shared" ref="H107:H112" si="5">B107*C107/1000-D107</f>
        <v>0.40000000000000568</v>
      </c>
    </row>
    <row r="108" spans="1:8" ht="36.6" customHeight="1">
      <c r="A108" s="723" t="s">
        <v>1047</v>
      </c>
      <c r="B108" s="862">
        <v>12</v>
      </c>
      <c r="C108" s="864">
        <v>6200</v>
      </c>
      <c r="D108" s="864">
        <v>74</v>
      </c>
      <c r="E108" s="1691" t="s">
        <v>1208</v>
      </c>
      <c r="F108" s="1692"/>
      <c r="H108" s="871">
        <f t="shared" si="5"/>
        <v>0.40000000000000568</v>
      </c>
    </row>
    <row r="109" spans="1:8" ht="35.450000000000003" customHeight="1">
      <c r="A109" s="723" t="s">
        <v>1048</v>
      </c>
      <c r="B109" s="862">
        <v>12</v>
      </c>
      <c r="C109" s="864">
        <v>3200</v>
      </c>
      <c r="D109" s="864">
        <v>38</v>
      </c>
      <c r="E109" s="1691" t="s">
        <v>1208</v>
      </c>
      <c r="F109" s="1692"/>
      <c r="H109" s="871">
        <f t="shared" si="5"/>
        <v>0.39999999999999858</v>
      </c>
    </row>
    <row r="110" spans="1:8" ht="47.1" customHeight="1">
      <c r="A110" s="1159" t="s">
        <v>1234</v>
      </c>
      <c r="B110" s="862">
        <v>12</v>
      </c>
      <c r="C110" s="864">
        <v>1900</v>
      </c>
      <c r="D110" s="864">
        <v>23</v>
      </c>
      <c r="E110" s="1691" t="s">
        <v>1208</v>
      </c>
      <c r="F110" s="1692"/>
      <c r="H110" s="871">
        <f t="shared" si="5"/>
        <v>-0.19999999999999929</v>
      </c>
    </row>
    <row r="111" spans="1:8" ht="28.9" customHeight="1">
      <c r="A111" s="431" t="s">
        <v>1050</v>
      </c>
      <c r="B111" s="862">
        <v>4</v>
      </c>
      <c r="C111" s="864">
        <v>2500</v>
      </c>
      <c r="D111" s="211">
        <v>10</v>
      </c>
      <c r="E111" s="1691" t="s">
        <v>1356</v>
      </c>
      <c r="F111" s="1692"/>
      <c r="H111" s="871">
        <f t="shared" si="5"/>
        <v>0</v>
      </c>
    </row>
    <row r="112" spans="1:8" ht="30.75" customHeight="1">
      <c r="A112" s="431" t="s">
        <v>1051</v>
      </c>
      <c r="B112" s="862">
        <v>2</v>
      </c>
      <c r="C112" s="862">
        <v>10000</v>
      </c>
      <c r="D112" s="114">
        <v>20</v>
      </c>
      <c r="E112" s="1693" t="s">
        <v>1105</v>
      </c>
      <c r="F112" s="1694"/>
      <c r="H112" s="871">
        <f t="shared" si="5"/>
        <v>0</v>
      </c>
    </row>
    <row r="113" spans="1:8" ht="94.5" customHeight="1">
      <c r="A113" s="431"/>
      <c r="B113" s="862"/>
      <c r="C113" s="862"/>
      <c r="D113" s="862"/>
      <c r="E113" s="1142"/>
      <c r="F113" s="1138"/>
      <c r="H113" s="871"/>
    </row>
    <row r="114" spans="1:8" ht="119.1" customHeight="1">
      <c r="A114" s="431"/>
      <c r="B114" s="862"/>
      <c r="C114" s="862"/>
      <c r="D114" s="862"/>
      <c r="E114" s="1142"/>
      <c r="F114" s="1138"/>
      <c r="H114" s="871"/>
    </row>
    <row r="115" spans="1:8" ht="168.75" customHeight="1">
      <c r="A115" s="431"/>
      <c r="B115" s="862"/>
      <c r="C115" s="862"/>
      <c r="D115" s="862"/>
      <c r="E115" s="1142"/>
      <c r="F115" s="1138"/>
      <c r="H115" s="871"/>
    </row>
    <row r="116" spans="1:8" ht="30.2" customHeight="1" thickBot="1">
      <c r="A116" s="1140"/>
      <c r="B116" s="1141"/>
      <c r="C116" s="1141"/>
      <c r="D116" s="1141"/>
      <c r="E116" s="1143"/>
      <c r="F116" s="1139"/>
    </row>
  </sheetData>
  <mergeCells count="56">
    <mergeCell ref="E37:F38"/>
    <mergeCell ref="E43:F43"/>
    <mergeCell ref="E12:F12"/>
    <mergeCell ref="E34:F34"/>
    <mergeCell ref="E54:F54"/>
    <mergeCell ref="E33:F33"/>
    <mergeCell ref="E44:F44"/>
    <mergeCell ref="E48:F48"/>
    <mergeCell ref="E49:F49"/>
    <mergeCell ref="E46:F47"/>
    <mergeCell ref="E53:F53"/>
    <mergeCell ref="E56:F56"/>
    <mergeCell ref="E65:F65"/>
    <mergeCell ref="E40:F40"/>
    <mergeCell ref="E41:F41"/>
    <mergeCell ref="E42:F42"/>
    <mergeCell ref="E63:F63"/>
    <mergeCell ref="E111:F111"/>
    <mergeCell ref="E112:F112"/>
    <mergeCell ref="E104:F104"/>
    <mergeCell ref="E105:F105"/>
    <mergeCell ref="E107:F107"/>
    <mergeCell ref="E108:F108"/>
    <mergeCell ref="E109:F109"/>
    <mergeCell ref="E110:F110"/>
    <mergeCell ref="E102:F102"/>
    <mergeCell ref="E103:F103"/>
    <mergeCell ref="E71:F71"/>
    <mergeCell ref="E59:F59"/>
    <mergeCell ref="E58:F58"/>
    <mergeCell ref="E101:F101"/>
    <mergeCell ref="E98:F98"/>
    <mergeCell ref="E100:F100"/>
    <mergeCell ref="E92:F92"/>
    <mergeCell ref="E93:F93"/>
    <mergeCell ref="E95:F95"/>
    <mergeCell ref="E96:F96"/>
    <mergeCell ref="E97:F97"/>
    <mergeCell ref="A1:F1"/>
    <mergeCell ref="A2:F2"/>
    <mergeCell ref="A3:F3"/>
    <mergeCell ref="A4:F4"/>
    <mergeCell ref="E5:F5"/>
    <mergeCell ref="E8:F8"/>
    <mergeCell ref="E29:F29"/>
    <mergeCell ref="E30:F30"/>
    <mergeCell ref="E31:F31"/>
    <mergeCell ref="E32:F32"/>
    <mergeCell ref="E20:F20"/>
    <mergeCell ref="E24:F24"/>
    <mergeCell ref="E26:F26"/>
    <mergeCell ref="E11:F11"/>
    <mergeCell ref="E14:F14"/>
    <mergeCell ref="E17:F17"/>
    <mergeCell ref="E19:F19"/>
    <mergeCell ref="E10:F10"/>
  </mergeCells>
  <phoneticPr fontId="6" type="noConversion"/>
  <printOptions horizontalCentered="1"/>
  <pageMargins left="0.59055118110236227" right="0.59055118110236227" top="0.59055118110236227" bottom="0.78740157480314965" header="0.51181102362204722" footer="0.51181102362204722"/>
  <pageSetup paperSize="9" firstPageNumber="75" fitToHeight="0" orientation="portrait" useFirstPageNumber="1" r:id="rId1"/>
  <headerFooter alignWithMargins="0">
    <oddFooter>&amp;C&amp;"Times New Roman,標準"&amp;P</oddFooter>
  </headerFooter>
  <rowBreaks count="5" manualBreakCount="5">
    <brk id="28" max="5" man="1"/>
    <brk id="45" max="5" man="1"/>
    <brk id="67" max="5" man="1"/>
    <brk id="88" max="5" man="1"/>
    <brk id="106" max="5" man="1"/>
  </rowBreaks>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G48"/>
  <sheetViews>
    <sheetView showGridLines="0" view="pageBreakPreview" zoomScaleNormal="100" zoomScaleSheetLayoutView="100" workbookViewId="0">
      <selection activeCell="G28" sqref="G28"/>
    </sheetView>
  </sheetViews>
  <sheetFormatPr defaultColWidth="12" defaultRowHeight="20.25"/>
  <cols>
    <col min="1" max="1" width="36.375" style="157" customWidth="1"/>
    <col min="2" max="2" width="10.75" style="157" customWidth="1"/>
    <col min="3" max="4" width="11.5" style="157" customWidth="1"/>
    <col min="5" max="5" width="20" style="157" customWidth="1"/>
    <col min="6" max="6" width="12" style="157" customWidth="1"/>
    <col min="7" max="7" width="12" style="157" hidden="1" customWidth="1"/>
    <col min="8" max="10" width="12" style="157" customWidth="1"/>
    <col min="11" max="11" width="11.5" style="157" customWidth="1"/>
    <col min="12" max="16384" width="12" style="157"/>
  </cols>
  <sheetData>
    <row r="1" spans="1:7" s="2" customFormat="1" ht="21">
      <c r="A1" s="1369" t="s">
        <v>40</v>
      </c>
      <c r="B1" s="1369"/>
      <c r="C1" s="1369"/>
      <c r="D1" s="1369"/>
      <c r="E1" s="1369"/>
    </row>
    <row r="2" spans="1:7" s="2" customFormat="1" ht="21">
      <c r="A2" s="1369" t="s">
        <v>41</v>
      </c>
      <c r="B2" s="1369"/>
      <c r="C2" s="1369"/>
      <c r="D2" s="1369"/>
      <c r="E2" s="1369"/>
    </row>
    <row r="3" spans="1:7" s="2" customFormat="1" ht="24.75" customHeight="1">
      <c r="A3" s="1370" t="s">
        <v>1149</v>
      </c>
      <c r="B3" s="1371"/>
      <c r="C3" s="1371"/>
      <c r="D3" s="1371"/>
      <c r="E3" s="1371"/>
    </row>
    <row r="4" spans="1:7" s="2" customFormat="1" ht="24.75" customHeight="1" thickBot="1">
      <c r="A4" s="1389" t="s">
        <v>1304</v>
      </c>
      <c r="B4" s="1390"/>
      <c r="C4" s="1390"/>
      <c r="D4" s="1390"/>
      <c r="E4" s="1390"/>
    </row>
    <row r="5" spans="1:7" s="423" customFormat="1" ht="52.5" customHeight="1">
      <c r="A5" s="418" t="s">
        <v>100</v>
      </c>
      <c r="B5" s="419" t="s">
        <v>101</v>
      </c>
      <c r="C5" s="420" t="s">
        <v>102</v>
      </c>
      <c r="D5" s="421" t="s">
        <v>103</v>
      </c>
      <c r="E5" s="422" t="s">
        <v>104</v>
      </c>
    </row>
    <row r="6" spans="1:7" s="410" customFormat="1" ht="7.15" customHeight="1">
      <c r="A6" s="409"/>
      <c r="B6" s="158"/>
      <c r="C6" s="159"/>
      <c r="D6" s="159"/>
      <c r="E6" s="160"/>
    </row>
    <row r="7" spans="1:7" s="238" customFormat="1" ht="27.6" customHeight="1">
      <c r="A7" s="917" t="s">
        <v>719</v>
      </c>
      <c r="B7" s="114"/>
      <c r="C7" s="211"/>
      <c r="D7" s="1336">
        <f>D8+D34+D37+D31+D32</f>
        <v>1398281</v>
      </c>
      <c r="E7" s="1698"/>
    </row>
    <row r="8" spans="1:7" s="238" customFormat="1" ht="27.75" customHeight="1">
      <c r="A8" s="891" t="s">
        <v>712</v>
      </c>
      <c r="B8" s="114"/>
      <c r="C8" s="211"/>
      <c r="D8" s="1256">
        <f>SUM(D9,D11,D15,D20,D25)</f>
        <v>277794</v>
      </c>
      <c r="E8" s="1699"/>
    </row>
    <row r="9" spans="1:7" s="213" customFormat="1" ht="28.15" customHeight="1">
      <c r="A9" s="897" t="s">
        <v>797</v>
      </c>
      <c r="B9" s="204"/>
      <c r="C9" s="204"/>
      <c r="D9" s="204">
        <f>SUM(D10:D10)</f>
        <v>5500</v>
      </c>
      <c r="E9" s="893"/>
      <c r="G9" s="894">
        <f>B9*C9/1000</f>
        <v>0</v>
      </c>
    </row>
    <row r="10" spans="1:7" s="213" customFormat="1" ht="27.75" customHeight="1">
      <c r="A10" s="892" t="s">
        <v>1541</v>
      </c>
      <c r="B10" s="204"/>
      <c r="C10" s="204"/>
      <c r="D10" s="204">
        <v>5500</v>
      </c>
      <c r="E10" s="893"/>
      <c r="G10" s="894">
        <f t="shared" ref="G10:G18" si="0">B10*C10/1000</f>
        <v>0</v>
      </c>
    </row>
    <row r="11" spans="1:7" s="213" customFormat="1" ht="29.45" customHeight="1">
      <c r="A11" s="897" t="s">
        <v>791</v>
      </c>
      <c r="B11" s="204"/>
      <c r="C11" s="204"/>
      <c r="D11" s="204">
        <f>SUM(D12:D14)</f>
        <v>61143</v>
      </c>
      <c r="E11" s="893"/>
      <c r="G11" s="894">
        <f t="shared" si="0"/>
        <v>0</v>
      </c>
    </row>
    <row r="12" spans="1:7" s="213" customFormat="1" ht="43.5" customHeight="1">
      <c r="A12" s="892" t="s">
        <v>713</v>
      </c>
      <c r="B12" s="204"/>
      <c r="C12" s="204"/>
      <c r="D12" s="204">
        <v>15750</v>
      </c>
      <c r="E12" s="893"/>
      <c r="G12" s="894">
        <f t="shared" si="0"/>
        <v>0</v>
      </c>
    </row>
    <row r="13" spans="1:7" s="213" customFormat="1" ht="40.5" customHeight="1">
      <c r="A13" s="892" t="s">
        <v>714</v>
      </c>
      <c r="B13" s="59"/>
      <c r="C13" s="203"/>
      <c r="D13" s="204">
        <v>6393</v>
      </c>
      <c r="E13" s="236"/>
      <c r="G13" s="894">
        <f t="shared" si="0"/>
        <v>0</v>
      </c>
    </row>
    <row r="14" spans="1:7" s="213" customFormat="1" ht="63.75" customHeight="1">
      <c r="A14" s="892" t="s">
        <v>1209</v>
      </c>
      <c r="B14" s="204"/>
      <c r="C14" s="204"/>
      <c r="D14" s="918">
        <v>39000</v>
      </c>
      <c r="E14" s="893"/>
      <c r="G14" s="894">
        <f t="shared" si="0"/>
        <v>0</v>
      </c>
    </row>
    <row r="15" spans="1:7" s="213" customFormat="1" ht="28.5" customHeight="1">
      <c r="A15" s="897" t="s">
        <v>792</v>
      </c>
      <c r="B15" s="204"/>
      <c r="C15" s="204"/>
      <c r="D15" s="204">
        <f>SUM(D16:D19)</f>
        <v>102201</v>
      </c>
      <c r="E15" s="893"/>
      <c r="G15" s="894">
        <f t="shared" si="0"/>
        <v>0</v>
      </c>
    </row>
    <row r="16" spans="1:7" s="213" customFormat="1" ht="45" customHeight="1">
      <c r="A16" s="892" t="s">
        <v>1546</v>
      </c>
      <c r="B16" s="204"/>
      <c r="C16" s="204"/>
      <c r="D16" s="204">
        <v>3000</v>
      </c>
      <c r="E16" s="893"/>
      <c r="G16" s="894">
        <f t="shared" si="0"/>
        <v>0</v>
      </c>
    </row>
    <row r="17" spans="1:7" s="213" customFormat="1" ht="40.5" customHeight="1">
      <c r="A17" s="892" t="s">
        <v>1542</v>
      </c>
      <c r="B17" s="204"/>
      <c r="C17" s="204"/>
      <c r="D17" s="204">
        <v>19701</v>
      </c>
      <c r="E17" s="893"/>
      <c r="G17" s="894">
        <f>B17*C17/1000</f>
        <v>0</v>
      </c>
    </row>
    <row r="18" spans="1:7" s="213" customFormat="1" ht="60" customHeight="1">
      <c r="A18" s="892" t="s">
        <v>1543</v>
      </c>
      <c r="B18" s="204"/>
      <c r="C18" s="204"/>
      <c r="D18" s="204">
        <v>29500</v>
      </c>
      <c r="E18" s="893"/>
      <c r="G18" s="894">
        <f t="shared" si="0"/>
        <v>0</v>
      </c>
    </row>
    <row r="19" spans="1:7" s="213" customFormat="1" ht="47.85" customHeight="1">
      <c r="A19" s="892" t="s">
        <v>1537</v>
      </c>
      <c r="B19" s="204"/>
      <c r="C19" s="204"/>
      <c r="D19" s="204">
        <v>50000</v>
      </c>
      <c r="E19" s="893"/>
      <c r="G19" s="894"/>
    </row>
    <row r="20" spans="1:7" s="213" customFormat="1" ht="28.9" customHeight="1">
      <c r="A20" s="897" t="s">
        <v>715</v>
      </c>
      <c r="B20" s="204"/>
      <c r="C20" s="204"/>
      <c r="D20" s="204">
        <f>SUM(D21:D24)</f>
        <v>67900</v>
      </c>
      <c r="E20" s="893"/>
    </row>
    <row r="21" spans="1:7" s="895" customFormat="1" ht="39" customHeight="1">
      <c r="A21" s="919" t="s">
        <v>1244</v>
      </c>
      <c r="B21" s="204"/>
      <c r="C21" s="204"/>
      <c r="D21" s="204">
        <v>34400</v>
      </c>
      <c r="E21" s="893"/>
    </row>
    <row r="22" spans="1:7" s="895" customFormat="1" ht="1.5" customHeight="1">
      <c r="A22" s="919" t="s">
        <v>1239</v>
      </c>
      <c r="B22" s="204"/>
      <c r="C22" s="204"/>
      <c r="D22" s="204"/>
      <c r="E22" s="893"/>
    </row>
    <row r="23" spans="1:7" s="895" customFormat="1" ht="53.25" customHeight="1" thickBot="1">
      <c r="A23" s="1158" t="s">
        <v>1538</v>
      </c>
      <c r="B23" s="227"/>
      <c r="C23" s="227"/>
      <c r="D23" s="227">
        <v>9600</v>
      </c>
      <c r="E23" s="896"/>
    </row>
    <row r="24" spans="1:7" s="895" customFormat="1" ht="46.5" customHeight="1">
      <c r="A24" s="919" t="s">
        <v>1210</v>
      </c>
      <c r="B24" s="204"/>
      <c r="C24" s="204"/>
      <c r="D24" s="204">
        <v>23900</v>
      </c>
      <c r="E24" s="893"/>
    </row>
    <row r="25" spans="1:7" s="895" customFormat="1" ht="30" customHeight="1">
      <c r="A25" s="897" t="s">
        <v>793</v>
      </c>
      <c r="B25" s="204"/>
      <c r="C25" s="204"/>
      <c r="D25" s="204">
        <f>SUM(D26:D30)</f>
        <v>41050</v>
      </c>
      <c r="E25" s="893"/>
    </row>
    <row r="26" spans="1:7" s="895" customFormat="1" ht="38.25" customHeight="1">
      <c r="A26" s="892" t="s">
        <v>716</v>
      </c>
      <c r="B26" s="204"/>
      <c r="C26" s="204"/>
      <c r="D26" s="204">
        <v>11750</v>
      </c>
      <c r="E26" s="893"/>
    </row>
    <row r="27" spans="1:7" s="895" customFormat="1" ht="39" customHeight="1">
      <c r="A27" s="919" t="s">
        <v>1238</v>
      </c>
      <c r="B27" s="204"/>
      <c r="C27" s="204"/>
      <c r="D27" s="204">
        <v>17000</v>
      </c>
      <c r="E27" s="893"/>
    </row>
    <row r="28" spans="1:7" s="895" customFormat="1" ht="32.1" customHeight="1">
      <c r="A28" s="919" t="s">
        <v>1245</v>
      </c>
      <c r="B28" s="204"/>
      <c r="C28" s="204"/>
      <c r="D28" s="204">
        <v>5850</v>
      </c>
      <c r="E28" s="893"/>
    </row>
    <row r="29" spans="1:7" s="895" customFormat="1" ht="32.1" customHeight="1">
      <c r="A29" s="919" t="s">
        <v>1539</v>
      </c>
      <c r="B29" s="204"/>
      <c r="C29" s="204"/>
      <c r="D29" s="204">
        <v>6450</v>
      </c>
      <c r="E29" s="893"/>
    </row>
    <row r="30" spans="1:7" s="895" customFormat="1" ht="38.65" hidden="1" customHeight="1">
      <c r="A30" s="919" t="s">
        <v>1211</v>
      </c>
      <c r="B30" s="204"/>
      <c r="C30" s="204"/>
      <c r="D30" s="204"/>
      <c r="E30" s="893"/>
    </row>
    <row r="31" spans="1:7" s="895" customFormat="1" ht="32.1" customHeight="1">
      <c r="A31" s="891" t="s">
        <v>721</v>
      </c>
      <c r="B31" s="204">
        <v>285000</v>
      </c>
      <c r="C31" s="898">
        <v>1100</v>
      </c>
      <c r="D31" s="1256">
        <v>313500</v>
      </c>
      <c r="E31" s="893"/>
      <c r="G31" s="871">
        <f>B31*C31/1000-D31</f>
        <v>0</v>
      </c>
    </row>
    <row r="32" spans="1:7" s="895" customFormat="1" ht="40.9" customHeight="1">
      <c r="A32" s="891" t="s">
        <v>798</v>
      </c>
      <c r="B32" s="204"/>
      <c r="C32" s="898"/>
      <c r="D32" s="1256">
        <f>D33</f>
        <v>18670</v>
      </c>
      <c r="E32" s="893"/>
    </row>
    <row r="33" spans="1:7" s="895" customFormat="1" ht="40.9" customHeight="1">
      <c r="A33" s="1348" t="s">
        <v>1568</v>
      </c>
      <c r="B33" s="204"/>
      <c r="C33" s="898"/>
      <c r="D33" s="204">
        <v>18670</v>
      </c>
      <c r="E33" s="893"/>
    </row>
    <row r="34" spans="1:7" s="895" customFormat="1" ht="31.5" customHeight="1">
      <c r="A34" s="891" t="s">
        <v>717</v>
      </c>
      <c r="B34" s="204"/>
      <c r="C34" s="204"/>
      <c r="D34" s="1256">
        <f>SUM(D35:D36)</f>
        <v>399058</v>
      </c>
      <c r="E34" s="893"/>
    </row>
    <row r="35" spans="1:7" s="895" customFormat="1" ht="39.75" customHeight="1">
      <c r="A35" s="897" t="s">
        <v>1540</v>
      </c>
      <c r="B35" s="204"/>
      <c r="C35" s="204"/>
      <c r="D35" s="204">
        <v>135743</v>
      </c>
      <c r="E35" s="893"/>
    </row>
    <row r="36" spans="1:7" s="895" customFormat="1" ht="31.5" customHeight="1">
      <c r="A36" s="897" t="s">
        <v>718</v>
      </c>
      <c r="B36" s="204"/>
      <c r="C36" s="204"/>
      <c r="D36" s="204">
        <v>263315</v>
      </c>
      <c r="E36" s="893"/>
    </row>
    <row r="37" spans="1:7" s="233" customFormat="1" ht="34.700000000000003" customHeight="1">
      <c r="A37" s="891" t="s">
        <v>1212</v>
      </c>
      <c r="B37" s="61"/>
      <c r="C37" s="202"/>
      <c r="D37" s="1256">
        <v>389259</v>
      </c>
      <c r="E37" s="237"/>
      <c r="G37" s="871"/>
    </row>
    <row r="38" spans="1:7" s="233" customFormat="1" ht="19.5" customHeight="1">
      <c r="A38" s="891"/>
      <c r="B38" s="61"/>
      <c r="C38" s="202"/>
      <c r="D38" s="204"/>
      <c r="E38" s="237"/>
    </row>
    <row r="39" spans="1:7" s="233" customFormat="1" ht="19.5" customHeight="1">
      <c r="A39" s="891"/>
      <c r="B39" s="61"/>
      <c r="C39" s="202"/>
      <c r="D39" s="204"/>
      <c r="E39" s="237"/>
    </row>
    <row r="40" spans="1:7" s="233" customFormat="1" ht="19.5" customHeight="1">
      <c r="A40" s="891"/>
      <c r="B40" s="61"/>
      <c r="C40" s="202"/>
      <c r="D40" s="204"/>
      <c r="E40" s="237"/>
    </row>
    <row r="41" spans="1:7" s="233" customFormat="1" ht="19.5" customHeight="1">
      <c r="A41" s="891"/>
      <c r="B41" s="61"/>
      <c r="C41" s="202"/>
      <c r="D41" s="204"/>
      <c r="E41" s="237"/>
    </row>
    <row r="42" spans="1:7" s="233" customFormat="1" ht="19.5" customHeight="1">
      <c r="A42" s="891"/>
      <c r="B42" s="61"/>
      <c r="C42" s="202"/>
      <c r="D42" s="204"/>
      <c r="E42" s="237"/>
    </row>
    <row r="43" spans="1:7" s="233" customFormat="1" ht="19.5" customHeight="1">
      <c r="A43" s="891"/>
      <c r="B43" s="61"/>
      <c r="C43" s="202"/>
      <c r="D43" s="204"/>
      <c r="E43" s="237"/>
    </row>
    <row r="44" spans="1:7" s="233" customFormat="1" ht="16.5" customHeight="1">
      <c r="A44" s="891"/>
      <c r="B44" s="61"/>
      <c r="C44" s="202"/>
      <c r="D44" s="204"/>
      <c r="E44" s="237"/>
    </row>
    <row r="45" spans="1:7" s="213" customFormat="1" ht="30" customHeight="1" thickBot="1">
      <c r="A45" s="221"/>
      <c r="B45" s="227"/>
      <c r="C45" s="227"/>
      <c r="D45" s="227"/>
      <c r="E45" s="320"/>
      <c r="G45" s="871"/>
    </row>
    <row r="48" spans="1:7">
      <c r="A48" s="411"/>
    </row>
  </sheetData>
  <mergeCells count="5">
    <mergeCell ref="A1:E1"/>
    <mergeCell ref="A2:E2"/>
    <mergeCell ref="A3:E3"/>
    <mergeCell ref="A4:E4"/>
    <mergeCell ref="E7:E8"/>
  </mergeCells>
  <phoneticPr fontId="6" type="noConversion"/>
  <printOptions horizontalCentered="1"/>
  <pageMargins left="0.59055118110236227" right="0.59055118110236227" top="0.59055118110236227" bottom="0.78740157480314965" header="0.51181102362204722" footer="0.51181102362204722"/>
  <pageSetup paperSize="9" firstPageNumber="81" orientation="portrait" useFirstPageNumber="1" r:id="rId1"/>
  <headerFooter alignWithMargins="0">
    <oddFooter>&amp;C&amp;"Times New Roman,標準"&amp;P</oddFooter>
  </headerFooter>
  <rowBreaks count="1" manualBreakCount="1">
    <brk id="23" max="4" man="1"/>
  </rowBreaks>
  <legacyDrawing r:id="rId2"/>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M61"/>
  <sheetViews>
    <sheetView view="pageBreakPreview" topLeftCell="A43" zoomScale="110" zoomScaleNormal="100" zoomScaleSheetLayoutView="110" workbookViewId="0">
      <selection activeCell="G28" sqref="G28"/>
    </sheetView>
  </sheetViews>
  <sheetFormatPr defaultColWidth="9" defaultRowHeight="16.5"/>
  <cols>
    <col min="1" max="1" width="11.25" style="2" customWidth="1"/>
    <col min="2" max="2" width="6.5" style="156" customWidth="1"/>
    <col min="3" max="3" width="17.875" style="578" customWidth="1"/>
    <col min="4" max="4" width="10.875" style="155" customWidth="1"/>
    <col min="5" max="5" width="7.625" style="692" customWidth="1"/>
    <col min="6" max="6" width="10.75" style="2" customWidth="1"/>
    <col min="7" max="7" width="7.125" style="156" customWidth="1"/>
    <col min="8" max="8" width="10.5" style="2" customWidth="1"/>
    <col min="9" max="9" width="7.625" style="156" customWidth="1"/>
    <col min="10" max="10" width="9" style="2" customWidth="1"/>
    <col min="11" max="13" width="10.375" style="2" hidden="1" customWidth="1"/>
    <col min="14" max="16384" width="9" style="2"/>
  </cols>
  <sheetData>
    <row r="1" spans="1:13" ht="24" customHeight="1">
      <c r="A1" s="1369" t="s">
        <v>916</v>
      </c>
      <c r="B1" s="1369"/>
      <c r="C1" s="1369"/>
      <c r="D1" s="1369"/>
      <c r="E1" s="1369"/>
      <c r="F1" s="1369"/>
      <c r="G1" s="1369"/>
      <c r="H1" s="1369"/>
      <c r="I1" s="1369"/>
    </row>
    <row r="2" spans="1:13" ht="21" customHeight="1">
      <c r="A2" s="1525" t="s">
        <v>41</v>
      </c>
      <c r="B2" s="1369"/>
      <c r="C2" s="1369"/>
      <c r="D2" s="1369"/>
      <c r="E2" s="1369"/>
      <c r="F2" s="1369"/>
      <c r="G2" s="1369"/>
      <c r="H2" s="1369"/>
      <c r="I2" s="1369"/>
    </row>
    <row r="3" spans="1:13" ht="24.95" customHeight="1">
      <c r="A3" s="1370" t="s">
        <v>1150</v>
      </c>
      <c r="B3" s="1371"/>
      <c r="C3" s="1371"/>
      <c r="D3" s="1371"/>
      <c r="E3" s="1371"/>
      <c r="F3" s="1371"/>
      <c r="G3" s="1371"/>
      <c r="H3" s="1371"/>
      <c r="I3" s="1371"/>
    </row>
    <row r="4" spans="1:13" ht="24.95" customHeight="1" thickBot="1">
      <c r="A4" s="1441" t="s">
        <v>1305</v>
      </c>
      <c r="B4" s="1373"/>
      <c r="C4" s="1373"/>
      <c r="D4" s="1373"/>
      <c r="E4" s="1373"/>
      <c r="F4" s="1373"/>
      <c r="G4" s="1373"/>
      <c r="H4" s="1373"/>
      <c r="I4" s="1373"/>
    </row>
    <row r="5" spans="1:13" ht="21" customHeight="1">
      <c r="A5" s="1700" t="s">
        <v>248</v>
      </c>
      <c r="B5" s="1375"/>
      <c r="C5" s="1376" t="s">
        <v>15</v>
      </c>
      <c r="D5" s="1375" t="s">
        <v>249</v>
      </c>
      <c r="E5" s="1375"/>
      <c r="F5" s="1375" t="s">
        <v>250</v>
      </c>
      <c r="G5" s="1375"/>
      <c r="H5" s="1376" t="s">
        <v>1106</v>
      </c>
      <c r="I5" s="1702"/>
    </row>
    <row r="6" spans="1:13" ht="19.5" customHeight="1">
      <c r="A6" s="525" t="s">
        <v>914</v>
      </c>
      <c r="B6" s="686" t="s">
        <v>472</v>
      </c>
      <c r="C6" s="1701"/>
      <c r="D6" s="526" t="s">
        <v>914</v>
      </c>
      <c r="E6" s="689" t="s">
        <v>472</v>
      </c>
      <c r="F6" s="1271" t="s">
        <v>914</v>
      </c>
      <c r="G6" s="686" t="s">
        <v>472</v>
      </c>
      <c r="H6" s="1271" t="s">
        <v>914</v>
      </c>
      <c r="I6" s="693" t="s">
        <v>472</v>
      </c>
    </row>
    <row r="7" spans="1:13" ht="10.15" customHeight="1">
      <c r="A7" s="529"/>
      <c r="B7" s="687"/>
      <c r="C7" s="164"/>
      <c r="D7" s="530"/>
      <c r="E7" s="690"/>
      <c r="F7" s="165"/>
      <c r="G7" s="687"/>
      <c r="H7" s="165"/>
      <c r="I7" s="694"/>
    </row>
    <row r="8" spans="1:13" s="32" customFormat="1" ht="29.85" customHeight="1">
      <c r="A8" s="300">
        <v>769919207</v>
      </c>
      <c r="B8" s="533">
        <v>100</v>
      </c>
      <c r="C8" s="534" t="s">
        <v>16</v>
      </c>
      <c r="D8" s="535">
        <f>+D9+D11+D17+D20</f>
        <v>642560540</v>
      </c>
      <c r="E8" s="533">
        <v>100</v>
      </c>
      <c r="F8" s="535">
        <f>+F9+F11+F17+F20</f>
        <v>543888456</v>
      </c>
      <c r="G8" s="533">
        <v>100</v>
      </c>
      <c r="H8" s="536">
        <f t="shared" ref="H8:H25" si="0">D8-F8</f>
        <v>98672084</v>
      </c>
      <c r="I8" s="315">
        <f>ROUND(H8/F8*100,2)</f>
        <v>18.14</v>
      </c>
      <c r="K8" s="537">
        <f t="shared" ref="K8:K25" si="1">ROUND(A8/$A$8*100,4)</f>
        <v>100</v>
      </c>
      <c r="L8" s="537">
        <f t="shared" ref="L8:L25" si="2">ROUND(D8/$D$8*100,4)</f>
        <v>100</v>
      </c>
      <c r="M8" s="537">
        <f t="shared" ref="M8:M25" si="3">ROUND(F8/$F$8*100,4)</f>
        <v>100</v>
      </c>
    </row>
    <row r="9" spans="1:13" s="32" customFormat="1" ht="29.85" customHeight="1">
      <c r="A9" s="300">
        <v>274738</v>
      </c>
      <c r="B9" s="533">
        <f>ROUND(A9/$A$8*100,2)</f>
        <v>0.04</v>
      </c>
      <c r="C9" s="534" t="s">
        <v>913</v>
      </c>
      <c r="D9" s="535">
        <f>+D10</f>
        <v>274530</v>
      </c>
      <c r="E9" s="538">
        <f>ROUND(D9/$D$8*100,2)</f>
        <v>0.04</v>
      </c>
      <c r="F9" s="535">
        <f>+F10</f>
        <v>281803</v>
      </c>
      <c r="G9" s="538">
        <f>ROUND(F9/$F$8*100,2)</f>
        <v>0.05</v>
      </c>
      <c r="H9" s="536">
        <f t="shared" si="0"/>
        <v>-7273</v>
      </c>
      <c r="I9" s="315">
        <f t="shared" ref="I9:I13" si="4">ROUND(H9/F9*100,2)</f>
        <v>-2.58</v>
      </c>
      <c r="K9" s="537">
        <f t="shared" si="1"/>
        <v>3.5700000000000003E-2</v>
      </c>
      <c r="L9" s="537">
        <f t="shared" si="2"/>
        <v>4.2700000000000002E-2</v>
      </c>
      <c r="M9" s="537">
        <f t="shared" si="3"/>
        <v>5.1799999999999999E-2</v>
      </c>
    </row>
    <row r="10" spans="1:13" s="231" customFormat="1" ht="29.85" customHeight="1">
      <c r="A10" s="539">
        <v>274738</v>
      </c>
      <c r="B10" s="540">
        <f>ROUND(A10/$A$8*100,2)</f>
        <v>0.04</v>
      </c>
      <c r="C10" s="541" t="s">
        <v>912</v>
      </c>
      <c r="D10" s="545">
        <v>274530</v>
      </c>
      <c r="E10" s="344">
        <f>ROUND(D10/$D$8*100,2)</f>
        <v>0.04</v>
      </c>
      <c r="F10" s="545">
        <v>281803</v>
      </c>
      <c r="G10" s="344">
        <f>ROUND(F10/$F$8*100,2)</f>
        <v>0.05</v>
      </c>
      <c r="H10" s="546">
        <f t="shared" si="0"/>
        <v>-7273</v>
      </c>
      <c r="I10" s="311">
        <f t="shared" si="4"/>
        <v>-2.58</v>
      </c>
      <c r="K10" s="544">
        <f t="shared" si="1"/>
        <v>3.5700000000000003E-2</v>
      </c>
      <c r="L10" s="544">
        <f t="shared" si="2"/>
        <v>4.2700000000000002E-2</v>
      </c>
      <c r="M10" s="544">
        <f t="shared" si="3"/>
        <v>5.1799999999999999E-2</v>
      </c>
    </row>
    <row r="11" spans="1:13" s="32" customFormat="1" ht="29.85" customHeight="1">
      <c r="A11" s="300">
        <v>228755335</v>
      </c>
      <c r="B11" s="533">
        <f t="shared" ref="B11:B25" si="5">ROUND(A11/$A$8*100,2)</f>
        <v>29.71</v>
      </c>
      <c r="C11" s="534" t="s">
        <v>911</v>
      </c>
      <c r="D11" s="535">
        <f>+D12+D13+D15+D14+D16</f>
        <v>29507668</v>
      </c>
      <c r="E11" s="538">
        <f>ROUND(D11/$D$8*100,2)</f>
        <v>4.59</v>
      </c>
      <c r="F11" s="535">
        <f>+F12+F13+F15+F14+F16</f>
        <v>31843910</v>
      </c>
      <c r="G11" s="538">
        <f t="shared" ref="G11:G45" si="6">ROUND(F11/$F$8*100,2)</f>
        <v>5.85</v>
      </c>
      <c r="H11" s="536">
        <f t="shared" si="0"/>
        <v>-2336242</v>
      </c>
      <c r="I11" s="315">
        <f t="shared" si="4"/>
        <v>-7.34</v>
      </c>
      <c r="K11" s="537">
        <f t="shared" si="1"/>
        <v>29.711600000000001</v>
      </c>
      <c r="L11" s="537">
        <f t="shared" si="2"/>
        <v>4.5922000000000001</v>
      </c>
      <c r="M11" s="537">
        <f t="shared" si="3"/>
        <v>5.8548999999999998</v>
      </c>
    </row>
    <row r="12" spans="1:13" s="231" customFormat="1" ht="29.85" customHeight="1">
      <c r="A12" s="539">
        <v>154822344</v>
      </c>
      <c r="B12" s="540">
        <f t="shared" si="5"/>
        <v>20.11</v>
      </c>
      <c r="C12" s="541" t="s">
        <v>910</v>
      </c>
      <c r="D12" s="545">
        <f>26118743+1764559</f>
        <v>27883302</v>
      </c>
      <c r="E12" s="344">
        <f>ROUND(D12/$D$8*100,2)</f>
        <v>4.34</v>
      </c>
      <c r="F12" s="545">
        <f>29159224+571518+1000000</f>
        <v>30730742</v>
      </c>
      <c r="G12" s="344">
        <f>ROUND(F12/$F$8*100,2)</f>
        <v>5.65</v>
      </c>
      <c r="H12" s="546">
        <f t="shared" si="0"/>
        <v>-2847440</v>
      </c>
      <c r="I12" s="311">
        <f t="shared" si="4"/>
        <v>-9.27</v>
      </c>
      <c r="K12" s="544">
        <f t="shared" si="1"/>
        <v>20.108899999999998</v>
      </c>
      <c r="L12" s="544">
        <f t="shared" si="2"/>
        <v>4.3394000000000004</v>
      </c>
      <c r="M12" s="544">
        <f t="shared" si="3"/>
        <v>5.6501999999999999</v>
      </c>
    </row>
    <row r="13" spans="1:13" s="231" customFormat="1" ht="29.85" customHeight="1">
      <c r="A13" s="539">
        <v>550586</v>
      </c>
      <c r="B13" s="540">
        <f t="shared" si="5"/>
        <v>7.0000000000000007E-2</v>
      </c>
      <c r="C13" s="541" t="s">
        <v>909</v>
      </c>
      <c r="D13" s="545">
        <f>618695+4253</f>
        <v>622948</v>
      </c>
      <c r="E13" s="344">
        <f>ROUND(D13/$D$8*100,2)</f>
        <v>0.1</v>
      </c>
      <c r="F13" s="545">
        <f>536264+401</f>
        <v>536665</v>
      </c>
      <c r="G13" s="344">
        <f t="shared" si="6"/>
        <v>0.1</v>
      </c>
      <c r="H13" s="546">
        <f t="shared" si="0"/>
        <v>86283</v>
      </c>
      <c r="I13" s="311">
        <f t="shared" si="4"/>
        <v>16.079999999999998</v>
      </c>
      <c r="K13" s="544">
        <f t="shared" si="1"/>
        <v>7.1499999999999994E-2</v>
      </c>
      <c r="L13" s="544">
        <f t="shared" si="2"/>
        <v>9.69E-2</v>
      </c>
      <c r="M13" s="544">
        <f t="shared" si="3"/>
        <v>9.8699999999999996E-2</v>
      </c>
    </row>
    <row r="14" spans="1:13" s="231" customFormat="1" ht="29.85" customHeight="1">
      <c r="A14" s="539">
        <v>72353932</v>
      </c>
      <c r="B14" s="540">
        <f t="shared" si="5"/>
        <v>9.4</v>
      </c>
      <c r="C14" s="541" t="s">
        <v>908</v>
      </c>
      <c r="D14" s="542">
        <f>2911000-2911000</f>
        <v>0</v>
      </c>
      <c r="E14" s="344">
        <f t="shared" ref="E14:E15" si="7">ROUND(D14/$D$8*100,2)</f>
        <v>0</v>
      </c>
      <c r="F14" s="542">
        <v>0</v>
      </c>
      <c r="G14" s="344">
        <f t="shared" si="6"/>
        <v>0</v>
      </c>
      <c r="H14" s="542">
        <f t="shared" si="0"/>
        <v>0</v>
      </c>
      <c r="I14" s="549">
        <v>0</v>
      </c>
      <c r="K14" s="544">
        <f t="shared" si="1"/>
        <v>9.3976000000000006</v>
      </c>
      <c r="L14" s="544">
        <f t="shared" si="2"/>
        <v>0</v>
      </c>
      <c r="M14" s="544">
        <f t="shared" si="3"/>
        <v>0</v>
      </c>
    </row>
    <row r="15" spans="1:13" s="231" customFormat="1" ht="32.25" customHeight="1">
      <c r="A15" s="539">
        <v>277284</v>
      </c>
      <c r="B15" s="600">
        <f t="shared" si="5"/>
        <v>0.04</v>
      </c>
      <c r="C15" s="541" t="s">
        <v>907</v>
      </c>
      <c r="D15" s="547">
        <v>0</v>
      </c>
      <c r="E15" s="344">
        <f t="shared" si="7"/>
        <v>0</v>
      </c>
      <c r="F15" s="548">
        <v>0</v>
      </c>
      <c r="G15" s="344">
        <f t="shared" si="6"/>
        <v>0</v>
      </c>
      <c r="H15" s="547">
        <f t="shared" si="0"/>
        <v>0</v>
      </c>
      <c r="I15" s="549">
        <v>0</v>
      </c>
      <c r="K15" s="544">
        <f t="shared" si="1"/>
        <v>3.5999999999999997E-2</v>
      </c>
      <c r="L15" s="544">
        <f t="shared" si="2"/>
        <v>0</v>
      </c>
      <c r="M15" s="544">
        <f t="shared" si="3"/>
        <v>0</v>
      </c>
    </row>
    <row r="16" spans="1:13" s="231" customFormat="1" ht="29.85" customHeight="1">
      <c r="A16" s="539">
        <v>751188</v>
      </c>
      <c r="B16" s="540">
        <f>ROUND(A16/$A$8*100,2)</f>
        <v>0.1</v>
      </c>
      <c r="C16" s="541" t="s">
        <v>906</v>
      </c>
      <c r="D16" s="545">
        <f>919847+81571</f>
        <v>1001418</v>
      </c>
      <c r="E16" s="344">
        <f>ROUND(D16/$D$8*100,2)</f>
        <v>0.16</v>
      </c>
      <c r="F16" s="545">
        <f>562811+13692</f>
        <v>576503</v>
      </c>
      <c r="G16" s="344">
        <f>ROUND(F16/$F$8*100,2)</f>
        <v>0.11</v>
      </c>
      <c r="H16" s="546">
        <f t="shared" si="0"/>
        <v>424915</v>
      </c>
      <c r="I16" s="311">
        <f t="shared" ref="I16:I21" si="8">ROUND(H16/F16*100,2)</f>
        <v>73.709999999999994</v>
      </c>
      <c r="K16" s="544">
        <f t="shared" si="1"/>
        <v>9.7600000000000006E-2</v>
      </c>
      <c r="L16" s="544">
        <f t="shared" si="2"/>
        <v>0.15579999999999999</v>
      </c>
      <c r="M16" s="544">
        <f t="shared" si="3"/>
        <v>0.106</v>
      </c>
    </row>
    <row r="17" spans="1:13" s="32" customFormat="1" ht="31.35" customHeight="1">
      <c r="A17" s="300">
        <v>510819805</v>
      </c>
      <c r="B17" s="533">
        <f t="shared" si="5"/>
        <v>66.349999999999994</v>
      </c>
      <c r="C17" s="534" t="s">
        <v>905</v>
      </c>
      <c r="D17" s="535">
        <f>D18+D19</f>
        <v>482778342</v>
      </c>
      <c r="E17" s="538">
        <f t="shared" ref="E17:E48" si="9">ROUND(D17/$D$8*100,2)</f>
        <v>75.13</v>
      </c>
      <c r="F17" s="535">
        <f>F18+F19</f>
        <v>466762743</v>
      </c>
      <c r="G17" s="538">
        <f t="shared" si="6"/>
        <v>85.82</v>
      </c>
      <c r="H17" s="536">
        <f t="shared" si="0"/>
        <v>16015599</v>
      </c>
      <c r="I17" s="315">
        <f t="shared" si="8"/>
        <v>3.43</v>
      </c>
      <c r="K17" s="537">
        <f t="shared" si="1"/>
        <v>66.347200000000001</v>
      </c>
      <c r="L17" s="537">
        <f t="shared" si="2"/>
        <v>75.133499999999998</v>
      </c>
      <c r="M17" s="537">
        <f t="shared" si="3"/>
        <v>85.819599999999994</v>
      </c>
    </row>
    <row r="18" spans="1:13" s="231" customFormat="1" ht="29.45" customHeight="1">
      <c r="A18" s="539">
        <v>443257143</v>
      </c>
      <c r="B18" s="540">
        <f t="shared" si="5"/>
        <v>57.57</v>
      </c>
      <c r="C18" s="541" t="s">
        <v>904</v>
      </c>
      <c r="D18" s="545">
        <v>482778342</v>
      </c>
      <c r="E18" s="344">
        <f t="shared" si="9"/>
        <v>75.13</v>
      </c>
      <c r="F18" s="545">
        <v>466762743</v>
      </c>
      <c r="G18" s="344">
        <f t="shared" si="6"/>
        <v>85.82</v>
      </c>
      <c r="H18" s="546">
        <f t="shared" si="0"/>
        <v>16015599</v>
      </c>
      <c r="I18" s="311">
        <f t="shared" si="8"/>
        <v>3.43</v>
      </c>
      <c r="K18" s="544">
        <f t="shared" si="1"/>
        <v>57.571899999999999</v>
      </c>
      <c r="L18" s="544">
        <f t="shared" si="2"/>
        <v>75.133499999999998</v>
      </c>
      <c r="M18" s="544">
        <f t="shared" si="3"/>
        <v>85.819599999999994</v>
      </c>
    </row>
    <row r="19" spans="1:13" s="231" customFormat="1" ht="29.1" customHeight="1">
      <c r="A19" s="557">
        <v>67562662</v>
      </c>
      <c r="B19" s="540">
        <f t="shared" si="5"/>
        <v>8.7799999999999994</v>
      </c>
      <c r="C19" s="556" t="s">
        <v>903</v>
      </c>
      <c r="D19" s="542">
        <f>23860987-23860987</f>
        <v>0</v>
      </c>
      <c r="E19" s="344">
        <f t="shared" si="9"/>
        <v>0</v>
      </c>
      <c r="F19" s="542">
        <v>0</v>
      </c>
      <c r="G19" s="344">
        <f t="shared" si="6"/>
        <v>0</v>
      </c>
      <c r="H19" s="542">
        <f t="shared" si="0"/>
        <v>0</v>
      </c>
      <c r="I19" s="843" t="s">
        <v>1378</v>
      </c>
      <c r="K19" s="544">
        <f t="shared" si="1"/>
        <v>8.7752999999999997</v>
      </c>
      <c r="L19" s="544">
        <f t="shared" si="2"/>
        <v>0</v>
      </c>
      <c r="M19" s="544">
        <f t="shared" si="3"/>
        <v>0</v>
      </c>
    </row>
    <row r="20" spans="1:13" s="32" customFormat="1" ht="27" customHeight="1">
      <c r="A20" s="300">
        <v>30069329</v>
      </c>
      <c r="B20" s="533">
        <f t="shared" si="5"/>
        <v>3.91</v>
      </c>
      <c r="C20" s="534" t="s">
        <v>902</v>
      </c>
      <c r="D20" s="547">
        <f>+D21+D22</f>
        <v>130000000</v>
      </c>
      <c r="E20" s="538">
        <f t="shared" si="9"/>
        <v>20.23</v>
      </c>
      <c r="F20" s="547">
        <f>+F21+F22</f>
        <v>45000000</v>
      </c>
      <c r="G20" s="538">
        <f t="shared" si="6"/>
        <v>8.27</v>
      </c>
      <c r="H20" s="536">
        <f t="shared" si="0"/>
        <v>85000000</v>
      </c>
      <c r="I20" s="315">
        <f>ROUND(H20/F20*100,2)</f>
        <v>188.89</v>
      </c>
      <c r="K20" s="537">
        <f t="shared" si="1"/>
        <v>3.9055</v>
      </c>
      <c r="L20" s="537">
        <f t="shared" si="2"/>
        <v>20.2316</v>
      </c>
      <c r="M20" s="537">
        <f t="shared" si="3"/>
        <v>8.2737999999999996</v>
      </c>
    </row>
    <row r="21" spans="1:13" s="231" customFormat="1" ht="29.85" customHeight="1">
      <c r="A21" s="557">
        <v>30000000</v>
      </c>
      <c r="B21" s="344">
        <f t="shared" si="5"/>
        <v>3.9</v>
      </c>
      <c r="C21" s="559" t="s">
        <v>901</v>
      </c>
      <c r="D21" s="542">
        <f>10000000+100000000+20000000</f>
        <v>130000000</v>
      </c>
      <c r="E21" s="344">
        <f t="shared" si="9"/>
        <v>20.23</v>
      </c>
      <c r="F21" s="542">
        <v>45000000</v>
      </c>
      <c r="G21" s="344">
        <f t="shared" si="6"/>
        <v>8.27</v>
      </c>
      <c r="H21" s="546">
        <f t="shared" si="0"/>
        <v>85000000</v>
      </c>
      <c r="I21" s="311">
        <f t="shared" si="8"/>
        <v>188.89</v>
      </c>
      <c r="K21" s="544">
        <f t="shared" si="1"/>
        <v>3.8965000000000001</v>
      </c>
      <c r="L21" s="544">
        <f t="shared" si="2"/>
        <v>20.2316</v>
      </c>
      <c r="M21" s="544">
        <f t="shared" si="3"/>
        <v>8.2737999999999996</v>
      </c>
    </row>
    <row r="22" spans="1:13" s="231" customFormat="1" ht="29.85" customHeight="1">
      <c r="A22" s="557">
        <v>69329</v>
      </c>
      <c r="B22" s="540">
        <f>ROUND(A22/$A$8*100,2)</f>
        <v>0.01</v>
      </c>
      <c r="C22" s="559" t="s">
        <v>900</v>
      </c>
      <c r="D22" s="542">
        <v>0</v>
      </c>
      <c r="E22" s="344">
        <f t="shared" si="9"/>
        <v>0</v>
      </c>
      <c r="F22" s="542">
        <v>0</v>
      </c>
      <c r="G22" s="344">
        <f t="shared" si="6"/>
        <v>0</v>
      </c>
      <c r="H22" s="542">
        <f t="shared" si="0"/>
        <v>0</v>
      </c>
      <c r="I22" s="543">
        <v>0</v>
      </c>
      <c r="K22" s="544">
        <f t="shared" si="1"/>
        <v>8.9999999999999993E-3</v>
      </c>
      <c r="L22" s="544">
        <f t="shared" si="2"/>
        <v>0</v>
      </c>
      <c r="M22" s="544">
        <f t="shared" si="3"/>
        <v>0</v>
      </c>
    </row>
    <row r="23" spans="1:13" s="32" customFormat="1" ht="29.85" customHeight="1">
      <c r="A23" s="300">
        <v>770251068</v>
      </c>
      <c r="B23" s="533">
        <f t="shared" si="5"/>
        <v>100.04</v>
      </c>
      <c r="C23" s="534" t="s">
        <v>899</v>
      </c>
      <c r="D23" s="535">
        <f>D24+D26+D30+D34</f>
        <v>642859927</v>
      </c>
      <c r="E23" s="538">
        <f t="shared" si="9"/>
        <v>100.05</v>
      </c>
      <c r="F23" s="535">
        <f>F24+F26+F30+F34</f>
        <v>544152993</v>
      </c>
      <c r="G23" s="538">
        <f t="shared" si="6"/>
        <v>100.05</v>
      </c>
      <c r="H23" s="536">
        <f t="shared" si="0"/>
        <v>98706934</v>
      </c>
      <c r="I23" s="315">
        <f t="shared" ref="I23:I27" si="10">ROUND(H23/F23*100,2)</f>
        <v>18.14</v>
      </c>
      <c r="K23" s="537">
        <f t="shared" si="1"/>
        <v>100.0431</v>
      </c>
      <c r="L23" s="537">
        <f t="shared" si="2"/>
        <v>100.0466</v>
      </c>
      <c r="M23" s="537">
        <f t="shared" si="3"/>
        <v>100.04859999999999</v>
      </c>
    </row>
    <row r="24" spans="1:13" s="32" customFormat="1" ht="29.85" customHeight="1">
      <c r="A24" s="300">
        <v>28956</v>
      </c>
      <c r="B24" s="538">
        <f t="shared" si="5"/>
        <v>0</v>
      </c>
      <c r="C24" s="534" t="s">
        <v>898</v>
      </c>
      <c r="D24" s="535">
        <f>+D25</f>
        <v>32423</v>
      </c>
      <c r="E24" s="538">
        <f t="shared" si="9"/>
        <v>0.01</v>
      </c>
      <c r="F24" s="535">
        <f>+F25</f>
        <v>31573</v>
      </c>
      <c r="G24" s="538">
        <f t="shared" si="6"/>
        <v>0.01</v>
      </c>
      <c r="H24" s="536">
        <f t="shared" si="0"/>
        <v>850</v>
      </c>
      <c r="I24" s="315">
        <f t="shared" si="10"/>
        <v>2.69</v>
      </c>
      <c r="K24" s="537">
        <f t="shared" si="1"/>
        <v>3.8E-3</v>
      </c>
      <c r="L24" s="537">
        <f t="shared" si="2"/>
        <v>5.0000000000000001E-3</v>
      </c>
      <c r="M24" s="537">
        <f t="shared" si="3"/>
        <v>5.7999999999999996E-3</v>
      </c>
    </row>
    <row r="25" spans="1:13" s="231" customFormat="1" ht="29.85" customHeight="1">
      <c r="A25" s="539">
        <v>28956</v>
      </c>
      <c r="B25" s="1028">
        <f t="shared" si="5"/>
        <v>0</v>
      </c>
      <c r="C25" s="541" t="s">
        <v>897</v>
      </c>
      <c r="D25" s="545">
        <v>32423</v>
      </c>
      <c r="E25" s="344">
        <f t="shared" si="9"/>
        <v>0.01</v>
      </c>
      <c r="F25" s="545">
        <v>31573</v>
      </c>
      <c r="G25" s="344">
        <f t="shared" si="6"/>
        <v>0.01</v>
      </c>
      <c r="H25" s="546">
        <f t="shared" si="0"/>
        <v>850</v>
      </c>
      <c r="I25" s="311">
        <f t="shared" si="10"/>
        <v>2.69</v>
      </c>
      <c r="K25" s="544">
        <f t="shared" si="1"/>
        <v>3.8E-3</v>
      </c>
      <c r="L25" s="544">
        <f t="shared" si="2"/>
        <v>5.0000000000000001E-3</v>
      </c>
      <c r="M25" s="544">
        <f t="shared" si="3"/>
        <v>5.7999999999999996E-3</v>
      </c>
    </row>
    <row r="26" spans="1:13" s="32" customFormat="1" ht="29.85" customHeight="1">
      <c r="A26" s="300">
        <v>288061196</v>
      </c>
      <c r="B26" s="533">
        <f t="shared" ref="B26:B41" si="11">ROUND(A26/$A$8*100,2)</f>
        <v>37.409999999999997</v>
      </c>
      <c r="C26" s="534" t="s">
        <v>896</v>
      </c>
      <c r="D26" s="535">
        <f>+D27+D28+D29</f>
        <v>1012696</v>
      </c>
      <c r="E26" s="538">
        <f t="shared" si="9"/>
        <v>0.16</v>
      </c>
      <c r="F26" s="535">
        <f>+F27+F28+F29</f>
        <v>1003200</v>
      </c>
      <c r="G26" s="538">
        <f t="shared" si="6"/>
        <v>0.18</v>
      </c>
      <c r="H26" s="536">
        <f t="shared" ref="H26:H41" si="12">D26-F26</f>
        <v>9496</v>
      </c>
      <c r="I26" s="315">
        <f>ROUND(H26/F26*100,2)</f>
        <v>0.95</v>
      </c>
      <c r="K26" s="537">
        <f t="shared" ref="K26:K41" si="13">ROUND(A26/$A$8*100,4)</f>
        <v>37.414499999999997</v>
      </c>
      <c r="L26" s="537">
        <f t="shared" ref="L26:L41" si="14">ROUND(D26/$D$8*100,4)</f>
        <v>0.15759999999999999</v>
      </c>
      <c r="M26" s="537">
        <f t="shared" ref="M26:M41" si="15">ROUND(F26/$F$8*100,4)</f>
        <v>0.18440000000000001</v>
      </c>
    </row>
    <row r="27" spans="1:13" s="231" customFormat="1" ht="29.85" customHeight="1">
      <c r="A27" s="539">
        <v>250023188</v>
      </c>
      <c r="B27" s="540">
        <f t="shared" si="11"/>
        <v>32.47</v>
      </c>
      <c r="C27" s="541" t="s">
        <v>895</v>
      </c>
      <c r="D27" s="545">
        <f>887197+57499</f>
        <v>944696</v>
      </c>
      <c r="E27" s="344">
        <f t="shared" si="9"/>
        <v>0.15</v>
      </c>
      <c r="F27" s="545">
        <f>917947+17253</f>
        <v>935200</v>
      </c>
      <c r="G27" s="344">
        <f t="shared" si="6"/>
        <v>0.17</v>
      </c>
      <c r="H27" s="546">
        <f t="shared" si="12"/>
        <v>9496</v>
      </c>
      <c r="I27" s="311">
        <f t="shared" si="10"/>
        <v>1.02</v>
      </c>
      <c r="K27" s="544">
        <f t="shared" si="13"/>
        <v>32.473999999999997</v>
      </c>
      <c r="L27" s="544">
        <f t="shared" si="14"/>
        <v>0.14699999999999999</v>
      </c>
      <c r="M27" s="544">
        <f t="shared" si="15"/>
        <v>0.1719</v>
      </c>
    </row>
    <row r="28" spans="1:13" s="231" customFormat="1" ht="41.25" customHeight="1" thickBot="1">
      <c r="A28" s="550">
        <v>64594</v>
      </c>
      <c r="B28" s="551">
        <f t="shared" si="11"/>
        <v>0.01</v>
      </c>
      <c r="C28" s="552" t="s">
        <v>894</v>
      </c>
      <c r="D28" s="1162">
        <v>68000</v>
      </c>
      <c r="E28" s="366">
        <f t="shared" si="9"/>
        <v>0.01</v>
      </c>
      <c r="F28" s="1162">
        <v>68000</v>
      </c>
      <c r="G28" s="366">
        <f t="shared" si="6"/>
        <v>0.01</v>
      </c>
      <c r="H28" s="589">
        <f t="shared" si="12"/>
        <v>0</v>
      </c>
      <c r="I28" s="1163">
        <f>ROUND(H28/F28*100,2)</f>
        <v>0</v>
      </c>
      <c r="K28" s="544">
        <f t="shared" si="13"/>
        <v>8.3999999999999995E-3</v>
      </c>
      <c r="L28" s="544">
        <f t="shared" si="14"/>
        <v>1.06E-2</v>
      </c>
      <c r="M28" s="544">
        <f t="shared" si="15"/>
        <v>1.2500000000000001E-2</v>
      </c>
    </row>
    <row r="29" spans="1:13" s="231" customFormat="1" ht="28.9" customHeight="1">
      <c r="A29" s="539">
        <v>37973414</v>
      </c>
      <c r="B29" s="540">
        <f t="shared" si="11"/>
        <v>4.93</v>
      </c>
      <c r="C29" s="541" t="s">
        <v>893</v>
      </c>
      <c r="D29" s="542">
        <f>2911000-2911000</f>
        <v>0</v>
      </c>
      <c r="E29" s="344">
        <f t="shared" si="9"/>
        <v>0</v>
      </c>
      <c r="F29" s="542">
        <v>0</v>
      </c>
      <c r="G29" s="344">
        <f t="shared" si="6"/>
        <v>0</v>
      </c>
      <c r="H29" s="542">
        <f t="shared" si="12"/>
        <v>0</v>
      </c>
      <c r="I29" s="543">
        <v>0</v>
      </c>
      <c r="K29" s="544">
        <f t="shared" si="13"/>
        <v>4.9321000000000002</v>
      </c>
      <c r="L29" s="544">
        <f t="shared" si="14"/>
        <v>0</v>
      </c>
      <c r="M29" s="544">
        <f t="shared" si="15"/>
        <v>0</v>
      </c>
    </row>
    <row r="30" spans="1:13" s="32" customFormat="1" ht="27.6" customHeight="1">
      <c r="A30" s="300">
        <v>482160916</v>
      </c>
      <c r="B30" s="533">
        <f t="shared" si="11"/>
        <v>62.62</v>
      </c>
      <c r="C30" s="534" t="s">
        <v>892</v>
      </c>
      <c r="D30" s="535">
        <f>D31+D32+D33</f>
        <v>641814808</v>
      </c>
      <c r="E30" s="538">
        <f t="shared" si="9"/>
        <v>99.88</v>
      </c>
      <c r="F30" s="535">
        <f>F31+F32+F33</f>
        <v>543118220</v>
      </c>
      <c r="G30" s="538">
        <f t="shared" si="6"/>
        <v>99.86</v>
      </c>
      <c r="H30" s="536">
        <f t="shared" si="12"/>
        <v>98696588</v>
      </c>
      <c r="I30" s="315">
        <f>ROUND(H30/F30*100,2)</f>
        <v>18.170000000000002</v>
      </c>
      <c r="K30" s="537">
        <f t="shared" si="13"/>
        <v>62.624899999999997</v>
      </c>
      <c r="L30" s="537">
        <f t="shared" si="14"/>
        <v>99.883899999999997</v>
      </c>
      <c r="M30" s="537">
        <f t="shared" si="15"/>
        <v>99.858400000000003</v>
      </c>
    </row>
    <row r="31" spans="1:13" s="231" customFormat="1" ht="29.1" customHeight="1">
      <c r="A31" s="539">
        <v>481427175</v>
      </c>
      <c r="B31" s="540">
        <f t="shared" si="11"/>
        <v>62.53</v>
      </c>
      <c r="C31" s="541" t="s">
        <v>891</v>
      </c>
      <c r="D31" s="545">
        <v>543211117</v>
      </c>
      <c r="E31" s="344">
        <f t="shared" si="9"/>
        <v>84.54</v>
      </c>
      <c r="F31" s="545">
        <v>536712433</v>
      </c>
      <c r="G31" s="344">
        <f t="shared" si="6"/>
        <v>98.68</v>
      </c>
      <c r="H31" s="542">
        <f t="shared" si="12"/>
        <v>6498684</v>
      </c>
      <c r="I31" s="311">
        <f>ROUND(H31/F31*100,2)</f>
        <v>1.21</v>
      </c>
      <c r="K31" s="544">
        <f t="shared" si="13"/>
        <v>62.529600000000002</v>
      </c>
      <c r="L31" s="544">
        <f t="shared" si="14"/>
        <v>84.538499999999999</v>
      </c>
      <c r="M31" s="544">
        <f t="shared" si="15"/>
        <v>98.680599999999998</v>
      </c>
    </row>
    <row r="32" spans="1:13" s="231" customFormat="1" ht="29.45" customHeight="1">
      <c r="A32" s="557">
        <v>0</v>
      </c>
      <c r="B32" s="1028">
        <f t="shared" si="11"/>
        <v>0</v>
      </c>
      <c r="C32" s="541" t="s">
        <v>890</v>
      </c>
      <c r="D32" s="542">
        <f>77931897+20000000</f>
        <v>97931897</v>
      </c>
      <c r="E32" s="344">
        <f t="shared" si="9"/>
        <v>15.24</v>
      </c>
      <c r="F32" s="542">
        <f>4641046+1000000</f>
        <v>5641046</v>
      </c>
      <c r="G32" s="344">
        <f>ROUND(F32/$F$8*100,2)</f>
        <v>1.04</v>
      </c>
      <c r="H32" s="546">
        <f>D32-F32</f>
        <v>92290851</v>
      </c>
      <c r="I32" s="311">
        <f>ROUND(H32/F32*100,2)</f>
        <v>1636.06</v>
      </c>
      <c r="K32" s="544">
        <f t="shared" si="13"/>
        <v>0</v>
      </c>
      <c r="L32" s="544">
        <f t="shared" si="14"/>
        <v>15.2409</v>
      </c>
      <c r="M32" s="544">
        <f t="shared" si="15"/>
        <v>1.0371999999999999</v>
      </c>
    </row>
    <row r="33" spans="1:13" s="231" customFormat="1" ht="28.7" customHeight="1">
      <c r="A33" s="539">
        <v>733741</v>
      </c>
      <c r="B33" s="540">
        <f t="shared" si="11"/>
        <v>0.1</v>
      </c>
      <c r="C33" s="541" t="s">
        <v>889</v>
      </c>
      <c r="D33" s="545">
        <v>671794</v>
      </c>
      <c r="E33" s="344">
        <f t="shared" si="9"/>
        <v>0.1</v>
      </c>
      <c r="F33" s="545">
        <v>764741</v>
      </c>
      <c r="G33" s="344">
        <f t="shared" si="6"/>
        <v>0.14000000000000001</v>
      </c>
      <c r="H33" s="546">
        <f t="shared" si="12"/>
        <v>-92947</v>
      </c>
      <c r="I33" s="311">
        <f>ROUND(H33/F33*100,2)</f>
        <v>-12.15</v>
      </c>
      <c r="K33" s="544">
        <f t="shared" si="13"/>
        <v>9.5299999999999996E-2</v>
      </c>
      <c r="L33" s="544">
        <f t="shared" si="14"/>
        <v>0.1045</v>
      </c>
      <c r="M33" s="544">
        <f t="shared" si="15"/>
        <v>0.1406</v>
      </c>
    </row>
    <row r="34" spans="1:13" s="32" customFormat="1" ht="27.6" hidden="1" customHeight="1">
      <c r="A34" s="300">
        <v>0</v>
      </c>
      <c r="B34" s="547">
        <f t="shared" si="11"/>
        <v>0</v>
      </c>
      <c r="C34" s="534" t="s">
        <v>888</v>
      </c>
      <c r="D34" s="542">
        <f>+D35</f>
        <v>0</v>
      </c>
      <c r="E34" s="344">
        <f t="shared" si="9"/>
        <v>0</v>
      </c>
      <c r="F34" s="542">
        <f>+F35</f>
        <v>0</v>
      </c>
      <c r="G34" s="344">
        <f t="shared" si="6"/>
        <v>0</v>
      </c>
      <c r="H34" s="542">
        <f t="shared" si="12"/>
        <v>0</v>
      </c>
      <c r="I34" s="543">
        <v>0</v>
      </c>
      <c r="K34" s="537">
        <f t="shared" si="13"/>
        <v>0</v>
      </c>
      <c r="L34" s="537">
        <f t="shared" si="14"/>
        <v>0</v>
      </c>
      <c r="M34" s="537">
        <f t="shared" si="15"/>
        <v>0</v>
      </c>
    </row>
    <row r="35" spans="1:13" s="231" customFormat="1" ht="28.7" hidden="1" customHeight="1">
      <c r="A35" s="539">
        <v>0</v>
      </c>
      <c r="B35" s="542">
        <f t="shared" si="11"/>
        <v>0</v>
      </c>
      <c r="C35" s="541" t="s">
        <v>887</v>
      </c>
      <c r="D35" s="542">
        <v>0</v>
      </c>
      <c r="E35" s="344">
        <f t="shared" si="9"/>
        <v>0</v>
      </c>
      <c r="F35" s="542">
        <v>0</v>
      </c>
      <c r="G35" s="344">
        <f t="shared" si="6"/>
        <v>0</v>
      </c>
      <c r="H35" s="542">
        <f t="shared" si="12"/>
        <v>0</v>
      </c>
      <c r="I35" s="543">
        <v>0</v>
      </c>
      <c r="K35" s="544">
        <f t="shared" si="13"/>
        <v>0</v>
      </c>
      <c r="L35" s="544">
        <f t="shared" si="14"/>
        <v>0</v>
      </c>
      <c r="M35" s="544">
        <f t="shared" si="15"/>
        <v>0</v>
      </c>
    </row>
    <row r="36" spans="1:13" s="32" customFormat="1" ht="28.7" customHeight="1">
      <c r="A36" s="561">
        <v>-331861</v>
      </c>
      <c r="B36" s="533">
        <f t="shared" si="11"/>
        <v>-0.04</v>
      </c>
      <c r="C36" s="534" t="s">
        <v>886</v>
      </c>
      <c r="D36" s="536">
        <f>D8-D23</f>
        <v>-299387</v>
      </c>
      <c r="E36" s="533">
        <f t="shared" si="9"/>
        <v>-0.05</v>
      </c>
      <c r="F36" s="536">
        <f>F8-F23</f>
        <v>-264537</v>
      </c>
      <c r="G36" s="533">
        <f t="shared" si="6"/>
        <v>-0.05</v>
      </c>
      <c r="H36" s="536">
        <f t="shared" si="12"/>
        <v>-34850</v>
      </c>
      <c r="I36" s="315">
        <f t="shared" ref="I36:I40" si="16">ROUND(H36/F36*100,2)</f>
        <v>13.17</v>
      </c>
      <c r="K36" s="537">
        <f t="shared" si="13"/>
        <v>-4.3099999999999999E-2</v>
      </c>
      <c r="L36" s="537">
        <f t="shared" si="14"/>
        <v>-4.6600000000000003E-2</v>
      </c>
      <c r="M36" s="537">
        <f t="shared" si="15"/>
        <v>-4.8599999999999997E-2</v>
      </c>
    </row>
    <row r="37" spans="1:13" s="32" customFormat="1" ht="28.7" customHeight="1">
      <c r="A37" s="302">
        <v>332506</v>
      </c>
      <c r="B37" s="533">
        <f t="shared" si="11"/>
        <v>0.04</v>
      </c>
      <c r="C37" s="534" t="s">
        <v>885</v>
      </c>
      <c r="D37" s="563">
        <f>D38+D40</f>
        <v>301410</v>
      </c>
      <c r="E37" s="538">
        <f t="shared" si="9"/>
        <v>0.05</v>
      </c>
      <c r="F37" s="563">
        <f>F38+F40</f>
        <v>264681</v>
      </c>
      <c r="G37" s="538">
        <f t="shared" si="6"/>
        <v>0.05</v>
      </c>
      <c r="H37" s="314">
        <f t="shared" si="12"/>
        <v>36729</v>
      </c>
      <c r="I37" s="315">
        <f t="shared" si="16"/>
        <v>13.88</v>
      </c>
      <c r="K37" s="537">
        <f t="shared" si="13"/>
        <v>4.3200000000000002E-2</v>
      </c>
      <c r="L37" s="537">
        <f t="shared" si="14"/>
        <v>4.6899999999999997E-2</v>
      </c>
      <c r="M37" s="537">
        <f t="shared" si="15"/>
        <v>4.87E-2</v>
      </c>
    </row>
    <row r="38" spans="1:13" s="32" customFormat="1" ht="27.95" customHeight="1">
      <c r="A38" s="300">
        <v>416</v>
      </c>
      <c r="B38" s="547">
        <f t="shared" si="11"/>
        <v>0</v>
      </c>
      <c r="C38" s="534" t="s">
        <v>884</v>
      </c>
      <c r="D38" s="535">
        <f>D39</f>
        <v>320</v>
      </c>
      <c r="E38" s="538">
        <f>ROUND(D38/$D$8*100,2)</f>
        <v>0</v>
      </c>
      <c r="F38" s="535">
        <f>F39</f>
        <v>313</v>
      </c>
      <c r="G38" s="538">
        <f t="shared" si="6"/>
        <v>0</v>
      </c>
      <c r="H38" s="314">
        <f t="shared" si="12"/>
        <v>7</v>
      </c>
      <c r="I38" s="315">
        <f t="shared" si="16"/>
        <v>2.2400000000000002</v>
      </c>
      <c r="K38" s="537">
        <f t="shared" si="13"/>
        <v>1E-4</v>
      </c>
      <c r="L38" s="537">
        <f t="shared" si="14"/>
        <v>0</v>
      </c>
      <c r="M38" s="537">
        <f t="shared" si="15"/>
        <v>1E-4</v>
      </c>
    </row>
    <row r="39" spans="1:13" s="231" customFormat="1" ht="28.15" customHeight="1">
      <c r="A39" s="539">
        <v>416</v>
      </c>
      <c r="B39" s="547">
        <f t="shared" si="11"/>
        <v>0</v>
      </c>
      <c r="C39" s="541" t="s">
        <v>883</v>
      </c>
      <c r="D39" s="545">
        <v>320</v>
      </c>
      <c r="E39" s="344">
        <f t="shared" si="9"/>
        <v>0</v>
      </c>
      <c r="F39" s="545">
        <v>313</v>
      </c>
      <c r="G39" s="344">
        <f t="shared" si="6"/>
        <v>0</v>
      </c>
      <c r="H39" s="562">
        <f t="shared" si="12"/>
        <v>7</v>
      </c>
      <c r="I39" s="311">
        <f t="shared" si="16"/>
        <v>2.2400000000000002</v>
      </c>
      <c r="K39" s="544">
        <f t="shared" si="13"/>
        <v>1E-4</v>
      </c>
      <c r="L39" s="544">
        <f t="shared" si="14"/>
        <v>0</v>
      </c>
      <c r="M39" s="544">
        <f t="shared" si="15"/>
        <v>1E-4</v>
      </c>
    </row>
    <row r="40" spans="1:13" s="32" customFormat="1" ht="27" customHeight="1">
      <c r="A40" s="300">
        <v>332090</v>
      </c>
      <c r="B40" s="533">
        <f t="shared" si="11"/>
        <v>0.04</v>
      </c>
      <c r="C40" s="534" t="s">
        <v>882</v>
      </c>
      <c r="D40" s="535">
        <f>D41+D43+D44</f>
        <v>301090</v>
      </c>
      <c r="E40" s="538">
        <f t="shared" si="9"/>
        <v>0.05</v>
      </c>
      <c r="F40" s="535">
        <f>F41+F43+F44</f>
        <v>264368</v>
      </c>
      <c r="G40" s="538">
        <f t="shared" si="6"/>
        <v>0.05</v>
      </c>
      <c r="H40" s="314">
        <f>D40-F40</f>
        <v>36722</v>
      </c>
      <c r="I40" s="315">
        <f t="shared" si="16"/>
        <v>13.89</v>
      </c>
      <c r="K40" s="537">
        <f t="shared" si="13"/>
        <v>4.3099999999999999E-2</v>
      </c>
      <c r="L40" s="537">
        <f t="shared" si="14"/>
        <v>4.6899999999999997E-2</v>
      </c>
      <c r="M40" s="537">
        <f t="shared" si="15"/>
        <v>4.8599999999999997E-2</v>
      </c>
    </row>
    <row r="41" spans="1:13" s="231" customFormat="1" ht="28.15" customHeight="1">
      <c r="A41" s="539">
        <v>32314</v>
      </c>
      <c r="B41" s="547">
        <f t="shared" si="11"/>
        <v>0</v>
      </c>
      <c r="C41" s="541" t="s">
        <v>881</v>
      </c>
      <c r="D41" s="542">
        <v>700</v>
      </c>
      <c r="E41" s="344">
        <f t="shared" si="9"/>
        <v>0</v>
      </c>
      <c r="F41" s="542">
        <v>700</v>
      </c>
      <c r="G41" s="344">
        <f t="shared" si="6"/>
        <v>0</v>
      </c>
      <c r="H41" s="542">
        <f t="shared" si="12"/>
        <v>0</v>
      </c>
      <c r="I41" s="309">
        <v>0</v>
      </c>
      <c r="K41" s="544">
        <f t="shared" si="13"/>
        <v>4.1999999999999997E-3</v>
      </c>
      <c r="L41" s="544">
        <f t="shared" si="14"/>
        <v>1E-4</v>
      </c>
      <c r="M41" s="544">
        <f t="shared" si="15"/>
        <v>1E-4</v>
      </c>
    </row>
    <row r="42" spans="1:13" s="231" customFormat="1" ht="28.15" hidden="1" customHeight="1">
      <c r="A42" s="557">
        <v>0</v>
      </c>
      <c r="B42" s="547">
        <f>ROUND(A42/$A$8*100,2)</f>
        <v>0</v>
      </c>
      <c r="C42" s="541" t="s">
        <v>1207</v>
      </c>
      <c r="D42" s="542">
        <v>0</v>
      </c>
      <c r="E42" s="344">
        <f t="shared" ref="E42" si="17">ROUND(D42/$D$8*100,2)</f>
        <v>0</v>
      </c>
      <c r="F42" s="542">
        <v>0</v>
      </c>
      <c r="G42" s="344">
        <f t="shared" ref="G42" si="18">ROUND(F42/$F$8*100,2)</f>
        <v>0</v>
      </c>
      <c r="H42" s="542">
        <f t="shared" ref="H42" si="19">D42-F42</f>
        <v>0</v>
      </c>
      <c r="I42" s="543">
        <v>0</v>
      </c>
      <c r="K42" s="544"/>
      <c r="L42" s="544"/>
      <c r="M42" s="544"/>
    </row>
    <row r="43" spans="1:13" s="231" customFormat="1" ht="27.95" customHeight="1">
      <c r="A43" s="539">
        <v>277252</v>
      </c>
      <c r="B43" s="540">
        <f t="shared" ref="B43:B49" si="20">ROUND(A43/$A$8*100,2)</f>
        <v>0.04</v>
      </c>
      <c r="C43" s="541" t="s">
        <v>880</v>
      </c>
      <c r="D43" s="545">
        <v>280451</v>
      </c>
      <c r="E43" s="344">
        <f t="shared" si="9"/>
        <v>0.04</v>
      </c>
      <c r="F43" s="545">
        <v>250464</v>
      </c>
      <c r="G43" s="344">
        <f t="shared" si="6"/>
        <v>0.05</v>
      </c>
      <c r="H43" s="562">
        <f t="shared" ref="H43:H49" si="21">D43-F43</f>
        <v>29987</v>
      </c>
      <c r="I43" s="311">
        <f t="shared" ref="I43:I47" si="22">ROUND(H43/F43*100,2)</f>
        <v>11.97</v>
      </c>
      <c r="K43" s="544">
        <f t="shared" ref="K43:K48" si="23">ROUND(A43/$A$8*100,4)</f>
        <v>3.5999999999999997E-2</v>
      </c>
      <c r="L43" s="544">
        <f t="shared" ref="L43:L48" si="24">ROUND(D43/$D$8*100,4)</f>
        <v>4.36E-2</v>
      </c>
      <c r="M43" s="544">
        <f t="shared" ref="M43:M48" si="25">ROUND(F43/$F$8*100,4)</f>
        <v>4.6100000000000002E-2</v>
      </c>
    </row>
    <row r="44" spans="1:13" s="231" customFormat="1" ht="31.5" customHeight="1">
      <c r="A44" s="539">
        <v>22524</v>
      </c>
      <c r="B44" s="547">
        <f t="shared" si="20"/>
        <v>0</v>
      </c>
      <c r="C44" s="541" t="s">
        <v>879</v>
      </c>
      <c r="D44" s="545">
        <v>19939</v>
      </c>
      <c r="E44" s="344">
        <f>ROUND(D44/$D$8*100,2)</f>
        <v>0</v>
      </c>
      <c r="F44" s="545">
        <v>13204</v>
      </c>
      <c r="G44" s="344">
        <f t="shared" si="6"/>
        <v>0</v>
      </c>
      <c r="H44" s="546">
        <f t="shared" si="21"/>
        <v>6735</v>
      </c>
      <c r="I44" s="311">
        <f t="shared" si="22"/>
        <v>51.01</v>
      </c>
      <c r="K44" s="544">
        <f t="shared" si="23"/>
        <v>2.8999999999999998E-3</v>
      </c>
      <c r="L44" s="544">
        <f t="shared" si="24"/>
        <v>3.0999999999999999E-3</v>
      </c>
      <c r="M44" s="544">
        <f t="shared" si="25"/>
        <v>2.3999999999999998E-3</v>
      </c>
    </row>
    <row r="45" spans="1:13" s="32" customFormat="1" ht="26.45" customHeight="1">
      <c r="A45" s="302">
        <v>645</v>
      </c>
      <c r="B45" s="547">
        <f t="shared" si="20"/>
        <v>0</v>
      </c>
      <c r="C45" s="534" t="s">
        <v>878</v>
      </c>
      <c r="D45" s="563">
        <f>D46</f>
        <v>2023</v>
      </c>
      <c r="E45" s="538">
        <f t="shared" si="9"/>
        <v>0</v>
      </c>
      <c r="F45" s="563">
        <f>F46</f>
        <v>144</v>
      </c>
      <c r="G45" s="538">
        <f t="shared" si="6"/>
        <v>0</v>
      </c>
      <c r="H45" s="314">
        <f t="shared" si="21"/>
        <v>1879</v>
      </c>
      <c r="I45" s="315">
        <f t="shared" si="22"/>
        <v>1304.8599999999999</v>
      </c>
      <c r="K45" s="537">
        <f t="shared" si="23"/>
        <v>1E-4</v>
      </c>
      <c r="L45" s="537">
        <f t="shared" si="24"/>
        <v>2.9999999999999997E-4</v>
      </c>
      <c r="M45" s="537">
        <f t="shared" si="25"/>
        <v>0</v>
      </c>
    </row>
    <row r="46" spans="1:13" s="32" customFormat="1" ht="30.95" customHeight="1">
      <c r="A46" s="300">
        <v>645</v>
      </c>
      <c r="B46" s="547">
        <f t="shared" si="20"/>
        <v>0</v>
      </c>
      <c r="C46" s="534" t="s">
        <v>877</v>
      </c>
      <c r="D46" s="535">
        <f>D47</f>
        <v>2023</v>
      </c>
      <c r="E46" s="538">
        <f t="shared" si="9"/>
        <v>0</v>
      </c>
      <c r="F46" s="535">
        <f>F47</f>
        <v>144</v>
      </c>
      <c r="G46" s="538">
        <f t="shared" ref="G46:G49" si="26">ROUND(F46/$F$8*100,2)</f>
        <v>0</v>
      </c>
      <c r="H46" s="314">
        <f t="shared" si="21"/>
        <v>1879</v>
      </c>
      <c r="I46" s="315">
        <f t="shared" si="22"/>
        <v>1304.8599999999999</v>
      </c>
      <c r="K46" s="537">
        <f t="shared" si="23"/>
        <v>1E-4</v>
      </c>
      <c r="L46" s="537">
        <f t="shared" si="24"/>
        <v>2.9999999999999997E-4</v>
      </c>
      <c r="M46" s="537">
        <f t="shared" si="25"/>
        <v>0</v>
      </c>
    </row>
    <row r="47" spans="1:13" s="231" customFormat="1" ht="30.95" customHeight="1">
      <c r="A47" s="539">
        <v>645</v>
      </c>
      <c r="B47" s="547">
        <f t="shared" si="20"/>
        <v>0</v>
      </c>
      <c r="C47" s="541" t="s">
        <v>876</v>
      </c>
      <c r="D47" s="545">
        <v>2023</v>
      </c>
      <c r="E47" s="344">
        <f t="shared" si="9"/>
        <v>0</v>
      </c>
      <c r="F47" s="545">
        <v>144</v>
      </c>
      <c r="G47" s="344">
        <f t="shared" si="26"/>
        <v>0</v>
      </c>
      <c r="H47" s="310">
        <f t="shared" si="21"/>
        <v>1879</v>
      </c>
      <c r="I47" s="311">
        <f t="shared" si="22"/>
        <v>1304.8599999999999</v>
      </c>
      <c r="K47" s="544">
        <f t="shared" si="23"/>
        <v>1E-4</v>
      </c>
      <c r="L47" s="544">
        <f t="shared" si="24"/>
        <v>2.9999999999999997E-4</v>
      </c>
      <c r="M47" s="544">
        <f t="shared" si="25"/>
        <v>0</v>
      </c>
    </row>
    <row r="48" spans="1:13" s="32" customFormat="1" ht="30.95" customHeight="1">
      <c r="A48" s="302">
        <v>331861</v>
      </c>
      <c r="B48" s="533">
        <f t="shared" si="20"/>
        <v>0.04</v>
      </c>
      <c r="C48" s="534" t="s">
        <v>875</v>
      </c>
      <c r="D48" s="563">
        <f>D37-D45</f>
        <v>299387</v>
      </c>
      <c r="E48" s="538">
        <f t="shared" si="9"/>
        <v>0.05</v>
      </c>
      <c r="F48" s="563">
        <f>F37-F45</f>
        <v>264537</v>
      </c>
      <c r="G48" s="538">
        <f>ROUND(F48/$F$8*100,2)</f>
        <v>0.05</v>
      </c>
      <c r="H48" s="314">
        <f t="shared" si="21"/>
        <v>34850</v>
      </c>
      <c r="I48" s="315">
        <f>ROUND(H48/F48*100,2)</f>
        <v>13.17</v>
      </c>
      <c r="K48" s="537">
        <f t="shared" si="23"/>
        <v>4.3099999999999999E-2</v>
      </c>
      <c r="L48" s="537">
        <f t="shared" si="24"/>
        <v>4.6600000000000003E-2</v>
      </c>
      <c r="M48" s="537">
        <f t="shared" si="25"/>
        <v>4.8599999999999997E-2</v>
      </c>
    </row>
    <row r="49" spans="1:13" s="231" customFormat="1" ht="30.75" customHeight="1">
      <c r="A49" s="555">
        <f>A36+A48</f>
        <v>0</v>
      </c>
      <c r="B49" s="547">
        <f t="shared" si="20"/>
        <v>0</v>
      </c>
      <c r="C49" s="541" t="s">
        <v>566</v>
      </c>
      <c r="D49" s="547">
        <f>D36+D48</f>
        <v>0</v>
      </c>
      <c r="E49" s="344">
        <f t="shared" ref="E49" si="27">ROUND(D49/$D$8*100,2)</f>
        <v>0</v>
      </c>
      <c r="F49" s="547">
        <f>F36+F48</f>
        <v>0</v>
      </c>
      <c r="G49" s="344">
        <f t="shared" si="26"/>
        <v>0</v>
      </c>
      <c r="H49" s="547">
        <f t="shared" si="21"/>
        <v>0</v>
      </c>
      <c r="I49" s="558">
        <v>0</v>
      </c>
      <c r="K49" s="544"/>
      <c r="L49" s="544"/>
      <c r="M49" s="544"/>
    </row>
    <row r="50" spans="1:13" s="231" customFormat="1" ht="28.15" customHeight="1">
      <c r="A50" s="557"/>
      <c r="B50" s="547"/>
      <c r="C50" s="541"/>
      <c r="D50" s="542"/>
      <c r="E50" s="344"/>
      <c r="F50" s="542"/>
      <c r="G50" s="344"/>
      <c r="H50" s="542"/>
      <c r="I50" s="543"/>
      <c r="K50" s="544"/>
      <c r="L50" s="544"/>
      <c r="M50" s="544"/>
    </row>
    <row r="51" spans="1:13" s="231" customFormat="1" ht="51.75" customHeight="1" thickBot="1">
      <c r="A51" s="550"/>
      <c r="B51" s="1275"/>
      <c r="C51" s="552"/>
      <c r="D51" s="553"/>
      <c r="E51" s="366"/>
      <c r="F51" s="553"/>
      <c r="G51" s="366"/>
      <c r="H51" s="554"/>
      <c r="I51" s="327"/>
      <c r="K51" s="544"/>
      <c r="L51" s="544"/>
      <c r="M51" s="544"/>
    </row>
    <row r="52" spans="1:13" ht="32.450000000000003" customHeight="1">
      <c r="A52" s="1362" t="s">
        <v>1379</v>
      </c>
      <c r="B52" s="1363"/>
      <c r="C52" s="1363"/>
      <c r="D52" s="1363"/>
      <c r="E52" s="1363"/>
      <c r="F52" s="1363"/>
      <c r="G52" s="1363"/>
      <c r="H52" s="1363"/>
      <c r="I52" s="1363"/>
    </row>
    <row r="53" spans="1:13" s="1047" customFormat="1" ht="15.75">
      <c r="A53" s="572"/>
      <c r="B53" s="688"/>
      <c r="C53" s="574"/>
      <c r="D53" s="575"/>
      <c r="E53" s="691"/>
      <c r="F53" s="573"/>
      <c r="G53" s="688"/>
      <c r="H53" s="573"/>
      <c r="I53" s="688"/>
    </row>
    <row r="54" spans="1:13" s="1047" customFormat="1" ht="15.75">
      <c r="B54" s="688"/>
      <c r="C54" s="576"/>
      <c r="D54" s="577"/>
      <c r="E54" s="691"/>
      <c r="G54" s="688"/>
      <c r="I54" s="688"/>
    </row>
    <row r="55" spans="1:13" s="1047" customFormat="1" ht="15.75">
      <c r="B55" s="688"/>
      <c r="C55" s="576"/>
      <c r="D55" s="577"/>
      <c r="E55" s="691"/>
      <c r="G55" s="688"/>
      <c r="I55" s="688"/>
    </row>
    <row r="56" spans="1:13" s="1047" customFormat="1" ht="15.75">
      <c r="B56" s="688"/>
      <c r="C56" s="576"/>
      <c r="D56" s="577"/>
      <c r="E56" s="691"/>
      <c r="G56" s="688"/>
      <c r="I56" s="688"/>
    </row>
    <row r="57" spans="1:13" s="1047" customFormat="1" ht="15.75">
      <c r="B57" s="688"/>
      <c r="C57" s="576"/>
      <c r="D57" s="577"/>
      <c r="E57" s="691"/>
      <c r="G57" s="688"/>
      <c r="I57" s="688"/>
    </row>
    <row r="58" spans="1:13" s="1047" customFormat="1" ht="15.75">
      <c r="B58" s="688"/>
      <c r="C58" s="576"/>
      <c r="D58" s="577"/>
      <c r="E58" s="691"/>
      <c r="G58" s="688"/>
      <c r="I58" s="688"/>
    </row>
    <row r="59" spans="1:13" s="1047" customFormat="1" ht="15.75">
      <c r="B59" s="688"/>
      <c r="C59" s="576"/>
      <c r="D59" s="577"/>
      <c r="E59" s="691"/>
      <c r="G59" s="688"/>
      <c r="I59" s="688"/>
    </row>
    <row r="60" spans="1:13" s="1047" customFormat="1" ht="15.75">
      <c r="B60" s="688"/>
      <c r="C60" s="576"/>
      <c r="D60" s="577"/>
      <c r="E60" s="691"/>
      <c r="G60" s="688"/>
      <c r="I60" s="688"/>
    </row>
    <row r="61" spans="1:13" s="1047" customFormat="1" ht="15.75">
      <c r="B61" s="688"/>
      <c r="C61" s="576"/>
      <c r="D61" s="577"/>
      <c r="E61" s="691"/>
      <c r="G61" s="688"/>
      <c r="I61" s="688"/>
    </row>
  </sheetData>
  <mergeCells count="10">
    <mergeCell ref="A52:I52"/>
    <mergeCell ref="A1:I1"/>
    <mergeCell ref="A2:I2"/>
    <mergeCell ref="A3:I3"/>
    <mergeCell ref="A4:I4"/>
    <mergeCell ref="A5:B5"/>
    <mergeCell ref="C5:C6"/>
    <mergeCell ref="D5:E5"/>
    <mergeCell ref="F5:G5"/>
    <mergeCell ref="H5:I5"/>
  </mergeCells>
  <phoneticPr fontId="6" type="noConversion"/>
  <printOptions horizontalCentered="1"/>
  <pageMargins left="0.59055118110236227" right="0.59055118110236227" top="0.59055118110236227" bottom="0.78740157480314965" header="0.51181102362204722" footer="0.51181102362204722"/>
  <pageSetup paperSize="9" orientation="portrait" useFirstPageNumber="1" r:id="rId1"/>
  <headerFooter alignWithMargins="0">
    <oddFooter>&amp;C&amp;"細明體,標準"附&amp;"Times New Roman,標準"1-&amp;P</oddFooter>
  </headerFooter>
  <legacy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H40"/>
  <sheetViews>
    <sheetView view="pageBreakPreview" zoomScale="90" zoomScaleNormal="100" zoomScaleSheetLayoutView="90" workbookViewId="0">
      <selection activeCell="G28" sqref="G28"/>
    </sheetView>
  </sheetViews>
  <sheetFormatPr defaultColWidth="9" defaultRowHeight="15.75"/>
  <cols>
    <col min="1" max="1" width="41.875" style="6" customWidth="1"/>
    <col min="2" max="2" width="13.25" style="6" customWidth="1"/>
    <col min="3" max="3" width="15.625" style="6" customWidth="1"/>
    <col min="4" max="4" width="12.625" style="6" customWidth="1"/>
    <col min="5" max="5" width="6.375" style="6" customWidth="1"/>
    <col min="6" max="6" width="39" style="6" customWidth="1"/>
    <col min="7" max="7" width="9" style="6"/>
    <col min="8" max="8" width="26.375" style="6" customWidth="1"/>
    <col min="9" max="9" width="19.875" style="6" customWidth="1"/>
    <col min="10" max="16384" width="9" style="6"/>
  </cols>
  <sheetData>
    <row r="1" spans="1:8" s="2" customFormat="1" ht="21">
      <c r="A1" s="1369" t="s">
        <v>40</v>
      </c>
      <c r="B1" s="1369"/>
      <c r="C1" s="1369"/>
      <c r="D1" s="1369"/>
      <c r="E1" s="1369"/>
      <c r="F1" s="1"/>
      <c r="G1" s="1"/>
      <c r="H1" s="1"/>
    </row>
    <row r="2" spans="1:8" s="2" customFormat="1" ht="21">
      <c r="A2" s="1369" t="s">
        <v>41</v>
      </c>
      <c r="B2" s="1369"/>
      <c r="C2" s="1369"/>
      <c r="D2" s="1369"/>
      <c r="E2" s="1369"/>
      <c r="F2" s="1"/>
      <c r="G2" s="1"/>
      <c r="H2" s="1"/>
    </row>
    <row r="3" spans="1:8" s="2" customFormat="1" ht="24.75" customHeight="1">
      <c r="A3" s="1370" t="s">
        <v>1151</v>
      </c>
      <c r="B3" s="1371"/>
      <c r="C3" s="1371"/>
      <c r="D3" s="1371"/>
      <c r="E3" s="1371"/>
      <c r="F3" s="3"/>
      <c r="G3" s="3"/>
      <c r="H3" s="3"/>
    </row>
    <row r="4" spans="1:8" s="2" customFormat="1" ht="24.95" customHeight="1" thickBot="1">
      <c r="A4" s="1389" t="s">
        <v>1306</v>
      </c>
      <c r="B4" s="1390"/>
      <c r="C4" s="1390"/>
      <c r="D4" s="1390"/>
      <c r="E4" s="1390"/>
      <c r="F4" s="4"/>
      <c r="G4" s="4"/>
      <c r="H4" s="4"/>
    </row>
    <row r="5" spans="1:8">
      <c r="A5" s="1412" t="s">
        <v>42</v>
      </c>
      <c r="B5" s="1415" t="s">
        <v>43</v>
      </c>
      <c r="C5" s="1418" t="s">
        <v>44</v>
      </c>
      <c r="D5" s="1419"/>
      <c r="E5" s="1420"/>
      <c r="F5" s="4"/>
      <c r="G5" s="4"/>
      <c r="H5" s="4"/>
    </row>
    <row r="6" spans="1:8">
      <c r="A6" s="1413"/>
      <c r="B6" s="1416"/>
      <c r="C6" s="1421"/>
      <c r="D6" s="1422"/>
      <c r="E6" s="1423"/>
      <c r="F6" s="4"/>
      <c r="G6" s="4"/>
      <c r="H6" s="4"/>
    </row>
    <row r="7" spans="1:8" ht="12.75" customHeight="1">
      <c r="A7" s="1414"/>
      <c r="B7" s="1417"/>
      <c r="C7" s="1424"/>
      <c r="D7" s="1425"/>
      <c r="E7" s="1426"/>
    </row>
    <row r="8" spans="1:8" ht="5.25" customHeight="1">
      <c r="A8" s="1049"/>
      <c r="B8" s="1050"/>
      <c r="C8" s="83"/>
      <c r="D8" s="132"/>
      <c r="E8" s="86"/>
    </row>
    <row r="9" spans="1:8" s="1047" customFormat="1" ht="21.6" customHeight="1">
      <c r="A9" s="133" t="s">
        <v>364</v>
      </c>
      <c r="B9" s="134"/>
      <c r="C9" s="135"/>
      <c r="D9" s="136"/>
      <c r="E9" s="137"/>
    </row>
    <row r="10" spans="1:8" s="1035" customFormat="1" ht="21.6" customHeight="1">
      <c r="A10" s="138" t="s">
        <v>330</v>
      </c>
      <c r="B10" s="185">
        <v>0</v>
      </c>
      <c r="C10" s="139"/>
      <c r="D10" s="140"/>
      <c r="E10" s="137"/>
    </row>
    <row r="11" spans="1:8" s="1035" customFormat="1" ht="24" customHeight="1">
      <c r="A11" s="138" t="s">
        <v>479</v>
      </c>
      <c r="B11" s="31">
        <f>-D11+D12</f>
        <v>-5710377</v>
      </c>
      <c r="C11" s="1051" t="s">
        <v>317</v>
      </c>
      <c r="D11" s="1048">
        <v>5710377</v>
      </c>
      <c r="E11" s="1054" t="s">
        <v>46</v>
      </c>
    </row>
    <row r="12" spans="1:8" s="1035" customFormat="1" ht="20.25" hidden="1" customHeight="1">
      <c r="A12" s="138"/>
      <c r="B12" s="66"/>
      <c r="C12" s="1051" t="s">
        <v>284</v>
      </c>
      <c r="D12" s="616">
        <v>0</v>
      </c>
      <c r="E12" s="1054" t="s">
        <v>46</v>
      </c>
    </row>
    <row r="13" spans="1:8" s="1035" customFormat="1" ht="23.65" customHeight="1">
      <c r="A13" s="138" t="s">
        <v>480</v>
      </c>
      <c r="B13" s="31">
        <f>+B10+B11</f>
        <v>-5710377</v>
      </c>
      <c r="C13" s="139"/>
      <c r="D13" s="140"/>
      <c r="E13" s="137"/>
    </row>
    <row r="14" spans="1:8" s="1035" customFormat="1" ht="23.1" customHeight="1">
      <c r="A14" s="138" t="s">
        <v>471</v>
      </c>
      <c r="B14" s="141">
        <f>D14+D16+D17+D15+D18+D19+D20</f>
        <v>38071705</v>
      </c>
      <c r="C14" s="1051" t="s">
        <v>285</v>
      </c>
      <c r="D14" s="1048">
        <v>671794</v>
      </c>
      <c r="E14" s="1054" t="s">
        <v>46</v>
      </c>
      <c r="F14" s="1036"/>
    </row>
    <row r="15" spans="1:8" s="1047" customFormat="1" ht="23.1" customHeight="1">
      <c r="A15" s="138"/>
      <c r="B15" s="141"/>
      <c r="C15" s="1051" t="s">
        <v>1495</v>
      </c>
      <c r="D15" s="1048">
        <f>-23860987+101792884+20000000</f>
        <v>97931897</v>
      </c>
      <c r="E15" s="1054" t="s">
        <v>932</v>
      </c>
    </row>
    <row r="16" spans="1:8" s="1035" customFormat="1" ht="23.1" customHeight="1">
      <c r="A16" s="138"/>
      <c r="B16" s="141"/>
      <c r="C16" s="1051" t="s">
        <v>936</v>
      </c>
      <c r="D16" s="1048">
        <v>16151</v>
      </c>
      <c r="E16" s="1054" t="s">
        <v>932</v>
      </c>
      <c r="F16" s="1036"/>
    </row>
    <row r="17" spans="1:8" s="1047" customFormat="1" ht="23.1" customHeight="1">
      <c r="A17" s="138"/>
      <c r="B17" s="141"/>
      <c r="C17" s="1051" t="s">
        <v>935</v>
      </c>
      <c r="D17" s="1048">
        <v>609</v>
      </c>
      <c r="E17" s="1054" t="s">
        <v>932</v>
      </c>
    </row>
    <row r="18" spans="1:8" s="1035" customFormat="1" ht="23.1" customHeight="1">
      <c r="A18" s="138" t="s">
        <v>934</v>
      </c>
      <c r="B18" s="31"/>
      <c r="C18" s="1051" t="s">
        <v>1482</v>
      </c>
      <c r="D18" s="1048">
        <v>-60493338</v>
      </c>
      <c r="E18" s="1054" t="s">
        <v>932</v>
      </c>
      <c r="F18" s="36"/>
      <c r="H18" s="10"/>
    </row>
    <row r="19" spans="1:8" s="1047" customFormat="1" ht="23.1" customHeight="1">
      <c r="A19" s="138" t="s">
        <v>934</v>
      </c>
      <c r="B19" s="31"/>
      <c r="C19" s="1051" t="s">
        <v>1481</v>
      </c>
      <c r="D19" s="1048">
        <v>5507</v>
      </c>
      <c r="E19" s="1054" t="s">
        <v>932</v>
      </c>
    </row>
    <row r="20" spans="1:8" s="1047" customFormat="1" ht="23.1" customHeight="1">
      <c r="A20" s="138"/>
      <c r="B20" s="31"/>
      <c r="C20" s="1051" t="s">
        <v>933</v>
      </c>
      <c r="D20" s="1048">
        <v>-60915</v>
      </c>
      <c r="E20" s="1054" t="s">
        <v>932</v>
      </c>
    </row>
    <row r="21" spans="1:8" s="1035" customFormat="1" ht="23.65" customHeight="1">
      <c r="A21" s="138" t="s">
        <v>931</v>
      </c>
      <c r="B21" s="31">
        <f>+B13+B14</f>
        <v>32361328</v>
      </c>
      <c r="C21" s="139"/>
      <c r="D21" s="140"/>
      <c r="E21" s="137"/>
    </row>
    <row r="22" spans="1:8" s="1035" customFormat="1" ht="23.65" customHeight="1">
      <c r="A22" s="138" t="s">
        <v>926</v>
      </c>
      <c r="B22" s="31">
        <v>320</v>
      </c>
      <c r="C22" s="1436" t="s">
        <v>1383</v>
      </c>
      <c r="D22" s="1428"/>
      <c r="E22" s="1429"/>
    </row>
    <row r="23" spans="1:8" s="1047" customFormat="1" ht="23.65" customHeight="1">
      <c r="A23" s="133" t="s">
        <v>930</v>
      </c>
      <c r="B23" s="27">
        <f>+B21+B22</f>
        <v>32361648</v>
      </c>
      <c r="C23" s="349"/>
      <c r="D23" s="350"/>
      <c r="E23" s="1054"/>
    </row>
    <row r="24" spans="1:8" s="1047" customFormat="1" ht="21" customHeight="1">
      <c r="A24" s="133" t="s">
        <v>929</v>
      </c>
      <c r="B24" s="27"/>
      <c r="C24" s="351"/>
      <c r="D24" s="352"/>
      <c r="E24" s="353"/>
    </row>
    <row r="25" spans="1:8" s="1047" customFormat="1" ht="35.25" customHeight="1">
      <c r="A25" s="138" t="s">
        <v>928</v>
      </c>
      <c r="B25" s="31">
        <v>2709009</v>
      </c>
      <c r="C25" s="1436" t="s">
        <v>1483</v>
      </c>
      <c r="D25" s="1428"/>
      <c r="E25" s="1429"/>
    </row>
    <row r="26" spans="1:8" s="1047" customFormat="1" ht="27.75" customHeight="1">
      <c r="A26" s="138" t="s">
        <v>927</v>
      </c>
      <c r="B26" s="31">
        <v>10100000</v>
      </c>
      <c r="C26" s="1440" t="s">
        <v>1485</v>
      </c>
      <c r="D26" s="1428"/>
      <c r="E26" s="1429"/>
    </row>
    <row r="27" spans="1:8" s="1047" customFormat="1" ht="24.95" customHeight="1">
      <c r="A27" s="138" t="s">
        <v>926</v>
      </c>
      <c r="B27" s="31">
        <v>5685522</v>
      </c>
      <c r="C27" s="1436" t="s">
        <v>1486</v>
      </c>
      <c r="D27" s="1428"/>
      <c r="E27" s="1429"/>
    </row>
    <row r="28" spans="1:8" s="1047" customFormat="1" ht="27.75" customHeight="1">
      <c r="A28" s="138" t="s">
        <v>925</v>
      </c>
      <c r="B28" s="31">
        <v>-1607000</v>
      </c>
      <c r="C28" s="1709" t="s">
        <v>1384</v>
      </c>
      <c r="D28" s="1410"/>
      <c r="E28" s="1411"/>
    </row>
    <row r="29" spans="1:8" s="1047" customFormat="1" ht="48.75" customHeight="1">
      <c r="A29" s="138" t="s">
        <v>373</v>
      </c>
      <c r="B29" s="31">
        <v>-23715880</v>
      </c>
      <c r="C29" s="1409" t="s">
        <v>1484</v>
      </c>
      <c r="D29" s="1410"/>
      <c r="E29" s="1411"/>
    </row>
    <row r="30" spans="1:8" s="1047" customFormat="1" ht="0.75" customHeight="1">
      <c r="A30" s="138" t="s">
        <v>924</v>
      </c>
      <c r="B30" s="31">
        <v>0</v>
      </c>
      <c r="C30" s="1433" t="s">
        <v>923</v>
      </c>
      <c r="D30" s="1410"/>
      <c r="E30" s="1411"/>
    </row>
    <row r="31" spans="1:8" s="1047" customFormat="1" ht="21" customHeight="1">
      <c r="A31" s="133" t="s">
        <v>922</v>
      </c>
      <c r="B31" s="27">
        <f>SUM(B25:B30)</f>
        <v>-6828349</v>
      </c>
      <c r="C31" s="349"/>
      <c r="D31" s="350"/>
      <c r="E31" s="353"/>
    </row>
    <row r="32" spans="1:8" s="1047" customFormat="1" ht="20.45" customHeight="1">
      <c r="A32" s="133" t="s">
        <v>921</v>
      </c>
      <c r="B32" s="142"/>
      <c r="C32" s="354"/>
      <c r="D32" s="355"/>
      <c r="E32" s="353"/>
    </row>
    <row r="33" spans="1:5" s="367" customFormat="1" ht="25.15" hidden="1" customHeight="1">
      <c r="A33" s="138" t="s">
        <v>920</v>
      </c>
      <c r="B33" s="31">
        <v>0</v>
      </c>
      <c r="C33" s="1427" t="s">
        <v>919</v>
      </c>
      <c r="D33" s="1428"/>
      <c r="E33" s="1429"/>
    </row>
    <row r="34" spans="1:5" s="367" customFormat="1" ht="25.9" hidden="1" customHeight="1">
      <c r="A34" s="138" t="s">
        <v>1056</v>
      </c>
      <c r="B34" s="31">
        <v>0</v>
      </c>
      <c r="C34" s="1440" t="s">
        <v>1089</v>
      </c>
      <c r="D34" s="1428"/>
      <c r="E34" s="1429"/>
    </row>
    <row r="35" spans="1:5" s="367" customFormat="1" ht="66" hidden="1" customHeight="1">
      <c r="A35" s="138" t="s">
        <v>1057</v>
      </c>
      <c r="B35" s="31"/>
      <c r="C35" s="1703" t="s">
        <v>1085</v>
      </c>
      <c r="D35" s="1704"/>
      <c r="E35" s="1705"/>
    </row>
    <row r="36" spans="1:5" s="1047" customFormat="1" ht="21.6" customHeight="1">
      <c r="A36" s="133" t="s">
        <v>918</v>
      </c>
      <c r="B36" s="142">
        <f>SUM(B33:B35)</f>
        <v>0</v>
      </c>
      <c r="C36" s="356"/>
      <c r="D36" s="357"/>
      <c r="E36" s="358"/>
    </row>
    <row r="37" spans="1:5" s="1047" customFormat="1" ht="25.15" customHeight="1">
      <c r="A37" s="133" t="s">
        <v>917</v>
      </c>
      <c r="B37" s="76">
        <f>B23+B31+B36</f>
        <v>25533299</v>
      </c>
      <c r="C37" s="359"/>
      <c r="D37" s="360"/>
      <c r="E37" s="361"/>
    </row>
    <row r="38" spans="1:5" s="1047" customFormat="1" ht="25.15" customHeight="1">
      <c r="A38" s="133" t="s">
        <v>366</v>
      </c>
      <c r="B38" s="76">
        <f>68835374+1000000</f>
        <v>69835374</v>
      </c>
      <c r="C38" s="1703"/>
      <c r="D38" s="1704"/>
      <c r="E38" s="1705"/>
    </row>
    <row r="39" spans="1:5" s="1047" customFormat="1" ht="20.25" customHeight="1" thickBot="1">
      <c r="A39" s="456" t="s">
        <v>478</v>
      </c>
      <c r="B39" s="143">
        <f>+B37+B38</f>
        <v>95368673</v>
      </c>
      <c r="C39" s="1706"/>
      <c r="D39" s="1707"/>
      <c r="E39" s="1708"/>
    </row>
    <row r="40" spans="1:5">
      <c r="B40" s="615"/>
    </row>
  </sheetData>
  <mergeCells count="19">
    <mergeCell ref="C22:E22"/>
    <mergeCell ref="A1:E1"/>
    <mergeCell ref="A2:E2"/>
    <mergeCell ref="A3:E3"/>
    <mergeCell ref="A4:E4"/>
    <mergeCell ref="A5:A7"/>
    <mergeCell ref="B5:B7"/>
    <mergeCell ref="C5:E7"/>
    <mergeCell ref="C30:E30"/>
    <mergeCell ref="C33:E33"/>
    <mergeCell ref="C38:E38"/>
    <mergeCell ref="C39:E39"/>
    <mergeCell ref="C25:E25"/>
    <mergeCell ref="C34:E34"/>
    <mergeCell ref="C35:E35"/>
    <mergeCell ref="C26:E26"/>
    <mergeCell ref="C27:E27"/>
    <mergeCell ref="C28:E28"/>
    <mergeCell ref="C29:E29"/>
  </mergeCells>
  <phoneticPr fontId="6" type="noConversion"/>
  <printOptions horizontalCentered="1"/>
  <pageMargins left="0.59055118110236227" right="0.59055118110236227" top="0.59055118110236227" bottom="0.78740157480314965" header="0.51181102362204722" footer="0.51181102362204722"/>
  <pageSetup paperSize="9" firstPageNumber="3" orientation="portrait" useFirstPageNumber="1" r:id="rId1"/>
  <headerFooter alignWithMargins="0">
    <oddFooter>&amp;C&amp;"細明體,標準"附&amp;"Times New Roman,標準"1-&amp;P</oddFooter>
  </headerFooter>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A1:E55"/>
  <sheetViews>
    <sheetView view="pageBreakPreview" zoomScaleNormal="100" zoomScaleSheetLayoutView="100" workbookViewId="0">
      <selection activeCell="G28" sqref="G28"/>
    </sheetView>
  </sheetViews>
  <sheetFormatPr defaultColWidth="9" defaultRowHeight="16.5"/>
  <cols>
    <col min="1" max="1" width="14.625" style="6" customWidth="1"/>
    <col min="2" max="2" width="31.5" style="450" customWidth="1"/>
    <col min="3" max="3" width="15.625" style="6" customWidth="1"/>
    <col min="4" max="4" width="15.625" style="19" customWidth="1"/>
    <col min="5" max="5" width="12.75" style="6" customWidth="1"/>
    <col min="6" max="16384" width="9" style="6"/>
  </cols>
  <sheetData>
    <row r="1" spans="1:5" ht="21">
      <c r="A1" s="1369" t="s">
        <v>916</v>
      </c>
      <c r="B1" s="1369"/>
      <c r="C1" s="1369"/>
      <c r="D1" s="1369"/>
      <c r="E1" s="1369"/>
    </row>
    <row r="2" spans="1:5" ht="21">
      <c r="A2" s="1369" t="s">
        <v>915</v>
      </c>
      <c r="B2" s="1369"/>
      <c r="C2" s="1369"/>
      <c r="D2" s="1369"/>
      <c r="E2" s="1369"/>
    </row>
    <row r="3" spans="1:5" ht="24.75" customHeight="1">
      <c r="A3" s="1370" t="s">
        <v>1152</v>
      </c>
      <c r="B3" s="1371"/>
      <c r="C3" s="1371"/>
      <c r="D3" s="1371"/>
      <c r="E3" s="1371"/>
    </row>
    <row r="4" spans="1:5" ht="24.75" customHeight="1" thickBot="1">
      <c r="A4" s="1389" t="s">
        <v>1307</v>
      </c>
      <c r="B4" s="1390"/>
      <c r="C4" s="1390"/>
      <c r="D4" s="1390"/>
      <c r="E4" s="1390"/>
    </row>
    <row r="5" spans="1:5" ht="15.75" customHeight="1">
      <c r="A5" s="1583" t="s">
        <v>1292</v>
      </c>
      <c r="B5" s="1712" t="s">
        <v>972</v>
      </c>
      <c r="C5" s="1592" t="s">
        <v>1293</v>
      </c>
      <c r="D5" s="1592" t="s">
        <v>1168</v>
      </c>
      <c r="E5" s="1589" t="s">
        <v>971</v>
      </c>
    </row>
    <row r="6" spans="1:5" ht="15.75" customHeight="1">
      <c r="A6" s="1584"/>
      <c r="B6" s="1713"/>
      <c r="C6" s="1593"/>
      <c r="D6" s="1593"/>
      <c r="E6" s="1590"/>
    </row>
    <row r="7" spans="1:5" ht="15.75" customHeight="1">
      <c r="A7" s="1585"/>
      <c r="B7" s="1714"/>
      <c r="C7" s="1594"/>
      <c r="D7" s="1594"/>
      <c r="E7" s="1591"/>
    </row>
    <row r="8" spans="1:5" ht="8.25" customHeight="1">
      <c r="A8" s="24"/>
      <c r="B8" s="579"/>
      <c r="C8" s="1052"/>
      <c r="D8" s="1053"/>
      <c r="E8" s="651"/>
    </row>
    <row r="9" spans="1:5" s="1035" customFormat="1" ht="30" customHeight="1">
      <c r="A9" s="112">
        <f>A10+A16+A19+A21</f>
        <v>862389411</v>
      </c>
      <c r="B9" s="113" t="s">
        <v>970</v>
      </c>
      <c r="C9" s="114">
        <f>C10+C16+C19+C21</f>
        <v>975835011</v>
      </c>
      <c r="D9" s="114">
        <f>D10+D16+D19+D21</f>
        <v>877958522</v>
      </c>
      <c r="E9" s="652">
        <f>E10+E16+E19+E21</f>
        <v>97876489</v>
      </c>
    </row>
    <row r="10" spans="1:5" s="1035" customFormat="1" ht="30" customHeight="1">
      <c r="A10" s="112">
        <f>SUM(A11:A15)</f>
        <v>710282472</v>
      </c>
      <c r="B10" s="116" t="s">
        <v>969</v>
      </c>
      <c r="C10" s="114">
        <f>SUM(C11:C15)</f>
        <v>832290961</v>
      </c>
      <c r="D10" s="114">
        <f>SUM(D11:D15)</f>
        <v>748083635</v>
      </c>
      <c r="E10" s="652">
        <f>SUM(E11:E15)</f>
        <v>84207326</v>
      </c>
    </row>
    <row r="11" spans="1:5" s="1047" customFormat="1" ht="30" customHeight="1">
      <c r="A11" s="117">
        <v>54749879</v>
      </c>
      <c r="B11" s="118" t="s">
        <v>968</v>
      </c>
      <c r="C11" s="862">
        <f>74368673+1000000+20000000</f>
        <v>95368673</v>
      </c>
      <c r="D11" s="862">
        <f>58835374+10000000+1000000</f>
        <v>69835374</v>
      </c>
      <c r="E11" s="653">
        <f>C11-D11</f>
        <v>25533299</v>
      </c>
    </row>
    <row r="12" spans="1:5" s="1047" customFormat="1" ht="30" customHeight="1">
      <c r="A12" s="117">
        <v>560542649</v>
      </c>
      <c r="B12" s="118" t="s">
        <v>967</v>
      </c>
      <c r="C12" s="862">
        <v>640014385</v>
      </c>
      <c r="D12" s="862">
        <v>582971043</v>
      </c>
      <c r="E12" s="653">
        <f>C12-D12</f>
        <v>57043342</v>
      </c>
    </row>
    <row r="13" spans="1:5" s="1047" customFormat="1" ht="30" customHeight="1">
      <c r="A13" s="117">
        <v>91766219</v>
      </c>
      <c r="B13" s="118" t="s">
        <v>966</v>
      </c>
      <c r="C13" s="862">
        <v>89966903</v>
      </c>
      <c r="D13" s="862">
        <v>89943218</v>
      </c>
      <c r="E13" s="653">
        <f>C13-D13</f>
        <v>23685</v>
      </c>
    </row>
    <row r="14" spans="1:5" s="1047" customFormat="1" ht="30" customHeight="1">
      <c r="A14" s="117">
        <v>1791</v>
      </c>
      <c r="B14" s="118" t="s">
        <v>965</v>
      </c>
      <c r="C14" s="127">
        <v>0</v>
      </c>
      <c r="D14" s="127">
        <v>0</v>
      </c>
      <c r="E14" s="654">
        <f>C14-D14</f>
        <v>0</v>
      </c>
    </row>
    <row r="15" spans="1:5" s="1047" customFormat="1" ht="30" customHeight="1">
      <c r="A15" s="117">
        <v>3221934</v>
      </c>
      <c r="B15" s="118" t="s">
        <v>964</v>
      </c>
      <c r="C15" s="862">
        <v>6941000</v>
      </c>
      <c r="D15" s="862">
        <v>5334000</v>
      </c>
      <c r="E15" s="653">
        <f>C15-D15</f>
        <v>1607000</v>
      </c>
    </row>
    <row r="16" spans="1:5" s="1035" customFormat="1" ht="30" customHeight="1">
      <c r="A16" s="112">
        <f>SUM(A17:A18)</f>
        <v>124022140</v>
      </c>
      <c r="B16" s="121" t="s">
        <v>963</v>
      </c>
      <c r="C16" s="114">
        <f>SUM(C17:C18)</f>
        <v>118030263</v>
      </c>
      <c r="D16" s="114">
        <f>SUM(D17:D18)</f>
        <v>103599974</v>
      </c>
      <c r="E16" s="652">
        <f>SUM(E17:E18)</f>
        <v>14430289</v>
      </c>
    </row>
    <row r="17" spans="1:5" s="1047" customFormat="1" ht="30" customHeight="1">
      <c r="A17" s="117">
        <v>116049741</v>
      </c>
      <c r="B17" s="118" t="s">
        <v>962</v>
      </c>
      <c r="C17" s="862">
        <v>107159263</v>
      </c>
      <c r="D17" s="862">
        <v>93228974</v>
      </c>
      <c r="E17" s="653">
        <f>C17-D17</f>
        <v>13930289</v>
      </c>
    </row>
    <row r="18" spans="1:5" s="1047" customFormat="1" ht="30" customHeight="1">
      <c r="A18" s="117">
        <v>7972399</v>
      </c>
      <c r="B18" s="118" t="s">
        <v>961</v>
      </c>
      <c r="C18" s="862">
        <v>10871000</v>
      </c>
      <c r="D18" s="862">
        <v>10371000</v>
      </c>
      <c r="E18" s="653">
        <f>C18-D18</f>
        <v>500000</v>
      </c>
    </row>
    <row r="19" spans="1:5" s="1035" customFormat="1" ht="30" customHeight="1">
      <c r="A19" s="112">
        <f>+A20</f>
        <v>1385694</v>
      </c>
      <c r="B19" s="116" t="s">
        <v>960</v>
      </c>
      <c r="C19" s="114">
        <f>+C20</f>
        <v>1353392</v>
      </c>
      <c r="D19" s="114">
        <f>+D20</f>
        <v>1369543</v>
      </c>
      <c r="E19" s="652">
        <f>+E20</f>
        <v>-16151</v>
      </c>
    </row>
    <row r="20" spans="1:5" s="1047" customFormat="1" ht="30" customHeight="1">
      <c r="A20" s="117">
        <v>1385694</v>
      </c>
      <c r="B20" s="118" t="s">
        <v>959</v>
      </c>
      <c r="C20" s="862">
        <v>1353392</v>
      </c>
      <c r="D20" s="862">
        <v>1369543</v>
      </c>
      <c r="E20" s="653">
        <f>C20-D20</f>
        <v>-16151</v>
      </c>
    </row>
    <row r="21" spans="1:5" s="1035" customFormat="1" ht="30" customHeight="1">
      <c r="A21" s="112">
        <f>SUM(A22:A24)+1</f>
        <v>26699105</v>
      </c>
      <c r="B21" s="116" t="s">
        <v>958</v>
      </c>
      <c r="C21" s="114">
        <f>SUM(C22:C24)</f>
        <v>24160395</v>
      </c>
      <c r="D21" s="114">
        <f>SUM(D22:D24)</f>
        <v>24905370</v>
      </c>
      <c r="E21" s="652">
        <f>SUM(E22:E24)</f>
        <v>-744975</v>
      </c>
    </row>
    <row r="22" spans="1:5" s="1047" customFormat="1" ht="30" customHeight="1">
      <c r="A22" s="117">
        <v>38533</v>
      </c>
      <c r="B22" s="118" t="s">
        <v>957</v>
      </c>
      <c r="C22" s="862">
        <v>37315</v>
      </c>
      <c r="D22" s="862">
        <v>37924</v>
      </c>
      <c r="E22" s="653">
        <f>C22-D22</f>
        <v>-609</v>
      </c>
    </row>
    <row r="23" spans="1:5" s="1047" customFormat="1" ht="30" customHeight="1">
      <c r="A23" s="117">
        <v>26422259</v>
      </c>
      <c r="B23" s="118" t="s">
        <v>956</v>
      </c>
      <c r="C23" s="862">
        <v>23884768</v>
      </c>
      <c r="D23" s="862">
        <v>24629134</v>
      </c>
      <c r="E23" s="653">
        <f>C23-D23</f>
        <v>-744366</v>
      </c>
    </row>
    <row r="24" spans="1:5" s="1047" customFormat="1" ht="30" customHeight="1">
      <c r="A24" s="117">
        <v>238312</v>
      </c>
      <c r="B24" s="118" t="s">
        <v>955</v>
      </c>
      <c r="C24" s="862">
        <v>238312</v>
      </c>
      <c r="D24" s="862">
        <v>238312</v>
      </c>
      <c r="E24" s="654">
        <f>C24-D24</f>
        <v>0</v>
      </c>
    </row>
    <row r="25" spans="1:5" s="1047" customFormat="1" ht="37.15" customHeight="1">
      <c r="A25" s="117"/>
      <c r="B25" s="118"/>
      <c r="C25" s="862"/>
      <c r="D25" s="862"/>
      <c r="E25" s="653"/>
    </row>
    <row r="26" spans="1:5" s="1047" customFormat="1" ht="30" customHeight="1">
      <c r="A26" s="117"/>
      <c r="B26" s="118"/>
      <c r="C26" s="862"/>
      <c r="D26" s="862"/>
      <c r="E26" s="653"/>
    </row>
    <row r="27" spans="1:5" s="1047" customFormat="1" ht="20.25" customHeight="1">
      <c r="A27" s="117"/>
      <c r="B27" s="118"/>
      <c r="C27" s="862"/>
      <c r="D27" s="862"/>
      <c r="E27" s="653"/>
    </row>
    <row r="28" spans="1:5" s="1047" customFormat="1" ht="38.25" customHeight="1">
      <c r="A28" s="117"/>
      <c r="B28" s="118"/>
      <c r="C28" s="862"/>
      <c r="D28" s="862"/>
      <c r="E28" s="653"/>
    </row>
    <row r="29" spans="1:5" s="1035" customFormat="1" ht="30" customHeight="1" thickBot="1">
      <c r="A29" s="123">
        <f>A9</f>
        <v>862389411</v>
      </c>
      <c r="B29" s="124" t="s">
        <v>954</v>
      </c>
      <c r="C29" s="125">
        <f>C9</f>
        <v>975835011</v>
      </c>
      <c r="D29" s="125">
        <f>D9</f>
        <v>877958522</v>
      </c>
      <c r="E29" s="655">
        <f>E9</f>
        <v>97876489</v>
      </c>
    </row>
    <row r="30" spans="1:5" s="1035" customFormat="1" ht="30" customHeight="1">
      <c r="A30" s="112">
        <f>A31+A35</f>
        <v>862384202</v>
      </c>
      <c r="B30" s="113" t="s">
        <v>953</v>
      </c>
      <c r="C30" s="114">
        <f>C31+C35</f>
        <v>975829802</v>
      </c>
      <c r="D30" s="114">
        <f>D31+D35</f>
        <v>877953313</v>
      </c>
      <c r="E30" s="115">
        <f>E31+E35</f>
        <v>97876489</v>
      </c>
    </row>
    <row r="31" spans="1:5" s="1035" customFormat="1" ht="25.5" customHeight="1">
      <c r="A31" s="112">
        <f>SUM(A32:A34)</f>
        <v>19868039</v>
      </c>
      <c r="B31" s="116" t="s">
        <v>952</v>
      </c>
      <c r="C31" s="114">
        <f>SUM(C32:C34)</f>
        <v>19862532</v>
      </c>
      <c r="D31" s="114">
        <f>SUM(D32:D34)</f>
        <v>19857025</v>
      </c>
      <c r="E31" s="115">
        <f>SUM(E32:E34)</f>
        <v>5507</v>
      </c>
    </row>
    <row r="32" spans="1:5" s="1047" customFormat="1" ht="30" customHeight="1">
      <c r="A32" s="117">
        <v>19517282</v>
      </c>
      <c r="B32" s="118" t="s">
        <v>951</v>
      </c>
      <c r="C32" s="862">
        <v>19514551</v>
      </c>
      <c r="D32" s="862">
        <v>19511820</v>
      </c>
      <c r="E32" s="120">
        <f>C32-D32</f>
        <v>2731</v>
      </c>
    </row>
    <row r="33" spans="1:5" s="1047" customFormat="1" ht="30" customHeight="1">
      <c r="A33" s="117">
        <v>74965</v>
      </c>
      <c r="B33" s="118" t="s">
        <v>950</v>
      </c>
      <c r="C33" s="862">
        <v>72189</v>
      </c>
      <c r="D33" s="862">
        <v>69413</v>
      </c>
      <c r="E33" s="120">
        <f>C33-D33</f>
        <v>2776</v>
      </c>
    </row>
    <row r="34" spans="1:5" s="1047" customFormat="1" ht="30" customHeight="1">
      <c r="A34" s="117">
        <v>275792</v>
      </c>
      <c r="B34" s="118" t="s">
        <v>949</v>
      </c>
      <c r="C34" s="127">
        <v>275792</v>
      </c>
      <c r="D34" s="127">
        <v>275792</v>
      </c>
      <c r="E34" s="122">
        <f>C34-D34</f>
        <v>0</v>
      </c>
    </row>
    <row r="35" spans="1:5" s="1035" customFormat="1" ht="30" customHeight="1">
      <c r="A35" s="112">
        <f>SUM(A36:A38)</f>
        <v>842516163</v>
      </c>
      <c r="B35" s="121" t="s">
        <v>948</v>
      </c>
      <c r="C35" s="114">
        <f>SUM(C36:C38)</f>
        <v>955967270</v>
      </c>
      <c r="D35" s="114">
        <f>SUM(D36:D38)</f>
        <v>858096288</v>
      </c>
      <c r="E35" s="115">
        <f>SUM(E36:E38)</f>
        <v>97870982</v>
      </c>
    </row>
    <row r="36" spans="1:5" s="1047" customFormat="1" ht="30" customHeight="1">
      <c r="A36" s="117">
        <v>3853346</v>
      </c>
      <c r="B36" s="118" t="s">
        <v>947</v>
      </c>
      <c r="C36" s="862">
        <v>3731516</v>
      </c>
      <c r="D36" s="862">
        <v>3792431</v>
      </c>
      <c r="E36" s="120">
        <f>C36-D36</f>
        <v>-60915</v>
      </c>
    </row>
    <row r="37" spans="1:5" s="1047" customFormat="1" ht="30" customHeight="1">
      <c r="A37" s="117">
        <v>838512343</v>
      </c>
      <c r="B37" s="118" t="s">
        <v>946</v>
      </c>
      <c r="C37" s="862">
        <f>931085286+1000000+20000000</f>
        <v>952085286</v>
      </c>
      <c r="D37" s="862">
        <f>843153389+10000000+1000000</f>
        <v>854153389</v>
      </c>
      <c r="E37" s="120">
        <f>C37-D37</f>
        <v>97931897</v>
      </c>
    </row>
    <row r="38" spans="1:5" s="1047" customFormat="1" ht="30" customHeight="1">
      <c r="A38" s="117">
        <v>150474</v>
      </c>
      <c r="B38" s="118" t="s">
        <v>945</v>
      </c>
      <c r="C38" s="862">
        <v>150468</v>
      </c>
      <c r="D38" s="862">
        <v>150468</v>
      </c>
      <c r="E38" s="122">
        <f>C38-D38</f>
        <v>0</v>
      </c>
    </row>
    <row r="39" spans="1:5" s="1035" customFormat="1" ht="30" customHeight="1">
      <c r="A39" s="112">
        <f>A40+A42+A44</f>
        <v>5209</v>
      </c>
      <c r="B39" s="113" t="s">
        <v>944</v>
      </c>
      <c r="C39" s="114">
        <f>C40+C42+C44</f>
        <v>5209</v>
      </c>
      <c r="D39" s="114">
        <f>D40+D42+D44</f>
        <v>5209</v>
      </c>
      <c r="E39" s="130">
        <f>E40+E42+E44</f>
        <v>0</v>
      </c>
    </row>
    <row r="40" spans="1:5" s="1035" customFormat="1" ht="30" customHeight="1">
      <c r="A40" s="112">
        <f>A41</f>
        <v>625</v>
      </c>
      <c r="B40" s="116" t="s">
        <v>943</v>
      </c>
      <c r="C40" s="114">
        <f>C41</f>
        <v>625</v>
      </c>
      <c r="D40" s="114">
        <f>D41</f>
        <v>625</v>
      </c>
      <c r="E40" s="130">
        <f>E41</f>
        <v>0</v>
      </c>
    </row>
    <row r="41" spans="1:5" s="1047" customFormat="1" ht="24" customHeight="1">
      <c r="A41" s="117">
        <v>625</v>
      </c>
      <c r="B41" s="118" t="s">
        <v>942</v>
      </c>
      <c r="C41" s="862">
        <v>625</v>
      </c>
      <c r="D41" s="862">
        <v>625</v>
      </c>
      <c r="E41" s="122">
        <f>C41-D41</f>
        <v>0</v>
      </c>
    </row>
    <row r="42" spans="1:5" s="1035" customFormat="1" ht="30" customHeight="1">
      <c r="A42" s="112">
        <f>+A43</f>
        <v>4584</v>
      </c>
      <c r="B42" s="116" t="s">
        <v>941</v>
      </c>
      <c r="C42" s="114">
        <f>+C43</f>
        <v>4584</v>
      </c>
      <c r="D42" s="114">
        <f>+D43</f>
        <v>4584</v>
      </c>
      <c r="E42" s="130">
        <f>E43</f>
        <v>0</v>
      </c>
    </row>
    <row r="43" spans="1:5" s="1047" customFormat="1" ht="24.75" customHeight="1">
      <c r="A43" s="117">
        <v>4584</v>
      </c>
      <c r="B43" s="118" t="s">
        <v>940</v>
      </c>
      <c r="C43" s="862">
        <v>4584</v>
      </c>
      <c r="D43" s="862">
        <v>4584</v>
      </c>
      <c r="E43" s="122">
        <v>0</v>
      </c>
    </row>
    <row r="44" spans="1:5" s="1035" customFormat="1" ht="27.95" customHeight="1">
      <c r="A44" s="128">
        <f>A45</f>
        <v>0</v>
      </c>
      <c r="B44" s="116" t="s">
        <v>939</v>
      </c>
      <c r="C44" s="129">
        <f>C45</f>
        <v>0</v>
      </c>
      <c r="D44" s="129">
        <f>D45</f>
        <v>0</v>
      </c>
      <c r="E44" s="130">
        <f>E45</f>
        <v>0</v>
      </c>
    </row>
    <row r="45" spans="1:5" s="1047" customFormat="1" ht="31.7" customHeight="1">
      <c r="A45" s="131">
        <v>0</v>
      </c>
      <c r="B45" s="118" t="s">
        <v>938</v>
      </c>
      <c r="C45" s="127">
        <v>0</v>
      </c>
      <c r="D45" s="127">
        <v>0</v>
      </c>
      <c r="E45" s="122">
        <v>0</v>
      </c>
    </row>
    <row r="46" spans="1:5" s="1047" customFormat="1" ht="42" customHeight="1">
      <c r="A46" s="131"/>
      <c r="B46" s="118"/>
      <c r="C46" s="127"/>
      <c r="D46" s="127"/>
      <c r="E46" s="122"/>
    </row>
    <row r="47" spans="1:5" s="1047" customFormat="1" ht="27.75" customHeight="1">
      <c r="A47" s="131"/>
      <c r="B47" s="118"/>
      <c r="C47" s="127"/>
      <c r="D47" s="127"/>
      <c r="E47" s="122"/>
    </row>
    <row r="48" spans="1:5" s="1047" customFormat="1" ht="55.5" customHeight="1">
      <c r="A48" s="131"/>
      <c r="B48" s="118"/>
      <c r="C48" s="127"/>
      <c r="D48" s="127"/>
      <c r="E48" s="122"/>
    </row>
    <row r="49" spans="1:5" s="1047" customFormat="1" ht="13.5" customHeight="1">
      <c r="A49" s="131"/>
      <c r="B49" s="118"/>
      <c r="C49" s="127"/>
      <c r="D49" s="127"/>
      <c r="E49" s="122"/>
    </row>
    <row r="50" spans="1:5" s="1035" customFormat="1" ht="21.75" customHeight="1" thickBot="1">
      <c r="A50" s="123">
        <f>A30+A39</f>
        <v>862389411</v>
      </c>
      <c r="B50" s="124" t="s">
        <v>937</v>
      </c>
      <c r="C50" s="125">
        <f>C30+C39</f>
        <v>975835011</v>
      </c>
      <c r="D50" s="125">
        <f>D30+D39</f>
        <v>877958522</v>
      </c>
      <c r="E50" s="126">
        <f>E30+E39</f>
        <v>97876489</v>
      </c>
    </row>
    <row r="51" spans="1:5" s="1035" customFormat="1" ht="2.1" customHeight="1">
      <c r="A51" s="673"/>
      <c r="B51" s="113"/>
      <c r="C51" s="673"/>
      <c r="D51" s="673"/>
      <c r="E51" s="673"/>
    </row>
    <row r="52" spans="1:5" s="199" customFormat="1" ht="12" customHeight="1">
      <c r="A52" s="1710" t="s">
        <v>1399</v>
      </c>
      <c r="B52" s="1711"/>
      <c r="C52" s="1711"/>
      <c r="D52" s="1711"/>
      <c r="E52" s="1711"/>
    </row>
    <row r="55" spans="1:5">
      <c r="A55" s="615">
        <f>A50-A29</f>
        <v>0</v>
      </c>
      <c r="C55" s="615">
        <f>C50-C29</f>
        <v>0</v>
      </c>
      <c r="D55" s="615">
        <f>D50-D29</f>
        <v>0</v>
      </c>
      <c r="E55" s="615">
        <f>E50-E29</f>
        <v>0</v>
      </c>
    </row>
  </sheetData>
  <mergeCells count="10">
    <mergeCell ref="A52:E52"/>
    <mergeCell ref="A1:E1"/>
    <mergeCell ref="A2:E2"/>
    <mergeCell ref="A3:E3"/>
    <mergeCell ref="A4:E4"/>
    <mergeCell ref="A5:A7"/>
    <mergeCell ref="B5:B7"/>
    <mergeCell ref="C5:C7"/>
    <mergeCell ref="D5:D7"/>
    <mergeCell ref="E5:E7"/>
  </mergeCells>
  <phoneticPr fontId="6" type="noConversion"/>
  <printOptions horizontalCentered="1"/>
  <pageMargins left="0.59055118110236227" right="0.59055118110236227" top="0.59055118110236227" bottom="0.78740157480314965" header="0.51181102362204722" footer="0.51181102362204722"/>
  <pageSetup paperSize="9" firstPageNumber="4" orientation="portrait" useFirstPageNumber="1" r:id="rId1"/>
  <headerFooter alignWithMargins="0">
    <oddFooter>&amp;C&amp;"細明體,標準"附&amp;"Times New Roman,標準"1-&amp;P</oddFooter>
  </headerFooter>
  <rowBreaks count="1" manualBreakCount="1">
    <brk id="29" max="16383" man="1"/>
  </rowBreaks>
  <legacy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dimension ref="A1:P62"/>
  <sheetViews>
    <sheetView view="pageBreakPreview" topLeftCell="A23" zoomScaleNormal="100" zoomScaleSheetLayoutView="100" workbookViewId="0">
      <selection activeCell="G28" sqref="G28"/>
    </sheetView>
  </sheetViews>
  <sheetFormatPr defaultColWidth="9" defaultRowHeight="16.5"/>
  <cols>
    <col min="1" max="1" width="10.5" style="2" customWidth="1"/>
    <col min="2" max="2" width="6.625" style="2" customWidth="1"/>
    <col min="3" max="3" width="20" style="578" customWidth="1"/>
    <col min="4" max="4" width="10.5" style="2" customWidth="1"/>
    <col min="5" max="5" width="6.625" style="278" customWidth="1"/>
    <col min="6" max="6" width="10.5" style="2" customWidth="1"/>
    <col min="7" max="7" width="6.625" style="2" customWidth="1"/>
    <col min="8" max="8" width="10.5" style="2" customWidth="1"/>
    <col min="9" max="9" width="8.25" style="2" customWidth="1"/>
    <col min="10" max="10" width="9" style="2"/>
    <col min="11" max="13" width="11.625" style="2" hidden="1" customWidth="1"/>
    <col min="14" max="14" width="0" style="2" hidden="1" customWidth="1"/>
    <col min="15" max="16384" width="9" style="2"/>
  </cols>
  <sheetData>
    <row r="1" spans="1:13" ht="21" customHeight="1">
      <c r="A1" s="1369" t="s">
        <v>40</v>
      </c>
      <c r="B1" s="1369"/>
      <c r="C1" s="1369"/>
      <c r="D1" s="1369"/>
      <c r="E1" s="1369"/>
      <c r="F1" s="1369"/>
      <c r="G1" s="1369"/>
      <c r="H1" s="1369"/>
      <c r="I1" s="1369"/>
    </row>
    <row r="2" spans="1:13" ht="21" customHeight="1">
      <c r="A2" s="1369" t="s">
        <v>41</v>
      </c>
      <c r="B2" s="1369"/>
      <c r="C2" s="1369"/>
      <c r="D2" s="1369"/>
      <c r="E2" s="1369"/>
      <c r="F2" s="1369"/>
      <c r="G2" s="1369"/>
      <c r="H2" s="1369"/>
      <c r="I2" s="1369"/>
    </row>
    <row r="3" spans="1:13" ht="24.95" customHeight="1">
      <c r="A3" s="1370" t="s">
        <v>1153</v>
      </c>
      <c r="B3" s="1371"/>
      <c r="C3" s="1371"/>
      <c r="D3" s="1371"/>
      <c r="E3" s="1371"/>
      <c r="F3" s="1371"/>
      <c r="G3" s="1371"/>
      <c r="H3" s="1371"/>
      <c r="I3" s="1371"/>
    </row>
    <row r="4" spans="1:13" ht="24.95" customHeight="1" thickBot="1">
      <c r="A4" s="1441" t="s">
        <v>1308</v>
      </c>
      <c r="B4" s="1373"/>
      <c r="C4" s="1373"/>
      <c r="D4" s="1373"/>
      <c r="E4" s="1373"/>
      <c r="F4" s="1373"/>
      <c r="G4" s="1373"/>
      <c r="H4" s="1373"/>
      <c r="I4" s="1373"/>
    </row>
    <row r="5" spans="1:13" ht="21" customHeight="1">
      <c r="A5" s="1700" t="s">
        <v>248</v>
      </c>
      <c r="B5" s="1375"/>
      <c r="C5" s="1376" t="s">
        <v>15</v>
      </c>
      <c r="D5" s="1375" t="s">
        <v>249</v>
      </c>
      <c r="E5" s="1375"/>
      <c r="F5" s="1375" t="s">
        <v>250</v>
      </c>
      <c r="G5" s="1375"/>
      <c r="H5" s="1376" t="s">
        <v>1106</v>
      </c>
      <c r="I5" s="1702"/>
    </row>
    <row r="6" spans="1:13" ht="19.5" customHeight="1">
      <c r="A6" s="525" t="s">
        <v>996</v>
      </c>
      <c r="B6" s="1046" t="s">
        <v>252</v>
      </c>
      <c r="C6" s="1701"/>
      <c r="D6" s="1046" t="s">
        <v>996</v>
      </c>
      <c r="E6" s="527" t="s">
        <v>252</v>
      </c>
      <c r="F6" s="1046" t="s">
        <v>996</v>
      </c>
      <c r="G6" s="1046" t="s">
        <v>252</v>
      </c>
      <c r="H6" s="1046" t="s">
        <v>996</v>
      </c>
      <c r="I6" s="528" t="s">
        <v>252</v>
      </c>
    </row>
    <row r="7" spans="1:13" ht="8.25" customHeight="1">
      <c r="A7" s="529"/>
      <c r="B7" s="165"/>
      <c r="C7" s="164"/>
      <c r="D7" s="165"/>
      <c r="E7" s="531"/>
      <c r="F7" s="165"/>
      <c r="G7" s="165"/>
      <c r="H7" s="165"/>
      <c r="I7" s="532"/>
    </row>
    <row r="8" spans="1:13" s="1035" customFormat="1" ht="27.95" customHeight="1">
      <c r="A8" s="300">
        <v>37852671</v>
      </c>
      <c r="B8" s="533">
        <v>100</v>
      </c>
      <c r="C8" s="534" t="s">
        <v>16</v>
      </c>
      <c r="D8" s="535">
        <f>D14+D9</f>
        <v>34446844</v>
      </c>
      <c r="E8" s="533">
        <v>100</v>
      </c>
      <c r="F8" s="535">
        <f>F14+F9</f>
        <v>32514062</v>
      </c>
      <c r="G8" s="533">
        <v>100</v>
      </c>
      <c r="H8" s="536">
        <f>D8-F8</f>
        <v>1932782</v>
      </c>
      <c r="I8" s="315">
        <f>ROUND(H8/F8*100,2)</f>
        <v>5.94</v>
      </c>
      <c r="K8" s="580">
        <f t="shared" ref="K8:K39" si="0">ROUND(A8/$A$8*100,4)</f>
        <v>100</v>
      </c>
      <c r="L8" s="580">
        <f t="shared" ref="L8:L39" si="1">ROUND(D8/$D$8*100,4)</f>
        <v>100</v>
      </c>
      <c r="M8" s="580">
        <f t="shared" ref="M8:M39" si="2">ROUND(F8/$F$8*100,4)</f>
        <v>100</v>
      </c>
    </row>
    <row r="9" spans="1:13" s="1035" customFormat="1" ht="27.95" customHeight="1">
      <c r="A9" s="300">
        <v>7018535</v>
      </c>
      <c r="B9" s="533">
        <f t="shared" ref="B9:B38" si="3">ROUND(A9/$A$8*100,2)</f>
        <v>18.54</v>
      </c>
      <c r="C9" s="534" t="s">
        <v>995</v>
      </c>
      <c r="D9" s="535">
        <f>SUM(D10:D13)</f>
        <v>2365631</v>
      </c>
      <c r="E9" s="533">
        <f>ROUND(D9/$D$8*100,2)</f>
        <v>6.87</v>
      </c>
      <c r="F9" s="535">
        <f>SUM(F10:F13)</f>
        <v>1564042</v>
      </c>
      <c r="G9" s="584">
        <f>ROUND(F9/$F$8*100,2)</f>
        <v>4.8099999999999996</v>
      </c>
      <c r="H9" s="536">
        <f t="shared" ref="H9:H28" si="4">D9-F9</f>
        <v>801589</v>
      </c>
      <c r="I9" s="315">
        <f>ROUND(H9/F9*100,2)</f>
        <v>51.25</v>
      </c>
      <c r="K9" s="580">
        <f t="shared" si="0"/>
        <v>18.541699999999999</v>
      </c>
      <c r="L9" s="580">
        <f t="shared" si="1"/>
        <v>6.8674999999999997</v>
      </c>
      <c r="M9" s="580">
        <f t="shared" si="2"/>
        <v>4.8103999999999996</v>
      </c>
    </row>
    <row r="10" spans="1:13" s="1047" customFormat="1" ht="27.95" customHeight="1">
      <c r="A10" s="539">
        <v>2039280</v>
      </c>
      <c r="B10" s="540">
        <f t="shared" si="3"/>
        <v>5.39</v>
      </c>
      <c r="C10" s="541" t="s">
        <v>994</v>
      </c>
      <c r="D10" s="545">
        <f>1885175-2427</f>
        <v>1882748</v>
      </c>
      <c r="E10" s="583">
        <f>ROUND(D10/$D$8*100,2)</f>
        <v>5.47</v>
      </c>
      <c r="F10" s="545">
        <v>1373700</v>
      </c>
      <c r="G10" s="583">
        <f t="shared" ref="G10:G39" si="5">ROUND(F10/$F$8*100,2)</f>
        <v>4.22</v>
      </c>
      <c r="H10" s="546">
        <f t="shared" si="4"/>
        <v>509048</v>
      </c>
      <c r="I10" s="311">
        <f>ROUND(H10/F10*100,2)</f>
        <v>37.06</v>
      </c>
      <c r="K10" s="582">
        <f t="shared" si="0"/>
        <v>5.3874000000000004</v>
      </c>
      <c r="L10" s="582">
        <f t="shared" si="1"/>
        <v>5.4657</v>
      </c>
      <c r="M10" s="582">
        <f t="shared" si="2"/>
        <v>4.2248999999999999</v>
      </c>
    </row>
    <row r="11" spans="1:13" s="231" customFormat="1" ht="27.95" customHeight="1">
      <c r="A11" s="539">
        <v>4355</v>
      </c>
      <c r="B11" s="540">
        <f t="shared" si="3"/>
        <v>0.01</v>
      </c>
      <c r="C11" s="541" t="s">
        <v>612</v>
      </c>
      <c r="D11" s="542">
        <v>0</v>
      </c>
      <c r="E11" s="542">
        <f t="shared" ref="E11" si="6">ROUND(D11/$D$8*100,2)</f>
        <v>0</v>
      </c>
      <c r="F11" s="542">
        <v>0</v>
      </c>
      <c r="G11" s="542">
        <f t="shared" si="5"/>
        <v>0</v>
      </c>
      <c r="H11" s="542">
        <f t="shared" ref="H11" si="7">D11-F11</f>
        <v>0</v>
      </c>
      <c r="I11" s="543">
        <v>0</v>
      </c>
      <c r="K11" s="544">
        <f t="shared" si="0"/>
        <v>1.15E-2</v>
      </c>
      <c r="L11" s="544">
        <f t="shared" si="1"/>
        <v>0</v>
      </c>
      <c r="M11" s="544">
        <f t="shared" si="2"/>
        <v>0</v>
      </c>
    </row>
    <row r="12" spans="1:13" s="1047" customFormat="1" ht="26.25" customHeight="1">
      <c r="A12" s="539">
        <v>4612259</v>
      </c>
      <c r="B12" s="540">
        <f t="shared" si="3"/>
        <v>12.18</v>
      </c>
      <c r="C12" s="541" t="s">
        <v>993</v>
      </c>
      <c r="D12" s="542">
        <f>227000-227000</f>
        <v>0</v>
      </c>
      <c r="E12" s="542">
        <f>ROUND(D12/$D$8*100,2)</f>
        <v>0</v>
      </c>
      <c r="F12" s="542">
        <v>0</v>
      </c>
      <c r="G12" s="542">
        <f t="shared" si="5"/>
        <v>0</v>
      </c>
      <c r="H12" s="542">
        <f t="shared" si="4"/>
        <v>0</v>
      </c>
      <c r="I12" s="543">
        <v>0</v>
      </c>
      <c r="K12" s="582">
        <f t="shared" si="0"/>
        <v>12.184799999999999</v>
      </c>
      <c r="L12" s="582">
        <f t="shared" si="1"/>
        <v>0</v>
      </c>
      <c r="M12" s="582">
        <f t="shared" si="2"/>
        <v>0</v>
      </c>
    </row>
    <row r="13" spans="1:13" s="1047" customFormat="1" ht="27.95" customHeight="1">
      <c r="A13" s="539">
        <v>362641</v>
      </c>
      <c r="B13" s="540">
        <f t="shared" si="3"/>
        <v>0.96</v>
      </c>
      <c r="C13" s="541" t="s">
        <v>906</v>
      </c>
      <c r="D13" s="545">
        <f>483522-639</f>
        <v>482883</v>
      </c>
      <c r="E13" s="600">
        <f>ROUND(D13/$D$8*100,2)</f>
        <v>1.4</v>
      </c>
      <c r="F13" s="545">
        <v>190342</v>
      </c>
      <c r="G13" s="600">
        <f t="shared" si="5"/>
        <v>0.59</v>
      </c>
      <c r="H13" s="546">
        <f t="shared" si="4"/>
        <v>292541</v>
      </c>
      <c r="I13" s="311">
        <f>ROUND(H13/F13*100,2)</f>
        <v>153.69</v>
      </c>
      <c r="K13" s="582">
        <f t="shared" si="0"/>
        <v>0.95799999999999996</v>
      </c>
      <c r="L13" s="582">
        <f t="shared" si="1"/>
        <v>1.4017999999999999</v>
      </c>
      <c r="M13" s="582">
        <f t="shared" si="2"/>
        <v>0.58540000000000003</v>
      </c>
    </row>
    <row r="14" spans="1:13" s="1035" customFormat="1" ht="27.95" customHeight="1">
      <c r="A14" s="300">
        <v>30834136</v>
      </c>
      <c r="B14" s="533">
        <f t="shared" si="3"/>
        <v>81.459999999999994</v>
      </c>
      <c r="C14" s="534" t="s">
        <v>905</v>
      </c>
      <c r="D14" s="535">
        <f>D15+D16</f>
        <v>32081213</v>
      </c>
      <c r="E14" s="533">
        <f t="shared" ref="E14:E39" si="8">ROUND(D14/$D$8*100,2)</f>
        <v>93.13</v>
      </c>
      <c r="F14" s="535">
        <f>F15+F16</f>
        <v>30950020</v>
      </c>
      <c r="G14" s="538">
        <f t="shared" si="5"/>
        <v>95.19</v>
      </c>
      <c r="H14" s="536">
        <f t="shared" si="4"/>
        <v>1131193</v>
      </c>
      <c r="I14" s="315">
        <f>ROUND(H14/F14*100,2)</f>
        <v>3.65</v>
      </c>
      <c r="K14" s="580">
        <f t="shared" si="0"/>
        <v>81.458299999999994</v>
      </c>
      <c r="L14" s="580">
        <f t="shared" si="1"/>
        <v>93.132499999999993</v>
      </c>
      <c r="M14" s="580">
        <f t="shared" si="2"/>
        <v>95.189599999999999</v>
      </c>
    </row>
    <row r="15" spans="1:13" s="1047" customFormat="1" ht="27.95" customHeight="1">
      <c r="A15" s="539">
        <v>30834136</v>
      </c>
      <c r="B15" s="540">
        <f t="shared" si="3"/>
        <v>81.459999999999994</v>
      </c>
      <c r="C15" s="541" t="s">
        <v>992</v>
      </c>
      <c r="D15" s="545">
        <v>32081213</v>
      </c>
      <c r="E15" s="600">
        <f t="shared" si="8"/>
        <v>93.13</v>
      </c>
      <c r="F15" s="545">
        <v>30950020</v>
      </c>
      <c r="G15" s="344">
        <f t="shared" si="5"/>
        <v>95.19</v>
      </c>
      <c r="H15" s="546">
        <f t="shared" si="4"/>
        <v>1131193</v>
      </c>
      <c r="I15" s="311">
        <f>ROUND(H15/F15*100,2)</f>
        <v>3.65</v>
      </c>
      <c r="K15" s="582">
        <f t="shared" si="0"/>
        <v>81.458299999999994</v>
      </c>
      <c r="L15" s="582">
        <f t="shared" si="1"/>
        <v>93.132499999999993</v>
      </c>
      <c r="M15" s="582">
        <f t="shared" si="2"/>
        <v>95.189599999999999</v>
      </c>
    </row>
    <row r="16" spans="1:13" s="1047" customFormat="1" ht="27" hidden="1" customHeight="1">
      <c r="A16" s="539">
        <v>0</v>
      </c>
      <c r="B16" s="540">
        <f t="shared" si="3"/>
        <v>0</v>
      </c>
      <c r="C16" s="556" t="s">
        <v>991</v>
      </c>
      <c r="D16" s="542">
        <v>0</v>
      </c>
      <c r="E16" s="583">
        <f t="shared" si="8"/>
        <v>0</v>
      </c>
      <c r="F16" s="542">
        <v>0</v>
      </c>
      <c r="G16" s="583">
        <f t="shared" si="5"/>
        <v>0</v>
      </c>
      <c r="H16" s="560">
        <f t="shared" si="4"/>
        <v>0</v>
      </c>
      <c r="I16" s="543">
        <v>0</v>
      </c>
      <c r="K16" s="582">
        <f t="shared" si="0"/>
        <v>0</v>
      </c>
      <c r="L16" s="582">
        <f t="shared" si="1"/>
        <v>0</v>
      </c>
      <c r="M16" s="582">
        <f t="shared" si="2"/>
        <v>0</v>
      </c>
    </row>
    <row r="17" spans="1:13" s="1035" customFormat="1" ht="27.95" customHeight="1">
      <c r="A17" s="300">
        <v>37871664</v>
      </c>
      <c r="B17" s="533">
        <f t="shared" si="3"/>
        <v>100.05</v>
      </c>
      <c r="C17" s="534" t="s">
        <v>990</v>
      </c>
      <c r="D17" s="535">
        <f>D18+D21+D25</f>
        <v>34455632</v>
      </c>
      <c r="E17" s="584">
        <f t="shared" si="8"/>
        <v>100.03</v>
      </c>
      <c r="F17" s="535">
        <f>F18+F21+F25</f>
        <v>32522306</v>
      </c>
      <c r="G17" s="584">
        <f t="shared" si="5"/>
        <v>100.03</v>
      </c>
      <c r="H17" s="536">
        <f t="shared" si="4"/>
        <v>1933326</v>
      </c>
      <c r="I17" s="315">
        <f>ROUND(H17/F17*100,2)</f>
        <v>5.94</v>
      </c>
      <c r="K17" s="580">
        <f t="shared" si="0"/>
        <v>100.0502</v>
      </c>
      <c r="L17" s="580">
        <f t="shared" si="1"/>
        <v>100.02549999999999</v>
      </c>
      <c r="M17" s="580">
        <f t="shared" si="2"/>
        <v>100.0254</v>
      </c>
    </row>
    <row r="18" spans="1:13" s="1035" customFormat="1" ht="27.95" customHeight="1">
      <c r="A18" s="300">
        <v>2044631</v>
      </c>
      <c r="B18" s="538">
        <f t="shared" si="3"/>
        <v>5.4</v>
      </c>
      <c r="C18" s="534" t="s">
        <v>989</v>
      </c>
      <c r="D18" s="535">
        <f>SUM(D19:D20)</f>
        <v>581</v>
      </c>
      <c r="E18" s="538">
        <f t="shared" si="8"/>
        <v>0</v>
      </c>
      <c r="F18" s="535">
        <f>SUM(F19:F20)</f>
        <v>556</v>
      </c>
      <c r="G18" s="538">
        <f t="shared" si="5"/>
        <v>0</v>
      </c>
      <c r="H18" s="536">
        <f t="shared" si="4"/>
        <v>25</v>
      </c>
      <c r="I18" s="315">
        <f>ROUND(H18/F18*100,2)</f>
        <v>4.5</v>
      </c>
      <c r="K18" s="580">
        <f t="shared" si="0"/>
        <v>5.4016000000000002</v>
      </c>
      <c r="L18" s="580">
        <f t="shared" si="1"/>
        <v>1.6999999999999999E-3</v>
      </c>
      <c r="M18" s="580">
        <f t="shared" si="2"/>
        <v>1.6999999999999999E-3</v>
      </c>
    </row>
    <row r="19" spans="1:13" s="1047" customFormat="1" ht="27.95" customHeight="1">
      <c r="A19" s="539">
        <v>45893</v>
      </c>
      <c r="B19" s="344">
        <f t="shared" si="3"/>
        <v>0.12</v>
      </c>
      <c r="C19" s="541" t="s">
        <v>988</v>
      </c>
      <c r="D19" s="307">
        <v>581</v>
      </c>
      <c r="E19" s="344">
        <f t="shared" si="8"/>
        <v>0</v>
      </c>
      <c r="F19" s="307">
        <v>556</v>
      </c>
      <c r="G19" s="344">
        <f t="shared" si="5"/>
        <v>0</v>
      </c>
      <c r="H19" s="546">
        <f t="shared" si="4"/>
        <v>25</v>
      </c>
      <c r="I19" s="311">
        <f>ROUND(H19/F19*100,2)</f>
        <v>4.5</v>
      </c>
      <c r="K19" s="582">
        <f t="shared" si="0"/>
        <v>0.1212</v>
      </c>
      <c r="L19" s="582">
        <f t="shared" si="1"/>
        <v>1.6999999999999999E-3</v>
      </c>
      <c r="M19" s="582">
        <f t="shared" si="2"/>
        <v>1.6999999999999999E-3</v>
      </c>
    </row>
    <row r="20" spans="1:13" s="1047" customFormat="1" ht="26.85" customHeight="1">
      <c r="A20" s="539">
        <v>1998737</v>
      </c>
      <c r="B20" s="344">
        <f t="shared" si="3"/>
        <v>5.28</v>
      </c>
      <c r="C20" s="541" t="s">
        <v>987</v>
      </c>
      <c r="D20" s="542">
        <f>227000-227000</f>
        <v>0</v>
      </c>
      <c r="E20" s="344">
        <f t="shared" si="8"/>
        <v>0</v>
      </c>
      <c r="F20" s="542">
        <v>0</v>
      </c>
      <c r="G20" s="542">
        <f t="shared" si="5"/>
        <v>0</v>
      </c>
      <c r="H20" s="542">
        <f t="shared" si="4"/>
        <v>0</v>
      </c>
      <c r="I20" s="543">
        <v>0</v>
      </c>
      <c r="K20" s="582">
        <f t="shared" si="0"/>
        <v>5.2803000000000004</v>
      </c>
      <c r="L20" s="582">
        <f t="shared" si="1"/>
        <v>0</v>
      </c>
      <c r="M20" s="582">
        <f t="shared" si="2"/>
        <v>0</v>
      </c>
    </row>
    <row r="21" spans="1:13" s="1035" customFormat="1" ht="27.95" customHeight="1">
      <c r="A21" s="300">
        <v>32722268</v>
      </c>
      <c r="B21" s="533">
        <f t="shared" si="3"/>
        <v>86.45</v>
      </c>
      <c r="C21" s="534" t="s">
        <v>892</v>
      </c>
      <c r="D21" s="535">
        <f>SUM(D22:D24)</f>
        <v>29995584</v>
      </c>
      <c r="E21" s="1075">
        <f t="shared" si="8"/>
        <v>87.08</v>
      </c>
      <c r="F21" s="535">
        <f>SUM(F22:F24)</f>
        <v>28480319</v>
      </c>
      <c r="G21" s="584">
        <f t="shared" si="5"/>
        <v>87.59</v>
      </c>
      <c r="H21" s="536">
        <f t="shared" si="4"/>
        <v>1515265</v>
      </c>
      <c r="I21" s="315">
        <f t="shared" ref="I21:I31" si="9">ROUND(H21/F21*100,2)</f>
        <v>5.32</v>
      </c>
      <c r="K21" s="580">
        <f t="shared" si="0"/>
        <v>86.446399999999997</v>
      </c>
      <c r="L21" s="580">
        <f t="shared" si="1"/>
        <v>87.0779</v>
      </c>
      <c r="M21" s="580">
        <f t="shared" si="2"/>
        <v>87.593900000000005</v>
      </c>
    </row>
    <row r="22" spans="1:13" s="1047" customFormat="1" ht="27.95" customHeight="1">
      <c r="A22" s="539">
        <v>20840606</v>
      </c>
      <c r="B22" s="540">
        <f t="shared" si="3"/>
        <v>55.06</v>
      </c>
      <c r="C22" s="541" t="s">
        <v>891</v>
      </c>
      <c r="D22" s="545">
        <v>24949551</v>
      </c>
      <c r="E22" s="847">
        <f t="shared" si="8"/>
        <v>72.430000000000007</v>
      </c>
      <c r="F22" s="545">
        <v>25351364</v>
      </c>
      <c r="G22" s="344">
        <f t="shared" si="5"/>
        <v>77.97</v>
      </c>
      <c r="H22" s="546">
        <f t="shared" si="4"/>
        <v>-401813</v>
      </c>
      <c r="I22" s="311">
        <f t="shared" si="9"/>
        <v>-1.58</v>
      </c>
      <c r="K22" s="582">
        <f t="shared" si="0"/>
        <v>55.057200000000002</v>
      </c>
      <c r="L22" s="582">
        <f t="shared" si="1"/>
        <v>72.429100000000005</v>
      </c>
      <c r="M22" s="582">
        <f t="shared" si="2"/>
        <v>77.970500000000001</v>
      </c>
    </row>
    <row r="23" spans="1:13" s="1047" customFormat="1" ht="27.95" customHeight="1">
      <c r="A23" s="539">
        <v>11838931</v>
      </c>
      <c r="B23" s="540">
        <f t="shared" si="3"/>
        <v>31.28</v>
      </c>
      <c r="C23" s="541" t="s">
        <v>986</v>
      </c>
      <c r="D23" s="545">
        <f>4998246+15000-3066</f>
        <v>5010180</v>
      </c>
      <c r="E23" s="344">
        <f t="shared" si="8"/>
        <v>14.54</v>
      </c>
      <c r="F23" s="545">
        <f>3077004+6785</f>
        <v>3083789</v>
      </c>
      <c r="G23" s="344">
        <f t="shared" si="5"/>
        <v>9.48</v>
      </c>
      <c r="H23" s="546">
        <f t="shared" si="4"/>
        <v>1926391</v>
      </c>
      <c r="I23" s="311">
        <f t="shared" si="9"/>
        <v>62.47</v>
      </c>
      <c r="K23" s="582">
        <f t="shared" si="0"/>
        <v>31.276299999999999</v>
      </c>
      <c r="L23" s="582">
        <f t="shared" si="1"/>
        <v>14.544700000000001</v>
      </c>
      <c r="M23" s="582">
        <f t="shared" si="2"/>
        <v>9.4845000000000006</v>
      </c>
    </row>
    <row r="24" spans="1:13" s="1047" customFormat="1" ht="26.25" customHeight="1">
      <c r="A24" s="539">
        <v>42731</v>
      </c>
      <c r="B24" s="540">
        <f t="shared" si="3"/>
        <v>0.11</v>
      </c>
      <c r="C24" s="541" t="s">
        <v>985</v>
      </c>
      <c r="D24" s="545">
        <v>35853</v>
      </c>
      <c r="E24" s="600">
        <f t="shared" si="8"/>
        <v>0.1</v>
      </c>
      <c r="F24" s="545">
        <v>45166</v>
      </c>
      <c r="G24" s="600">
        <f t="shared" si="5"/>
        <v>0.14000000000000001</v>
      </c>
      <c r="H24" s="546">
        <f t="shared" si="4"/>
        <v>-9313</v>
      </c>
      <c r="I24" s="311">
        <f t="shared" si="9"/>
        <v>-20.62</v>
      </c>
      <c r="K24" s="582">
        <f t="shared" si="0"/>
        <v>0.1129</v>
      </c>
      <c r="L24" s="582">
        <f t="shared" si="1"/>
        <v>0.1041</v>
      </c>
      <c r="M24" s="582">
        <f t="shared" si="2"/>
        <v>0.1389</v>
      </c>
    </row>
    <row r="25" spans="1:13" s="1035" customFormat="1" ht="27.95" customHeight="1">
      <c r="A25" s="300">
        <v>3104765</v>
      </c>
      <c r="B25" s="533">
        <f t="shared" si="3"/>
        <v>8.1999999999999993</v>
      </c>
      <c r="C25" s="534" t="s">
        <v>984</v>
      </c>
      <c r="D25" s="535">
        <f>SUM(D26:D26)</f>
        <v>4459467</v>
      </c>
      <c r="E25" s="581">
        <f t="shared" si="8"/>
        <v>12.95</v>
      </c>
      <c r="F25" s="535">
        <f>SUM(F26:F26)</f>
        <v>4041431</v>
      </c>
      <c r="G25" s="581">
        <f t="shared" si="5"/>
        <v>12.43</v>
      </c>
      <c r="H25" s="536">
        <f t="shared" si="4"/>
        <v>418036</v>
      </c>
      <c r="I25" s="315">
        <f t="shared" si="9"/>
        <v>10.34</v>
      </c>
      <c r="K25" s="580">
        <f t="shared" si="0"/>
        <v>8.2021999999999995</v>
      </c>
      <c r="L25" s="580">
        <f t="shared" si="1"/>
        <v>12.9459</v>
      </c>
      <c r="M25" s="580">
        <f t="shared" si="2"/>
        <v>12.4298</v>
      </c>
    </row>
    <row r="26" spans="1:13" s="1047" customFormat="1" ht="27.95" customHeight="1">
      <c r="A26" s="539">
        <v>3104765</v>
      </c>
      <c r="B26" s="540">
        <f t="shared" si="3"/>
        <v>8.1999999999999993</v>
      </c>
      <c r="C26" s="541" t="s">
        <v>887</v>
      </c>
      <c r="D26" s="545">
        <f>4474467-15000</f>
        <v>4459467</v>
      </c>
      <c r="E26" s="583">
        <f t="shared" si="8"/>
        <v>12.95</v>
      </c>
      <c r="F26" s="545">
        <f>4048216-6785</f>
        <v>4041431</v>
      </c>
      <c r="G26" s="583">
        <f t="shared" si="5"/>
        <v>12.43</v>
      </c>
      <c r="H26" s="546">
        <f t="shared" si="4"/>
        <v>418036</v>
      </c>
      <c r="I26" s="311">
        <f t="shared" si="9"/>
        <v>10.34</v>
      </c>
      <c r="K26" s="582">
        <f t="shared" si="0"/>
        <v>8.2021999999999995</v>
      </c>
      <c r="L26" s="582">
        <f t="shared" si="1"/>
        <v>12.9459</v>
      </c>
      <c r="M26" s="582">
        <f t="shared" si="2"/>
        <v>12.4298</v>
      </c>
    </row>
    <row r="27" spans="1:13" s="1035" customFormat="1" ht="27.95" customHeight="1">
      <c r="A27" s="300">
        <v>-18993</v>
      </c>
      <c r="B27" s="533">
        <f t="shared" si="3"/>
        <v>-0.05</v>
      </c>
      <c r="C27" s="534" t="s">
        <v>983</v>
      </c>
      <c r="D27" s="585">
        <f>+D8-D17</f>
        <v>-8788</v>
      </c>
      <c r="E27" s="581">
        <f t="shared" si="8"/>
        <v>-0.03</v>
      </c>
      <c r="F27" s="585">
        <f>+F8-F17</f>
        <v>-8244</v>
      </c>
      <c r="G27" s="581">
        <f t="shared" si="5"/>
        <v>-0.03</v>
      </c>
      <c r="H27" s="585">
        <f t="shared" si="4"/>
        <v>-544</v>
      </c>
      <c r="I27" s="315">
        <f t="shared" si="9"/>
        <v>6.6</v>
      </c>
      <c r="K27" s="580">
        <f t="shared" si="0"/>
        <v>-5.0200000000000002E-2</v>
      </c>
      <c r="L27" s="580">
        <f t="shared" si="1"/>
        <v>-2.5499999999999998E-2</v>
      </c>
      <c r="M27" s="580">
        <f t="shared" si="2"/>
        <v>-2.5399999999999999E-2</v>
      </c>
    </row>
    <row r="28" spans="1:13" s="1035" customFormat="1" ht="27.95" customHeight="1">
      <c r="A28" s="302">
        <v>19052</v>
      </c>
      <c r="B28" s="533">
        <f t="shared" si="3"/>
        <v>0.05</v>
      </c>
      <c r="C28" s="534" t="s">
        <v>982</v>
      </c>
      <c r="D28" s="318">
        <f>D29+D31</f>
        <v>8799</v>
      </c>
      <c r="E28" s="581">
        <f t="shared" si="8"/>
        <v>0.03</v>
      </c>
      <c r="F28" s="318">
        <f>F29+F31</f>
        <v>8255</v>
      </c>
      <c r="G28" s="581">
        <f t="shared" si="5"/>
        <v>0.03</v>
      </c>
      <c r="H28" s="586">
        <f t="shared" si="4"/>
        <v>544</v>
      </c>
      <c r="I28" s="315">
        <f t="shared" si="9"/>
        <v>6.59</v>
      </c>
      <c r="K28" s="580">
        <f t="shared" si="0"/>
        <v>5.0299999999999997E-2</v>
      </c>
      <c r="L28" s="580">
        <f t="shared" si="1"/>
        <v>2.5499999999999998E-2</v>
      </c>
      <c r="M28" s="580">
        <f t="shared" si="2"/>
        <v>2.5399999999999999E-2</v>
      </c>
    </row>
    <row r="29" spans="1:13" s="1035" customFormat="1" ht="27.95" customHeight="1">
      <c r="A29" s="300">
        <v>72</v>
      </c>
      <c r="B29" s="538">
        <f t="shared" si="3"/>
        <v>0</v>
      </c>
      <c r="C29" s="534" t="s">
        <v>981</v>
      </c>
      <c r="D29" s="535">
        <f>D30</f>
        <v>43</v>
      </c>
      <c r="E29" s="538">
        <f t="shared" si="8"/>
        <v>0</v>
      </c>
      <c r="F29" s="535">
        <f>F30</f>
        <v>41</v>
      </c>
      <c r="G29" s="538">
        <f t="shared" si="5"/>
        <v>0</v>
      </c>
      <c r="H29" s="586">
        <f>H30</f>
        <v>2</v>
      </c>
      <c r="I29" s="587">
        <f t="shared" si="9"/>
        <v>4.88</v>
      </c>
      <c r="K29" s="580">
        <f t="shared" si="0"/>
        <v>2.0000000000000001E-4</v>
      </c>
      <c r="L29" s="580">
        <f t="shared" si="1"/>
        <v>1E-4</v>
      </c>
      <c r="M29" s="580">
        <f t="shared" si="2"/>
        <v>1E-4</v>
      </c>
    </row>
    <row r="30" spans="1:13" s="1047" customFormat="1" ht="27.95" customHeight="1">
      <c r="A30" s="539">
        <v>72</v>
      </c>
      <c r="B30" s="344">
        <f t="shared" si="3"/>
        <v>0</v>
      </c>
      <c r="C30" s="541" t="s">
        <v>980</v>
      </c>
      <c r="D30" s="545">
        <v>43</v>
      </c>
      <c r="E30" s="344">
        <f t="shared" si="8"/>
        <v>0</v>
      </c>
      <c r="F30" s="545">
        <v>41</v>
      </c>
      <c r="G30" s="344">
        <f t="shared" si="5"/>
        <v>0</v>
      </c>
      <c r="H30" s="588">
        <f>D30-F30</f>
        <v>2</v>
      </c>
      <c r="I30" s="311">
        <f t="shared" si="9"/>
        <v>4.88</v>
      </c>
      <c r="K30" s="582">
        <f t="shared" si="0"/>
        <v>2.0000000000000001E-4</v>
      </c>
      <c r="L30" s="582">
        <f t="shared" si="1"/>
        <v>1E-4</v>
      </c>
      <c r="M30" s="582">
        <f t="shared" si="2"/>
        <v>1E-4</v>
      </c>
    </row>
    <row r="31" spans="1:13" s="1035" customFormat="1" ht="27.6" customHeight="1" thickBot="1">
      <c r="A31" s="1167">
        <v>18980</v>
      </c>
      <c r="B31" s="566">
        <f t="shared" si="3"/>
        <v>0.05</v>
      </c>
      <c r="C31" s="567" t="s">
        <v>979</v>
      </c>
      <c r="D31" s="1168">
        <f>SUM(D33:D34)</f>
        <v>8756</v>
      </c>
      <c r="E31" s="1169">
        <f t="shared" si="8"/>
        <v>0.03</v>
      </c>
      <c r="F31" s="1168">
        <f>SUM(F33:F34)</f>
        <v>8214</v>
      </c>
      <c r="G31" s="1169">
        <f t="shared" si="5"/>
        <v>0.03</v>
      </c>
      <c r="H31" s="1170">
        <f>+D31-F31</f>
        <v>542</v>
      </c>
      <c r="I31" s="570">
        <f t="shared" si="9"/>
        <v>6.6</v>
      </c>
      <c r="K31" s="580">
        <f t="shared" si="0"/>
        <v>5.0099999999999999E-2</v>
      </c>
      <c r="L31" s="580">
        <f t="shared" si="1"/>
        <v>2.5399999999999999E-2</v>
      </c>
      <c r="M31" s="580">
        <f t="shared" si="2"/>
        <v>2.53E-2</v>
      </c>
    </row>
    <row r="32" spans="1:13" s="1047" customFormat="1" ht="27" customHeight="1">
      <c r="A32" s="557">
        <v>7767</v>
      </c>
      <c r="B32" s="344">
        <f t="shared" si="3"/>
        <v>0.02</v>
      </c>
      <c r="C32" s="541" t="s">
        <v>978</v>
      </c>
      <c r="D32" s="344">
        <v>0</v>
      </c>
      <c r="E32" s="344">
        <f t="shared" si="8"/>
        <v>0</v>
      </c>
      <c r="F32" s="344">
        <v>0</v>
      </c>
      <c r="G32" s="344">
        <f t="shared" si="5"/>
        <v>0</v>
      </c>
      <c r="H32" s="560">
        <f>D32-F32</f>
        <v>0</v>
      </c>
      <c r="I32" s="309">
        <v>0</v>
      </c>
      <c r="K32" s="582">
        <f t="shared" si="0"/>
        <v>2.0500000000000001E-2</v>
      </c>
      <c r="L32" s="582">
        <f t="shared" si="1"/>
        <v>0</v>
      </c>
      <c r="M32" s="582">
        <f t="shared" si="2"/>
        <v>0</v>
      </c>
    </row>
    <row r="33" spans="1:16" s="1047" customFormat="1" ht="27" customHeight="1">
      <c r="A33" s="539">
        <v>10798</v>
      </c>
      <c r="B33" s="540">
        <f t="shared" si="3"/>
        <v>0.03</v>
      </c>
      <c r="C33" s="541" t="s">
        <v>880</v>
      </c>
      <c r="D33" s="545">
        <v>8527</v>
      </c>
      <c r="E33" s="583">
        <f t="shared" si="8"/>
        <v>0.02</v>
      </c>
      <c r="F33" s="545">
        <v>8015</v>
      </c>
      <c r="G33" s="583">
        <f t="shared" si="5"/>
        <v>0.02</v>
      </c>
      <c r="H33" s="310">
        <f>D33-F33</f>
        <v>512</v>
      </c>
      <c r="I33" s="311">
        <f>ROUND(H33/F33*100,2)</f>
        <v>6.39</v>
      </c>
      <c r="K33" s="582">
        <f t="shared" si="0"/>
        <v>2.8500000000000001E-2</v>
      </c>
      <c r="L33" s="582">
        <f t="shared" si="1"/>
        <v>2.4799999999999999E-2</v>
      </c>
      <c r="M33" s="582">
        <f t="shared" si="2"/>
        <v>2.47E-2</v>
      </c>
    </row>
    <row r="34" spans="1:16" s="1047" customFormat="1" ht="27" customHeight="1">
      <c r="A34" s="539">
        <v>414</v>
      </c>
      <c r="B34" s="542">
        <f t="shared" si="3"/>
        <v>0</v>
      </c>
      <c r="C34" s="541" t="s">
        <v>879</v>
      </c>
      <c r="D34" s="545">
        <v>229</v>
      </c>
      <c r="E34" s="344">
        <f t="shared" si="8"/>
        <v>0</v>
      </c>
      <c r="F34" s="545">
        <v>199</v>
      </c>
      <c r="G34" s="344">
        <f t="shared" si="5"/>
        <v>0</v>
      </c>
      <c r="H34" s="310">
        <f>D34-F34</f>
        <v>30</v>
      </c>
      <c r="I34" s="311">
        <f>ROUND(H34/F34*100,2)</f>
        <v>15.08</v>
      </c>
      <c r="J34" s="1093"/>
      <c r="K34" s="1094">
        <f t="shared" si="0"/>
        <v>1.1000000000000001E-3</v>
      </c>
      <c r="L34" s="1094">
        <f t="shared" si="1"/>
        <v>6.9999999999999999E-4</v>
      </c>
      <c r="M34" s="1094">
        <f t="shared" si="2"/>
        <v>5.9999999999999995E-4</v>
      </c>
      <c r="N34" s="231"/>
      <c r="O34" s="231"/>
    </row>
    <row r="35" spans="1:16" s="1035" customFormat="1" ht="27" customHeight="1">
      <c r="A35" s="302">
        <v>58</v>
      </c>
      <c r="B35" s="538">
        <f t="shared" si="3"/>
        <v>0</v>
      </c>
      <c r="C35" s="534" t="s">
        <v>977</v>
      </c>
      <c r="D35" s="318">
        <f>D36</f>
        <v>11</v>
      </c>
      <c r="E35" s="538">
        <f t="shared" si="8"/>
        <v>0</v>
      </c>
      <c r="F35" s="318">
        <f>F36</f>
        <v>11</v>
      </c>
      <c r="G35" s="538">
        <f t="shared" si="5"/>
        <v>0</v>
      </c>
      <c r="H35" s="542">
        <f>D35-F35</f>
        <v>0</v>
      </c>
      <c r="I35" s="306">
        <v>0</v>
      </c>
      <c r="K35" s="580">
        <f t="shared" si="0"/>
        <v>2.0000000000000001E-4</v>
      </c>
      <c r="L35" s="580">
        <f t="shared" si="1"/>
        <v>0</v>
      </c>
      <c r="M35" s="580">
        <f t="shared" si="2"/>
        <v>0</v>
      </c>
      <c r="P35" s="713"/>
    </row>
    <row r="36" spans="1:16" s="1035" customFormat="1" ht="27" customHeight="1">
      <c r="A36" s="300">
        <v>58</v>
      </c>
      <c r="B36" s="538">
        <f t="shared" si="3"/>
        <v>0</v>
      </c>
      <c r="C36" s="534" t="s">
        <v>976</v>
      </c>
      <c r="D36" s="547">
        <f>D37</f>
        <v>11</v>
      </c>
      <c r="E36" s="538">
        <f t="shared" si="8"/>
        <v>0</v>
      </c>
      <c r="F36" s="318">
        <f>F37</f>
        <v>11</v>
      </c>
      <c r="G36" s="538">
        <f t="shared" si="5"/>
        <v>0</v>
      </c>
      <c r="H36" s="542">
        <f>+D36-F36</f>
        <v>0</v>
      </c>
      <c r="I36" s="306">
        <v>0</v>
      </c>
      <c r="K36" s="580">
        <f t="shared" si="0"/>
        <v>2.0000000000000001E-4</v>
      </c>
      <c r="L36" s="580">
        <f t="shared" si="1"/>
        <v>0</v>
      </c>
      <c r="M36" s="580">
        <f t="shared" si="2"/>
        <v>0</v>
      </c>
    </row>
    <row r="37" spans="1:16" s="1047" customFormat="1" ht="27" customHeight="1">
      <c r="A37" s="539">
        <v>58</v>
      </c>
      <c r="B37" s="344">
        <f t="shared" si="3"/>
        <v>0</v>
      </c>
      <c r="C37" s="541" t="s">
        <v>975</v>
      </c>
      <c r="D37" s="542">
        <v>11</v>
      </c>
      <c r="E37" s="344">
        <f t="shared" si="8"/>
        <v>0</v>
      </c>
      <c r="F37" s="725">
        <v>11</v>
      </c>
      <c r="G37" s="344">
        <f t="shared" si="5"/>
        <v>0</v>
      </c>
      <c r="H37" s="560">
        <f>D37-F37</f>
        <v>0</v>
      </c>
      <c r="I37" s="309">
        <v>0</v>
      </c>
      <c r="K37" s="582">
        <f t="shared" si="0"/>
        <v>2.0000000000000001E-4</v>
      </c>
      <c r="L37" s="582">
        <f t="shared" si="1"/>
        <v>0</v>
      </c>
      <c r="M37" s="582">
        <f t="shared" si="2"/>
        <v>0</v>
      </c>
    </row>
    <row r="38" spans="1:16" s="1035" customFormat="1" ht="27" customHeight="1">
      <c r="A38" s="302">
        <v>18993</v>
      </c>
      <c r="B38" s="533">
        <f t="shared" si="3"/>
        <v>0.05</v>
      </c>
      <c r="C38" s="534" t="s">
        <v>974</v>
      </c>
      <c r="D38" s="314">
        <f>+D28-D35</f>
        <v>8788</v>
      </c>
      <c r="E38" s="581">
        <f t="shared" si="8"/>
        <v>0.03</v>
      </c>
      <c r="F38" s="314">
        <f>+F28-F35</f>
        <v>8244</v>
      </c>
      <c r="G38" s="581">
        <f t="shared" si="5"/>
        <v>0.03</v>
      </c>
      <c r="H38" s="314">
        <f>D38-F38</f>
        <v>544</v>
      </c>
      <c r="I38" s="315">
        <f>ROUND(H38/F38*100,2)</f>
        <v>6.6</v>
      </c>
      <c r="K38" s="580">
        <f t="shared" si="0"/>
        <v>5.0200000000000002E-2</v>
      </c>
      <c r="L38" s="580">
        <f t="shared" si="1"/>
        <v>2.5499999999999998E-2</v>
      </c>
      <c r="M38" s="580">
        <f t="shared" si="2"/>
        <v>2.5399999999999999E-2</v>
      </c>
    </row>
    <row r="39" spans="1:16" s="1035" customFormat="1" ht="27" customHeight="1">
      <c r="A39" s="564">
        <f>A27+A38</f>
        <v>0</v>
      </c>
      <c r="B39" s="538">
        <f>ROUND(A39/$A$8*100,2)</f>
        <v>0</v>
      </c>
      <c r="C39" s="534" t="s">
        <v>973</v>
      </c>
      <c r="D39" s="565">
        <f>+D27+D38</f>
        <v>0</v>
      </c>
      <c r="E39" s="538">
        <f t="shared" si="8"/>
        <v>0</v>
      </c>
      <c r="F39" s="565">
        <f>+F27+F38</f>
        <v>0</v>
      </c>
      <c r="G39" s="538">
        <f t="shared" si="5"/>
        <v>0</v>
      </c>
      <c r="H39" s="565">
        <f>D39-F39</f>
        <v>0</v>
      </c>
      <c r="I39" s="558">
        <v>0</v>
      </c>
      <c r="K39" s="580">
        <f t="shared" si="0"/>
        <v>0</v>
      </c>
      <c r="L39" s="580">
        <f t="shared" si="1"/>
        <v>0</v>
      </c>
      <c r="M39" s="580">
        <f t="shared" si="2"/>
        <v>0</v>
      </c>
    </row>
    <row r="40" spans="1:16" s="1035" customFormat="1" ht="30" customHeight="1">
      <c r="A40" s="564"/>
      <c r="B40" s="547"/>
      <c r="C40" s="534"/>
      <c r="D40" s="565"/>
      <c r="E40" s="565"/>
      <c r="F40" s="565"/>
      <c r="G40" s="565"/>
      <c r="H40" s="565"/>
      <c r="I40" s="558"/>
      <c r="K40" s="580"/>
      <c r="L40" s="580"/>
      <c r="M40" s="580"/>
    </row>
    <row r="41" spans="1:16" s="1035" customFormat="1" ht="30" customHeight="1">
      <c r="A41" s="564"/>
      <c r="B41" s="547"/>
      <c r="C41" s="534"/>
      <c r="D41" s="565"/>
      <c r="E41" s="565"/>
      <c r="F41" s="565"/>
      <c r="G41" s="565"/>
      <c r="H41" s="565"/>
      <c r="I41" s="558"/>
      <c r="K41" s="580"/>
      <c r="L41" s="580"/>
      <c r="M41" s="580"/>
    </row>
    <row r="42" spans="1:16" s="1035" customFormat="1" ht="30" customHeight="1">
      <c r="A42" s="564"/>
      <c r="B42" s="547"/>
      <c r="C42" s="534"/>
      <c r="D42" s="565"/>
      <c r="E42" s="565"/>
      <c r="F42" s="565"/>
      <c r="G42" s="565"/>
      <c r="H42" s="565"/>
      <c r="I42" s="558"/>
      <c r="K42" s="580"/>
      <c r="L42" s="580"/>
      <c r="M42" s="580"/>
    </row>
    <row r="43" spans="1:16" s="1035" customFormat="1" ht="30" customHeight="1">
      <c r="A43" s="564"/>
      <c r="B43" s="547"/>
      <c r="C43" s="534"/>
      <c r="D43" s="565"/>
      <c r="E43" s="565"/>
      <c r="F43" s="565"/>
      <c r="G43" s="565"/>
      <c r="H43" s="565"/>
      <c r="I43" s="558"/>
      <c r="K43" s="580"/>
      <c r="L43" s="580"/>
      <c r="M43" s="580"/>
    </row>
    <row r="44" spans="1:16" s="1035" customFormat="1" ht="30" customHeight="1">
      <c r="A44" s="564"/>
      <c r="B44" s="547"/>
      <c r="C44" s="534"/>
      <c r="D44" s="565"/>
      <c r="E44" s="565"/>
      <c r="F44" s="565"/>
      <c r="G44" s="565"/>
      <c r="H44" s="565"/>
      <c r="I44" s="558"/>
      <c r="K44" s="580"/>
      <c r="L44" s="580"/>
      <c r="M44" s="580"/>
    </row>
    <row r="45" spans="1:16" s="1035" customFormat="1" ht="30" customHeight="1">
      <c r="A45" s="564"/>
      <c r="B45" s="547"/>
      <c r="C45" s="534"/>
      <c r="D45" s="565"/>
      <c r="E45" s="565"/>
      <c r="F45" s="565"/>
      <c r="G45" s="565"/>
      <c r="H45" s="565"/>
      <c r="I45" s="558"/>
      <c r="K45" s="580"/>
      <c r="L45" s="580"/>
      <c r="M45" s="580"/>
    </row>
    <row r="46" spans="1:16" s="1035" customFormat="1" ht="30" customHeight="1">
      <c r="A46" s="564"/>
      <c r="B46" s="547"/>
      <c r="C46" s="534"/>
      <c r="D46" s="565"/>
      <c r="E46" s="565"/>
      <c r="F46" s="565"/>
      <c r="G46" s="565"/>
      <c r="H46" s="565"/>
      <c r="I46" s="558"/>
      <c r="K46" s="580"/>
      <c r="L46" s="580"/>
      <c r="M46" s="580"/>
    </row>
    <row r="47" spans="1:16" s="1035" customFormat="1" ht="30" customHeight="1">
      <c r="A47" s="564"/>
      <c r="B47" s="547"/>
      <c r="C47" s="534"/>
      <c r="D47" s="565"/>
      <c r="E47" s="565"/>
      <c r="F47" s="565"/>
      <c r="G47" s="565"/>
      <c r="H47" s="565"/>
      <c r="I47" s="558"/>
      <c r="K47" s="580"/>
      <c r="L47" s="580"/>
      <c r="M47" s="580"/>
    </row>
    <row r="48" spans="1:16" s="1035" customFormat="1" ht="30" customHeight="1">
      <c r="A48" s="564"/>
      <c r="B48" s="547"/>
      <c r="C48" s="534"/>
      <c r="D48" s="565"/>
      <c r="E48" s="565"/>
      <c r="F48" s="565"/>
      <c r="G48" s="565"/>
      <c r="H48" s="565"/>
      <c r="I48" s="558"/>
      <c r="K48" s="580"/>
      <c r="L48" s="580"/>
      <c r="M48" s="580"/>
    </row>
    <row r="49" spans="1:13" s="1035" customFormat="1" ht="39.4" customHeight="1">
      <c r="A49" s="564"/>
      <c r="B49" s="547"/>
      <c r="C49" s="534"/>
      <c r="D49" s="565"/>
      <c r="E49" s="565"/>
      <c r="F49" s="565"/>
      <c r="G49" s="565"/>
      <c r="H49" s="565"/>
      <c r="I49" s="558"/>
      <c r="K49" s="580"/>
      <c r="L49" s="580"/>
      <c r="M49" s="580"/>
    </row>
    <row r="50" spans="1:13" s="1035" customFormat="1" ht="27.6" customHeight="1">
      <c r="A50" s="564"/>
      <c r="B50" s="547"/>
      <c r="C50" s="534"/>
      <c r="D50" s="565"/>
      <c r="E50" s="565"/>
      <c r="F50" s="565"/>
      <c r="G50" s="565"/>
      <c r="H50" s="565"/>
      <c r="I50" s="558"/>
      <c r="K50" s="580"/>
      <c r="L50" s="580"/>
      <c r="M50" s="580"/>
    </row>
    <row r="51" spans="1:13" s="1035" customFormat="1" ht="30" customHeight="1">
      <c r="A51" s="564"/>
      <c r="B51" s="547"/>
      <c r="C51" s="534"/>
      <c r="D51" s="565"/>
      <c r="E51" s="565"/>
      <c r="F51" s="565"/>
      <c r="G51" s="565"/>
      <c r="H51" s="565"/>
      <c r="I51" s="558"/>
      <c r="K51" s="580"/>
      <c r="L51" s="580"/>
      <c r="M51" s="580"/>
    </row>
    <row r="52" spans="1:13" s="1047" customFormat="1" ht="45.75" customHeight="1" thickBot="1">
      <c r="A52" s="303"/>
      <c r="B52" s="566"/>
      <c r="C52" s="567"/>
      <c r="D52" s="568"/>
      <c r="E52" s="566"/>
      <c r="F52" s="568"/>
      <c r="G52" s="569"/>
      <c r="H52" s="319"/>
      <c r="I52" s="570"/>
      <c r="K52" s="571"/>
      <c r="L52" s="571"/>
      <c r="M52" s="571"/>
    </row>
    <row r="53" spans="1:13" ht="15.75" customHeight="1">
      <c r="A53" s="1362" t="s">
        <v>528</v>
      </c>
      <c r="B53" s="1363"/>
      <c r="C53" s="1363"/>
      <c r="D53" s="1363"/>
      <c r="E53" s="1363"/>
      <c r="F53" s="1363"/>
      <c r="G53" s="1363"/>
      <c r="H53" s="1363"/>
      <c r="I53" s="1363"/>
    </row>
    <row r="54" spans="1:13" ht="15.75">
      <c r="A54" s="590"/>
      <c r="B54" s="591"/>
      <c r="C54" s="592"/>
      <c r="D54" s="591"/>
      <c r="E54" s="593"/>
      <c r="F54" s="591"/>
      <c r="G54" s="591"/>
      <c r="H54" s="591"/>
      <c r="I54" s="591"/>
    </row>
    <row r="55" spans="1:13" ht="15.75">
      <c r="C55" s="594"/>
    </row>
    <row r="56" spans="1:13" ht="15.75">
      <c r="C56" s="594"/>
    </row>
    <row r="57" spans="1:13" ht="15.75">
      <c r="C57" s="594"/>
    </row>
    <row r="58" spans="1:13" ht="15.75">
      <c r="C58" s="594"/>
    </row>
    <row r="59" spans="1:13" ht="15.75">
      <c r="C59" s="594"/>
    </row>
    <row r="60" spans="1:13" ht="15.75">
      <c r="C60" s="594"/>
    </row>
    <row r="61" spans="1:13" ht="15.75">
      <c r="C61" s="594"/>
    </row>
    <row r="62" spans="1:13" ht="15.75">
      <c r="C62" s="594"/>
    </row>
  </sheetData>
  <mergeCells count="10">
    <mergeCell ref="A53:I53"/>
    <mergeCell ref="A1:I1"/>
    <mergeCell ref="A2:I2"/>
    <mergeCell ref="A3:I3"/>
    <mergeCell ref="A4:I4"/>
    <mergeCell ref="A5:B5"/>
    <mergeCell ref="C5:C6"/>
    <mergeCell ref="D5:E5"/>
    <mergeCell ref="F5:G5"/>
    <mergeCell ref="H5:I5"/>
  </mergeCells>
  <phoneticPr fontId="6" type="noConversion"/>
  <printOptions horizontalCentered="1"/>
  <pageMargins left="0.59055118110236227" right="0.59055118110236227" top="0.59055118110236227" bottom="0.78740157480314965" header="0.51181102362204722" footer="0.51181102362204722"/>
  <pageSetup paperSize="9" orientation="portrait" useFirstPageNumber="1" r:id="rId1"/>
  <headerFooter alignWithMargins="0">
    <oddFooter>&amp;C&amp;"細明體,標準"附&amp;"Times New Roman,標準"2-&amp;P</odd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A1:H37"/>
  <sheetViews>
    <sheetView view="pageBreakPreview" zoomScaleNormal="100" zoomScaleSheetLayoutView="100" workbookViewId="0">
      <selection activeCell="F23" sqref="F23"/>
    </sheetView>
  </sheetViews>
  <sheetFormatPr defaultColWidth="9" defaultRowHeight="15.75"/>
  <cols>
    <col min="1" max="1" width="41.875" style="6" customWidth="1"/>
    <col min="2" max="2" width="14.125" style="6" customWidth="1"/>
    <col min="3" max="3" width="15.625" style="6" customWidth="1"/>
    <col min="4" max="4" width="12.625" style="6" customWidth="1"/>
    <col min="5" max="5" width="5.625" style="6" customWidth="1"/>
    <col min="6" max="6" width="39" style="6" customWidth="1"/>
    <col min="7" max="7" width="9" style="6"/>
    <col min="8" max="8" width="26.375" style="6" customWidth="1"/>
    <col min="9" max="9" width="19.875" style="6" customWidth="1"/>
    <col min="10" max="16384" width="9" style="6"/>
  </cols>
  <sheetData>
    <row r="1" spans="1:8" s="2" customFormat="1" ht="21">
      <c r="A1" s="1369" t="s">
        <v>40</v>
      </c>
      <c r="B1" s="1369"/>
      <c r="C1" s="1369"/>
      <c r="D1" s="1369"/>
      <c r="E1" s="1369"/>
      <c r="F1" s="1"/>
      <c r="G1" s="1"/>
      <c r="H1" s="1"/>
    </row>
    <row r="2" spans="1:8" s="2" customFormat="1" ht="21">
      <c r="A2" s="1369" t="s">
        <v>41</v>
      </c>
      <c r="B2" s="1369"/>
      <c r="C2" s="1369"/>
      <c r="D2" s="1369"/>
      <c r="E2" s="1369"/>
      <c r="F2" s="1"/>
      <c r="G2" s="1"/>
      <c r="H2" s="1"/>
    </row>
    <row r="3" spans="1:8" s="2" customFormat="1" ht="24.75" customHeight="1">
      <c r="A3" s="1370" t="s">
        <v>1154</v>
      </c>
      <c r="B3" s="1371"/>
      <c r="C3" s="1371"/>
      <c r="D3" s="1371"/>
      <c r="E3" s="1371"/>
      <c r="F3" s="3"/>
      <c r="G3" s="3"/>
      <c r="H3" s="3"/>
    </row>
    <row r="4" spans="1:8" s="2" customFormat="1" ht="24.95" customHeight="1" thickBot="1">
      <c r="A4" s="1389" t="s">
        <v>1309</v>
      </c>
      <c r="B4" s="1390"/>
      <c r="C4" s="1390"/>
      <c r="D4" s="1390"/>
      <c r="E4" s="1390"/>
      <c r="F4" s="4"/>
      <c r="G4" s="4"/>
      <c r="H4" s="4"/>
    </row>
    <row r="5" spans="1:8">
      <c r="A5" s="1412" t="s">
        <v>42</v>
      </c>
      <c r="B5" s="1415" t="s">
        <v>43</v>
      </c>
      <c r="C5" s="1418" t="s">
        <v>79</v>
      </c>
      <c r="D5" s="1419"/>
      <c r="E5" s="1420"/>
      <c r="F5" s="4"/>
      <c r="G5" s="4"/>
      <c r="H5" s="4"/>
    </row>
    <row r="6" spans="1:8">
      <c r="A6" s="1413"/>
      <c r="B6" s="1416"/>
      <c r="C6" s="1421"/>
      <c r="D6" s="1422"/>
      <c r="E6" s="1423"/>
      <c r="F6" s="4"/>
      <c r="G6" s="4"/>
      <c r="H6" s="4"/>
    </row>
    <row r="7" spans="1:8" ht="12.75" customHeight="1">
      <c r="A7" s="1414"/>
      <c r="B7" s="1417"/>
      <c r="C7" s="1424"/>
      <c r="D7" s="1425"/>
      <c r="E7" s="1426"/>
    </row>
    <row r="8" spans="1:8" ht="5.25" customHeight="1">
      <c r="A8" s="1049"/>
      <c r="B8" s="1050"/>
      <c r="C8" s="83"/>
      <c r="D8" s="132"/>
      <c r="E8" s="86"/>
    </row>
    <row r="9" spans="1:8" s="1047" customFormat="1" ht="18.95" customHeight="1">
      <c r="A9" s="348" t="s">
        <v>45</v>
      </c>
      <c r="B9" s="134"/>
      <c r="C9" s="135"/>
      <c r="D9" s="136"/>
      <c r="E9" s="137"/>
    </row>
    <row r="10" spans="1:8" s="1035" customFormat="1" ht="18.95" customHeight="1">
      <c r="A10" s="67" t="s">
        <v>283</v>
      </c>
      <c r="B10" s="185">
        <v>0</v>
      </c>
      <c r="C10" s="139"/>
      <c r="D10" s="140"/>
      <c r="E10" s="137"/>
    </row>
    <row r="11" spans="1:8" s="1035" customFormat="1" ht="23.25" customHeight="1">
      <c r="A11" s="67" t="s">
        <v>294</v>
      </c>
      <c r="B11" s="31">
        <f>-D11+D12</f>
        <v>-2365674</v>
      </c>
      <c r="C11" s="1051" t="s">
        <v>317</v>
      </c>
      <c r="D11" s="1048">
        <f>2368740-3066</f>
        <v>2365674</v>
      </c>
      <c r="E11" s="1054" t="s">
        <v>46</v>
      </c>
    </row>
    <row r="12" spans="1:8" s="1035" customFormat="1" ht="20.25" hidden="1" customHeight="1">
      <c r="A12" s="67"/>
      <c r="B12" s="66"/>
      <c r="C12" s="1051" t="s">
        <v>284</v>
      </c>
      <c r="D12" s="616">
        <v>0</v>
      </c>
      <c r="E12" s="1054" t="s">
        <v>46</v>
      </c>
    </row>
    <row r="13" spans="1:8" s="1035" customFormat="1" ht="23.25" customHeight="1">
      <c r="A13" s="67" t="s">
        <v>320</v>
      </c>
      <c r="B13" s="31">
        <f>+B10+B11</f>
        <v>-2365674</v>
      </c>
      <c r="C13" s="139"/>
      <c r="D13" s="140"/>
      <c r="E13" s="137"/>
    </row>
    <row r="14" spans="1:8" s="1035" customFormat="1" ht="21.75" customHeight="1">
      <c r="A14" s="138" t="s">
        <v>471</v>
      </c>
      <c r="B14" s="141">
        <f>D14+D15+D17+D16+D18+D19</f>
        <v>5007183</v>
      </c>
      <c r="C14" s="1051" t="s">
        <v>285</v>
      </c>
      <c r="D14" s="1048">
        <v>35853</v>
      </c>
      <c r="E14" s="1054" t="s">
        <v>46</v>
      </c>
      <c r="F14" s="1036"/>
    </row>
    <row r="15" spans="1:8" s="1035" customFormat="1" ht="5.25" customHeight="1">
      <c r="A15" s="67"/>
      <c r="B15" s="141"/>
      <c r="C15" s="1051"/>
      <c r="D15" s="616"/>
      <c r="E15" s="1054"/>
      <c r="F15" s="1036"/>
    </row>
    <row r="16" spans="1:8" s="1047" customFormat="1" ht="28.5" customHeight="1">
      <c r="A16" s="67"/>
      <c r="B16" s="141"/>
      <c r="C16" s="1051" t="s">
        <v>333</v>
      </c>
      <c r="D16" s="1048">
        <f>4998246+15000-3066</f>
        <v>5010180</v>
      </c>
      <c r="E16" s="1054" t="s">
        <v>46</v>
      </c>
    </row>
    <row r="17" spans="1:8" s="1047" customFormat="1" ht="24.75" hidden="1" customHeight="1">
      <c r="A17" s="67"/>
      <c r="B17" s="141"/>
      <c r="C17" s="1051" t="s">
        <v>287</v>
      </c>
      <c r="D17" s="1048">
        <v>0</v>
      </c>
      <c r="E17" s="1054" t="s">
        <v>46</v>
      </c>
    </row>
    <row r="18" spans="1:8" s="1035" customFormat="1" ht="31.9" customHeight="1">
      <c r="A18" s="67" t="s">
        <v>47</v>
      </c>
      <c r="B18" s="31"/>
      <c r="C18" s="1051" t="s">
        <v>677</v>
      </c>
      <c r="D18" s="1048">
        <v>-38850</v>
      </c>
      <c r="E18" s="1054" t="s">
        <v>46</v>
      </c>
      <c r="F18" s="36"/>
      <c r="H18" s="10"/>
    </row>
    <row r="19" spans="1:8" s="1047" customFormat="1" ht="32.450000000000003" hidden="1" customHeight="1">
      <c r="A19" s="67" t="s">
        <v>47</v>
      </c>
      <c r="B19" s="31"/>
      <c r="C19" s="1051" t="s">
        <v>314</v>
      </c>
      <c r="D19" s="1048">
        <v>0</v>
      </c>
      <c r="E19" s="1054" t="s">
        <v>46</v>
      </c>
    </row>
    <row r="20" spans="1:8" s="1035" customFormat="1" ht="27" customHeight="1">
      <c r="A20" s="67" t="s">
        <v>321</v>
      </c>
      <c r="B20" s="31">
        <f>+B13+B14</f>
        <v>2641509</v>
      </c>
      <c r="C20" s="139"/>
      <c r="D20" s="140"/>
      <c r="E20" s="137"/>
    </row>
    <row r="21" spans="1:8" s="1035" customFormat="1" ht="23.45" customHeight="1">
      <c r="A21" s="67" t="s">
        <v>1010</v>
      </c>
      <c r="B21" s="31">
        <v>43</v>
      </c>
      <c r="C21" s="1427" t="s">
        <v>1385</v>
      </c>
      <c r="D21" s="1428"/>
      <c r="E21" s="1429"/>
    </row>
    <row r="22" spans="1:8" s="1047" customFormat="1" ht="23.25" customHeight="1">
      <c r="A22" s="348" t="s">
        <v>1013</v>
      </c>
      <c r="B22" s="27">
        <f>+B20+B21</f>
        <v>2641552</v>
      </c>
      <c r="C22" s="349"/>
      <c r="D22" s="350"/>
      <c r="E22" s="1054"/>
    </row>
    <row r="23" spans="1:8" s="1047" customFormat="1" ht="23.45" customHeight="1">
      <c r="A23" s="348" t="s">
        <v>1012</v>
      </c>
      <c r="B23" s="27"/>
      <c r="C23" s="351"/>
      <c r="D23" s="352"/>
      <c r="E23" s="353"/>
    </row>
    <row r="24" spans="1:8" s="1047" customFormat="1" ht="30" hidden="1" customHeight="1">
      <c r="A24" s="67" t="s">
        <v>1011</v>
      </c>
      <c r="B24" s="31">
        <v>0</v>
      </c>
      <c r="C24" s="1433"/>
      <c r="D24" s="1410"/>
      <c r="E24" s="1411"/>
    </row>
    <row r="25" spans="1:8" s="1047" customFormat="1" ht="25.5" customHeight="1">
      <c r="A25" s="67" t="s">
        <v>1010</v>
      </c>
      <c r="B25" s="31">
        <v>2282788</v>
      </c>
      <c r="C25" s="1436" t="s">
        <v>1468</v>
      </c>
      <c r="D25" s="1428"/>
      <c r="E25" s="1429"/>
    </row>
    <row r="26" spans="1:8" s="1047" customFormat="1" ht="33" customHeight="1">
      <c r="A26" s="67" t="s">
        <v>1009</v>
      </c>
      <c r="B26" s="31">
        <v>-2236101</v>
      </c>
      <c r="C26" s="1409" t="s">
        <v>1469</v>
      </c>
      <c r="D26" s="1410"/>
      <c r="E26" s="1411"/>
    </row>
    <row r="27" spans="1:8" s="1047" customFormat="1" ht="42.6" customHeight="1">
      <c r="A27" s="67" t="s">
        <v>1008</v>
      </c>
      <c r="B27" s="31">
        <v>-2588633</v>
      </c>
      <c r="C27" s="1436" t="s">
        <v>1470</v>
      </c>
      <c r="D27" s="1428"/>
      <c r="E27" s="1429"/>
    </row>
    <row r="28" spans="1:8" s="1047" customFormat="1" ht="30" hidden="1" customHeight="1">
      <c r="A28" s="67" t="s">
        <v>1007</v>
      </c>
      <c r="B28" s="31">
        <v>0</v>
      </c>
      <c r="C28" s="1433" t="s">
        <v>923</v>
      </c>
      <c r="D28" s="1410"/>
      <c r="E28" s="1411"/>
    </row>
    <row r="29" spans="1:8" s="1047" customFormat="1" ht="24" customHeight="1">
      <c r="A29" s="348" t="s">
        <v>1006</v>
      </c>
      <c r="B29" s="27">
        <f>SUM(B24:B28)</f>
        <v>-2541946</v>
      </c>
      <c r="C29" s="349"/>
      <c r="D29" s="350"/>
      <c r="E29" s="353"/>
    </row>
    <row r="30" spans="1:8" s="1047" customFormat="1" ht="26.45" customHeight="1">
      <c r="A30" s="348" t="s">
        <v>1005</v>
      </c>
      <c r="B30" s="142"/>
      <c r="C30" s="354"/>
      <c r="D30" s="355"/>
      <c r="E30" s="353"/>
    </row>
    <row r="31" spans="1:8" s="367" customFormat="1" ht="36" hidden="1" customHeight="1">
      <c r="A31" s="67" t="s">
        <v>1004</v>
      </c>
      <c r="B31" s="31">
        <v>0</v>
      </c>
      <c r="C31" s="1440" t="s">
        <v>1003</v>
      </c>
      <c r="D31" s="1428"/>
      <c r="E31" s="1429"/>
    </row>
    <row r="32" spans="1:8" s="367" customFormat="1" ht="34.15" hidden="1" customHeight="1">
      <c r="A32" s="67" t="s">
        <v>1002</v>
      </c>
      <c r="B32" s="31">
        <v>0</v>
      </c>
      <c r="C32" s="1427" t="s">
        <v>1001</v>
      </c>
      <c r="D32" s="1428"/>
      <c r="E32" s="1429"/>
    </row>
    <row r="33" spans="1:5" s="367" customFormat="1" ht="42" hidden="1" customHeight="1">
      <c r="A33" s="67" t="s">
        <v>1000</v>
      </c>
      <c r="B33" s="31">
        <v>0</v>
      </c>
      <c r="C33" s="1440" t="s">
        <v>999</v>
      </c>
      <c r="D33" s="1428"/>
      <c r="E33" s="1429"/>
    </row>
    <row r="34" spans="1:5" s="1047" customFormat="1" ht="30" customHeight="1">
      <c r="A34" s="348" t="s">
        <v>998</v>
      </c>
      <c r="B34" s="142">
        <f>SUM(B31:B33)</f>
        <v>0</v>
      </c>
      <c r="C34" s="356"/>
      <c r="D34" s="357"/>
      <c r="E34" s="358"/>
    </row>
    <row r="35" spans="1:5" s="1047" customFormat="1" ht="30.2" customHeight="1">
      <c r="A35" s="348" t="s">
        <v>997</v>
      </c>
      <c r="B35" s="76">
        <f>B22+B29+B34</f>
        <v>99606</v>
      </c>
      <c r="C35" s="359"/>
      <c r="D35" s="360"/>
      <c r="E35" s="361"/>
    </row>
    <row r="36" spans="1:5" s="1047" customFormat="1" ht="30.2" customHeight="1">
      <c r="A36" s="348" t="s">
        <v>54</v>
      </c>
      <c r="B36" s="76">
        <v>4607165</v>
      </c>
      <c r="C36" s="359"/>
      <c r="D36" s="360"/>
      <c r="E36" s="361"/>
    </row>
    <row r="37" spans="1:5" s="1047" customFormat="1" ht="133.5" customHeight="1" thickBot="1">
      <c r="A37" s="362" t="s">
        <v>55</v>
      </c>
      <c r="B37" s="143">
        <f>+B35+B36</f>
        <v>4706771</v>
      </c>
      <c r="C37" s="363"/>
      <c r="D37" s="364"/>
      <c r="E37" s="365"/>
    </row>
  </sheetData>
  <mergeCells count="16">
    <mergeCell ref="C21:E21"/>
    <mergeCell ref="A1:E1"/>
    <mergeCell ref="A2:E2"/>
    <mergeCell ref="A3:E3"/>
    <mergeCell ref="A4:E4"/>
    <mergeCell ref="A5:A7"/>
    <mergeCell ref="B5:B7"/>
    <mergeCell ref="C5:E7"/>
    <mergeCell ref="C32:E32"/>
    <mergeCell ref="C33:E33"/>
    <mergeCell ref="C24:E24"/>
    <mergeCell ref="C25:E25"/>
    <mergeCell ref="C26:E26"/>
    <mergeCell ref="C27:E27"/>
    <mergeCell ref="C28:E28"/>
    <mergeCell ref="C31:E31"/>
  </mergeCells>
  <phoneticPr fontId="6" type="noConversion"/>
  <printOptions horizontalCentered="1"/>
  <pageMargins left="0.59055118110236227" right="0.59055118110236227" top="0.59055118110236227" bottom="0.78740157480314965" header="0.51181102362204722" footer="0.51181102362204722"/>
  <pageSetup paperSize="9" firstPageNumber="3" orientation="portrait" useFirstPageNumber="1" r:id="rId1"/>
  <headerFooter alignWithMargins="0">
    <oddFooter>&amp;C&amp;"細明體,標準"附&amp;"Times New Roman,標準"2-&amp;P</odd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dimension ref="A1:E35"/>
  <sheetViews>
    <sheetView view="pageBreakPreview" topLeftCell="A22" zoomScaleNormal="100" zoomScaleSheetLayoutView="100" workbookViewId="0">
      <selection activeCell="G28" sqref="G28"/>
    </sheetView>
  </sheetViews>
  <sheetFormatPr defaultColWidth="9" defaultRowHeight="16.5"/>
  <cols>
    <col min="1" max="1" width="15.375" style="6" customWidth="1"/>
    <col min="2" max="2" width="30.875" style="450" customWidth="1"/>
    <col min="3" max="3" width="15.5" style="6" customWidth="1"/>
    <col min="4" max="4" width="15.5" style="19" customWidth="1"/>
    <col min="5" max="5" width="13" style="6" customWidth="1"/>
    <col min="6" max="16384" width="9" style="6"/>
  </cols>
  <sheetData>
    <row r="1" spans="1:5" ht="21">
      <c r="A1" s="1369" t="s">
        <v>40</v>
      </c>
      <c r="B1" s="1369"/>
      <c r="C1" s="1369"/>
      <c r="D1" s="1369"/>
      <c r="E1" s="1369"/>
    </row>
    <row r="2" spans="1:5" ht="21">
      <c r="A2" s="1525" t="s">
        <v>41</v>
      </c>
      <c r="B2" s="1369"/>
      <c r="C2" s="1369"/>
      <c r="D2" s="1369"/>
      <c r="E2" s="1369"/>
    </row>
    <row r="3" spans="1:5" ht="24.75" customHeight="1">
      <c r="A3" s="1370" t="s">
        <v>1155</v>
      </c>
      <c r="B3" s="1371"/>
      <c r="C3" s="1371"/>
      <c r="D3" s="1371"/>
      <c r="E3" s="1371"/>
    </row>
    <row r="4" spans="1:5" ht="24.75" customHeight="1" thickBot="1">
      <c r="A4" s="1389" t="s">
        <v>1310</v>
      </c>
      <c r="B4" s="1390"/>
      <c r="C4" s="1390"/>
      <c r="D4" s="1390"/>
      <c r="E4" s="1390"/>
    </row>
    <row r="5" spans="1:5" ht="15.75" customHeight="1">
      <c r="A5" s="1583" t="s">
        <v>1292</v>
      </c>
      <c r="B5" s="1712" t="s">
        <v>253</v>
      </c>
      <c r="C5" s="1592" t="s">
        <v>1293</v>
      </c>
      <c r="D5" s="1592" t="s">
        <v>1168</v>
      </c>
      <c r="E5" s="1589" t="s">
        <v>514</v>
      </c>
    </row>
    <row r="6" spans="1:5" ht="15.75" customHeight="1">
      <c r="A6" s="1584"/>
      <c r="B6" s="1713"/>
      <c r="C6" s="1593"/>
      <c r="D6" s="1593"/>
      <c r="E6" s="1590"/>
    </row>
    <row r="7" spans="1:5" ht="15.75" customHeight="1">
      <c r="A7" s="1585"/>
      <c r="B7" s="1714"/>
      <c r="C7" s="1594"/>
      <c r="D7" s="1594"/>
      <c r="E7" s="1591"/>
    </row>
    <row r="8" spans="1:5" ht="8.25" customHeight="1">
      <c r="A8" s="24"/>
      <c r="B8" s="579"/>
      <c r="C8" s="1283"/>
      <c r="D8" s="1284"/>
      <c r="E8" s="111"/>
    </row>
    <row r="9" spans="1:5" s="1035" customFormat="1" ht="24.2" customHeight="1">
      <c r="A9" s="112">
        <f>A10+A15+A19+A17</f>
        <v>162614926</v>
      </c>
      <c r="B9" s="113" t="s">
        <v>254</v>
      </c>
      <c r="C9" s="114">
        <f>C10+C15+C19+C17</f>
        <v>170708895</v>
      </c>
      <c r="D9" s="114">
        <f>D10+D15+D19+D17</f>
        <v>165698715</v>
      </c>
      <c r="E9" s="115">
        <f>E10+E15+E19+E17</f>
        <v>5010180</v>
      </c>
    </row>
    <row r="10" spans="1:5" s="1035" customFormat="1" ht="24.2" customHeight="1">
      <c r="A10" s="112">
        <f>SUM(A11:A14)</f>
        <v>60924022</v>
      </c>
      <c r="B10" s="116" t="s">
        <v>255</v>
      </c>
      <c r="C10" s="114">
        <f>SUM(C11:C14)</f>
        <v>67680159</v>
      </c>
      <c r="D10" s="114">
        <f>SUM(D11:D14)</f>
        <v>65261409</v>
      </c>
      <c r="E10" s="115">
        <f>SUM(E11:E14)</f>
        <v>2418750</v>
      </c>
    </row>
    <row r="11" spans="1:5" s="1047" customFormat="1" ht="24.2" customHeight="1">
      <c r="A11" s="117">
        <v>4698449</v>
      </c>
      <c r="B11" s="118" t="s">
        <v>256</v>
      </c>
      <c r="C11" s="862">
        <v>4706771</v>
      </c>
      <c r="D11" s="862">
        <v>4607165</v>
      </c>
      <c r="E11" s="120">
        <f>C11-D11</f>
        <v>99606</v>
      </c>
    </row>
    <row r="12" spans="1:5" s="1047" customFormat="1" ht="24.2" customHeight="1">
      <c r="A12" s="117">
        <v>49884165</v>
      </c>
      <c r="B12" s="118" t="s">
        <v>257</v>
      </c>
      <c r="C12" s="862">
        <v>56408380</v>
      </c>
      <c r="D12" s="862">
        <v>54172279</v>
      </c>
      <c r="E12" s="120">
        <f>C12-D12</f>
        <v>2236101</v>
      </c>
    </row>
    <row r="13" spans="1:5" s="1047" customFormat="1" ht="24.2" customHeight="1">
      <c r="A13" s="117">
        <v>6341408</v>
      </c>
      <c r="B13" s="118" t="s">
        <v>258</v>
      </c>
      <c r="C13" s="862">
        <v>6565008</v>
      </c>
      <c r="D13" s="862">
        <v>6481965</v>
      </c>
      <c r="E13" s="120">
        <f>C13-D13</f>
        <v>83043</v>
      </c>
    </row>
    <row r="14" spans="1:5" s="1173" customFormat="1" ht="30" hidden="1" customHeight="1">
      <c r="A14" s="131">
        <v>0</v>
      </c>
      <c r="B14" s="118" t="s">
        <v>260</v>
      </c>
      <c r="C14" s="127">
        <v>0</v>
      </c>
      <c r="D14" s="127">
        <v>0</v>
      </c>
      <c r="E14" s="122">
        <f>C14-D14</f>
        <v>0</v>
      </c>
    </row>
    <row r="15" spans="1:5" s="1035" customFormat="1" ht="24.2" customHeight="1">
      <c r="A15" s="112">
        <f>+A16</f>
        <v>101450085</v>
      </c>
      <c r="B15" s="121" t="s">
        <v>261</v>
      </c>
      <c r="C15" s="114">
        <f>+C16</f>
        <v>102782704</v>
      </c>
      <c r="D15" s="114">
        <f>+D16</f>
        <v>100194071</v>
      </c>
      <c r="E15" s="115">
        <f>+E16</f>
        <v>2588633</v>
      </c>
    </row>
    <row r="16" spans="1:5" s="1047" customFormat="1" ht="24.2" customHeight="1">
      <c r="A16" s="117">
        <v>101450085</v>
      </c>
      <c r="B16" s="118" t="s">
        <v>311</v>
      </c>
      <c r="C16" s="862">
        <v>102782704</v>
      </c>
      <c r="D16" s="862">
        <v>100194071</v>
      </c>
      <c r="E16" s="120">
        <f>C16-D16</f>
        <v>2588633</v>
      </c>
    </row>
    <row r="17" spans="1:5" s="1035" customFormat="1" ht="24.2" customHeight="1">
      <c r="A17" s="128">
        <f>SUM(A18:A18)</f>
        <v>25</v>
      </c>
      <c r="B17" s="116" t="s">
        <v>1015</v>
      </c>
      <c r="C17" s="129">
        <f>SUM(C18:C18)</f>
        <v>25</v>
      </c>
      <c r="D17" s="129">
        <f>SUM(D18:D18)</f>
        <v>25</v>
      </c>
      <c r="E17" s="130">
        <f>SUM(E18:E18)</f>
        <v>0</v>
      </c>
    </row>
    <row r="18" spans="1:5" s="1047" customFormat="1" ht="24.2" customHeight="1">
      <c r="A18" s="131">
        <v>25</v>
      </c>
      <c r="B18" s="118" t="s">
        <v>1014</v>
      </c>
      <c r="C18" s="127">
        <v>25</v>
      </c>
      <c r="D18" s="127">
        <v>25</v>
      </c>
      <c r="E18" s="122">
        <f>C18-D18</f>
        <v>0</v>
      </c>
    </row>
    <row r="19" spans="1:5" s="1035" customFormat="1" ht="24.2" customHeight="1">
      <c r="A19" s="112">
        <f>SUM(A20:A21)</f>
        <v>240794</v>
      </c>
      <c r="B19" s="116" t="s">
        <v>263</v>
      </c>
      <c r="C19" s="114">
        <f>SUM(C20:C21)</f>
        <v>246007</v>
      </c>
      <c r="D19" s="114">
        <f>SUM(D20:D21)</f>
        <v>243210</v>
      </c>
      <c r="E19" s="115">
        <f>SUM(E20:E21)</f>
        <v>2797</v>
      </c>
    </row>
    <row r="20" spans="1:5" s="1278" customFormat="1" ht="24.2" hidden="1" customHeight="1">
      <c r="A20" s="131">
        <v>0</v>
      </c>
      <c r="B20" s="118" t="s">
        <v>1392</v>
      </c>
      <c r="C20" s="862"/>
      <c r="D20" s="862"/>
      <c r="E20" s="122">
        <f>C20-D20</f>
        <v>0</v>
      </c>
    </row>
    <row r="21" spans="1:5" s="1047" customFormat="1" ht="24.2" customHeight="1">
      <c r="A21" s="117">
        <v>240794</v>
      </c>
      <c r="B21" s="118" t="s">
        <v>264</v>
      </c>
      <c r="C21" s="862">
        <v>246007</v>
      </c>
      <c r="D21" s="862">
        <v>243210</v>
      </c>
      <c r="E21" s="120">
        <f>C21-D21</f>
        <v>2797</v>
      </c>
    </row>
    <row r="22" spans="1:5" s="1035" customFormat="1" ht="34.5" customHeight="1">
      <c r="A22" s="112">
        <f>A9</f>
        <v>162614926</v>
      </c>
      <c r="B22" s="113" t="s">
        <v>265</v>
      </c>
      <c r="C22" s="114">
        <f>C9</f>
        <v>170708895</v>
      </c>
      <c r="D22" s="114">
        <f>D9</f>
        <v>165698715</v>
      </c>
      <c r="E22" s="115">
        <f>E9</f>
        <v>5010180</v>
      </c>
    </row>
    <row r="23" spans="1:5" s="1035" customFormat="1" ht="24.2" customHeight="1">
      <c r="A23" s="112">
        <f>A24+A27</f>
        <v>162614926</v>
      </c>
      <c r="B23" s="113" t="s">
        <v>266</v>
      </c>
      <c r="C23" s="114">
        <f>C24+C27</f>
        <v>170708895</v>
      </c>
      <c r="D23" s="114">
        <f>D24+D27</f>
        <v>165698715</v>
      </c>
      <c r="E23" s="115">
        <f>E24+E27</f>
        <v>5010180</v>
      </c>
    </row>
    <row r="24" spans="1:5" s="1035" customFormat="1" ht="24.2" customHeight="1">
      <c r="A24" s="112">
        <f>SUM(A25:A26)</f>
        <v>31516</v>
      </c>
      <c r="B24" s="116" t="s">
        <v>267</v>
      </c>
      <c r="C24" s="114">
        <f>SUM(C25:C26)</f>
        <v>31516</v>
      </c>
      <c r="D24" s="114">
        <f>SUM(D25:D26)</f>
        <v>31516</v>
      </c>
      <c r="E24" s="130">
        <f>SUM(E25:E26)</f>
        <v>0</v>
      </c>
    </row>
    <row r="25" spans="1:5" s="1047" customFormat="1" ht="24.2" customHeight="1">
      <c r="A25" s="117">
        <v>28900</v>
      </c>
      <c r="B25" s="118" t="s">
        <v>268</v>
      </c>
      <c r="C25" s="862">
        <v>28900</v>
      </c>
      <c r="D25" s="862">
        <v>28900</v>
      </c>
      <c r="E25" s="122">
        <f>C25-D25</f>
        <v>0</v>
      </c>
    </row>
    <row r="26" spans="1:5" s="1047" customFormat="1" ht="24.2" customHeight="1">
      <c r="A26" s="117">
        <v>2616</v>
      </c>
      <c r="B26" s="118" t="s">
        <v>1467</v>
      </c>
      <c r="C26" s="862">
        <v>2616</v>
      </c>
      <c r="D26" s="862">
        <v>2616</v>
      </c>
      <c r="E26" s="122">
        <f>C26-D26</f>
        <v>0</v>
      </c>
    </row>
    <row r="27" spans="1:5" s="1035" customFormat="1" ht="24.2" customHeight="1">
      <c r="A27" s="112">
        <f>SUM(A28:A29)</f>
        <v>162583410</v>
      </c>
      <c r="B27" s="121" t="s">
        <v>271</v>
      </c>
      <c r="C27" s="114">
        <f>SUM(C28:C29)</f>
        <v>170677379</v>
      </c>
      <c r="D27" s="114">
        <f>SUM(D28:D29)</f>
        <v>165667199</v>
      </c>
      <c r="E27" s="115">
        <f>SUM(E28:E29)</f>
        <v>5010180</v>
      </c>
    </row>
    <row r="28" spans="1:5" s="1047" customFormat="1" ht="24.2" customHeight="1">
      <c r="A28" s="117">
        <v>162579809</v>
      </c>
      <c r="B28" s="118" t="s">
        <v>272</v>
      </c>
      <c r="C28" s="862">
        <v>170673778</v>
      </c>
      <c r="D28" s="862">
        <v>165663598</v>
      </c>
      <c r="E28" s="120">
        <f>C28-D28</f>
        <v>5010180</v>
      </c>
    </row>
    <row r="29" spans="1:5" s="1047" customFormat="1" ht="24.2" customHeight="1">
      <c r="A29" s="117">
        <v>3601</v>
      </c>
      <c r="B29" s="118" t="s">
        <v>273</v>
      </c>
      <c r="C29" s="862">
        <v>3601</v>
      </c>
      <c r="D29" s="862">
        <v>3601</v>
      </c>
      <c r="E29" s="122">
        <f>C29-D29</f>
        <v>0</v>
      </c>
    </row>
    <row r="30" spans="1:5" s="1035" customFormat="1" ht="24.2" customHeight="1">
      <c r="A30" s="128">
        <f>A31</f>
        <v>0</v>
      </c>
      <c r="B30" s="113" t="s">
        <v>274</v>
      </c>
      <c r="C30" s="129">
        <f t="shared" ref="C30:E31" si="0">C31</f>
        <v>0</v>
      </c>
      <c r="D30" s="129">
        <f t="shared" si="0"/>
        <v>0</v>
      </c>
      <c r="E30" s="130">
        <f t="shared" si="0"/>
        <v>0</v>
      </c>
    </row>
    <row r="31" spans="1:5" s="1035" customFormat="1" ht="28.15" customHeight="1">
      <c r="A31" s="128">
        <v>0</v>
      </c>
      <c r="B31" s="116" t="s">
        <v>326</v>
      </c>
      <c r="C31" s="129">
        <f t="shared" si="0"/>
        <v>0</v>
      </c>
      <c r="D31" s="129">
        <f t="shared" si="0"/>
        <v>0</v>
      </c>
      <c r="E31" s="130">
        <f t="shared" si="0"/>
        <v>0</v>
      </c>
    </row>
    <row r="32" spans="1:5" s="1047" customFormat="1" ht="62.25" customHeight="1">
      <c r="A32" s="131">
        <v>0</v>
      </c>
      <c r="B32" s="118" t="s">
        <v>277</v>
      </c>
      <c r="C32" s="127">
        <v>0</v>
      </c>
      <c r="D32" s="127">
        <v>0</v>
      </c>
      <c r="E32" s="122">
        <v>0</v>
      </c>
    </row>
    <row r="33" spans="1:5" s="1035" customFormat="1" ht="41.25" customHeight="1" thickBot="1">
      <c r="A33" s="123">
        <f>A23+A30</f>
        <v>162614926</v>
      </c>
      <c r="B33" s="124" t="s">
        <v>265</v>
      </c>
      <c r="C33" s="125">
        <f>C23+C30</f>
        <v>170708895</v>
      </c>
      <c r="D33" s="125">
        <f>D23+D30</f>
        <v>165698715</v>
      </c>
      <c r="E33" s="126">
        <f>E23+E30</f>
        <v>5010180</v>
      </c>
    </row>
    <row r="34" spans="1:5" s="1035" customFormat="1" ht="1.5" hidden="1" customHeight="1">
      <c r="A34" s="1288"/>
      <c r="B34" s="1289"/>
      <c r="C34" s="1288"/>
      <c r="D34" s="1288"/>
      <c r="E34" s="1288"/>
    </row>
    <row r="35" spans="1:5" s="199" customFormat="1" ht="13.5" customHeight="1">
      <c r="A35" s="1715" t="s">
        <v>1400</v>
      </c>
      <c r="B35" s="1716"/>
      <c r="C35" s="1716"/>
      <c r="D35" s="1716"/>
      <c r="E35" s="1716"/>
    </row>
  </sheetData>
  <mergeCells count="10">
    <mergeCell ref="A35:E35"/>
    <mergeCell ref="A1:E1"/>
    <mergeCell ref="A2:E2"/>
    <mergeCell ref="A3:E3"/>
    <mergeCell ref="A4:E4"/>
    <mergeCell ref="A5:A7"/>
    <mergeCell ref="B5:B7"/>
    <mergeCell ref="C5:C7"/>
    <mergeCell ref="D5:D7"/>
    <mergeCell ref="E5:E7"/>
  </mergeCells>
  <phoneticPr fontId="6" type="noConversion"/>
  <printOptions horizontalCentered="1"/>
  <pageMargins left="0.59055118110236227" right="0.59055118110236227" top="0.59055118110236227" bottom="0.78740157480314965" header="0.51181102362204722" footer="0.51181102362204722"/>
  <pageSetup paperSize="9" firstPageNumber="4" orientation="portrait" useFirstPageNumber="1" r:id="rId1"/>
  <headerFooter alignWithMargins="0">
    <oddFooter>&amp;C&amp;"細明體,標準"附&amp;"Times New Roman,標準"2-&amp;P</odd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dimension ref="A1:N65"/>
  <sheetViews>
    <sheetView view="pageBreakPreview" topLeftCell="A7" zoomScaleNormal="100" zoomScaleSheetLayoutView="100" workbookViewId="0">
      <selection activeCell="G28" sqref="G28"/>
    </sheetView>
  </sheetViews>
  <sheetFormatPr defaultColWidth="9" defaultRowHeight="16.5"/>
  <cols>
    <col min="1" max="1" width="10.5" style="2" customWidth="1"/>
    <col min="2" max="2" width="6.625" style="2" customWidth="1"/>
    <col min="3" max="3" width="19.875" style="578" customWidth="1"/>
    <col min="4" max="4" width="10.5" style="2" customWidth="1"/>
    <col min="5" max="5" width="6.625" style="278" customWidth="1"/>
    <col min="6" max="6" width="10.5" style="2" customWidth="1"/>
    <col min="7" max="7" width="7.5" style="2" customWidth="1"/>
    <col min="8" max="8" width="10" style="2" customWidth="1"/>
    <col min="9" max="9" width="7.875" style="2" customWidth="1"/>
    <col min="10" max="10" width="9" style="2"/>
    <col min="11" max="12" width="11.25" style="2" hidden="1" customWidth="1"/>
    <col min="13" max="13" width="11" style="2" hidden="1" customWidth="1"/>
    <col min="14" max="16384" width="9" style="2"/>
  </cols>
  <sheetData>
    <row r="1" spans="1:13" ht="21" customHeight="1">
      <c r="A1" s="1369" t="s">
        <v>40</v>
      </c>
      <c r="B1" s="1369"/>
      <c r="C1" s="1369"/>
      <c r="D1" s="1369"/>
      <c r="E1" s="1369"/>
      <c r="F1" s="1369"/>
      <c r="G1" s="1369"/>
      <c r="H1" s="1369"/>
      <c r="I1" s="1369"/>
    </row>
    <row r="2" spans="1:13" ht="21" customHeight="1">
      <c r="A2" s="1369" t="s">
        <v>41</v>
      </c>
      <c r="B2" s="1369"/>
      <c r="C2" s="1369"/>
      <c r="D2" s="1369"/>
      <c r="E2" s="1369"/>
      <c r="F2" s="1369"/>
      <c r="G2" s="1369"/>
      <c r="H2" s="1369"/>
      <c r="I2" s="1369"/>
    </row>
    <row r="3" spans="1:13" ht="24.95" customHeight="1">
      <c r="A3" s="1621" t="s">
        <v>1156</v>
      </c>
      <c r="B3" s="1371"/>
      <c r="C3" s="1371"/>
      <c r="D3" s="1371"/>
      <c r="E3" s="1371"/>
      <c r="F3" s="1371"/>
      <c r="G3" s="1371"/>
      <c r="H3" s="1371"/>
      <c r="I3" s="1371"/>
    </row>
    <row r="4" spans="1:13" ht="24.95" customHeight="1" thickBot="1">
      <c r="A4" s="1441" t="s">
        <v>1311</v>
      </c>
      <c r="B4" s="1373"/>
      <c r="C4" s="1373"/>
      <c r="D4" s="1373"/>
      <c r="E4" s="1373"/>
      <c r="F4" s="1373"/>
      <c r="G4" s="1373"/>
      <c r="H4" s="1373"/>
      <c r="I4" s="1373"/>
    </row>
    <row r="5" spans="1:13" ht="21" customHeight="1">
      <c r="A5" s="1700" t="s">
        <v>248</v>
      </c>
      <c r="B5" s="1375"/>
      <c r="C5" s="1376" t="s">
        <v>15</v>
      </c>
      <c r="D5" s="1375" t="s">
        <v>249</v>
      </c>
      <c r="E5" s="1375"/>
      <c r="F5" s="1375" t="s">
        <v>250</v>
      </c>
      <c r="G5" s="1375"/>
      <c r="H5" s="1376" t="s">
        <v>1106</v>
      </c>
      <c r="I5" s="1702"/>
    </row>
    <row r="6" spans="1:13" ht="19.5" customHeight="1">
      <c r="A6" s="525" t="s">
        <v>251</v>
      </c>
      <c r="B6" s="1046" t="s">
        <v>252</v>
      </c>
      <c r="C6" s="1701"/>
      <c r="D6" s="1046" t="s">
        <v>251</v>
      </c>
      <c r="E6" s="527" t="s">
        <v>252</v>
      </c>
      <c r="F6" s="1046" t="s">
        <v>251</v>
      </c>
      <c r="G6" s="1046" t="s">
        <v>252</v>
      </c>
      <c r="H6" s="1046" t="s">
        <v>251</v>
      </c>
      <c r="I6" s="528" t="s">
        <v>252</v>
      </c>
    </row>
    <row r="7" spans="1:13" ht="8.25" customHeight="1">
      <c r="A7" s="529"/>
      <c r="B7" s="165"/>
      <c r="C7" s="164"/>
      <c r="D7" s="165"/>
      <c r="E7" s="531"/>
      <c r="F7" s="165"/>
      <c r="G7" s="165"/>
      <c r="H7" s="165"/>
      <c r="I7" s="532"/>
    </row>
    <row r="8" spans="1:13" s="1035" customFormat="1" ht="27" customHeight="1">
      <c r="A8" s="300">
        <v>7121145</v>
      </c>
      <c r="B8" s="533">
        <v>100</v>
      </c>
      <c r="C8" s="534" t="s">
        <v>16</v>
      </c>
      <c r="D8" s="535">
        <f>D13+D19+D9</f>
        <v>11229556</v>
      </c>
      <c r="E8" s="533">
        <v>100</v>
      </c>
      <c r="F8" s="535">
        <f>F13+F19+F9</f>
        <v>6953450</v>
      </c>
      <c r="G8" s="533">
        <v>100</v>
      </c>
      <c r="H8" s="536">
        <f>D8-F8</f>
        <v>4276106</v>
      </c>
      <c r="I8" s="852">
        <f>ROUND(H8/F8*100,2)</f>
        <v>61.5</v>
      </c>
      <c r="K8" s="595">
        <f t="shared" ref="K8:K16" si="0">ROUND(A8/$A$8*100,4)</f>
        <v>100</v>
      </c>
      <c r="L8" s="595">
        <f t="shared" ref="L8:L16" si="1">ROUND(D8/$D$8*100,4)</f>
        <v>100</v>
      </c>
      <c r="M8" s="595">
        <f t="shared" ref="M8:M16" si="2">ROUND(F8/$F$8*100,4)</f>
        <v>100</v>
      </c>
    </row>
    <row r="9" spans="1:13" s="1035" customFormat="1" ht="27" customHeight="1">
      <c r="A9" s="300">
        <v>1351</v>
      </c>
      <c r="B9" s="538">
        <f t="shared" ref="B9:B49" si="3">ROUND(A9/$A$8*100,2)</f>
        <v>0.02</v>
      </c>
      <c r="C9" s="534" t="s">
        <v>105</v>
      </c>
      <c r="D9" s="535">
        <f>D10</f>
        <v>2760</v>
      </c>
      <c r="E9" s="538">
        <f t="shared" ref="E9:E49" si="4">ROUND(D9/$D$8*100,2)</f>
        <v>0.02</v>
      </c>
      <c r="F9" s="535">
        <f>F10</f>
        <v>184</v>
      </c>
      <c r="G9" s="344">
        <f>ROUND(F9/$F$8*100,2)</f>
        <v>0</v>
      </c>
      <c r="H9" s="565">
        <f t="shared" ref="H9:H49" si="5">D9-F9</f>
        <v>2576</v>
      </c>
      <c r="I9" s="1338">
        <f t="shared" ref="I9:I18" si="6">ROUND(H9/F9*100,2)</f>
        <v>1400</v>
      </c>
      <c r="K9" s="595">
        <f t="shared" si="0"/>
        <v>1.9E-2</v>
      </c>
      <c r="L9" s="595">
        <f t="shared" si="1"/>
        <v>2.46E-2</v>
      </c>
      <c r="M9" s="595">
        <f t="shared" si="2"/>
        <v>2.5999999999999999E-3</v>
      </c>
    </row>
    <row r="10" spans="1:13" s="1047" customFormat="1" ht="27" customHeight="1">
      <c r="A10" s="539">
        <v>1351</v>
      </c>
      <c r="B10" s="344">
        <f t="shared" si="3"/>
        <v>0.02</v>
      </c>
      <c r="C10" s="541" t="s">
        <v>106</v>
      </c>
      <c r="D10" s="545">
        <f>+D11+D12</f>
        <v>2760</v>
      </c>
      <c r="E10" s="344">
        <f t="shared" si="4"/>
        <v>0.02</v>
      </c>
      <c r="F10" s="545">
        <f>+F11+F12</f>
        <v>184</v>
      </c>
      <c r="G10" s="344">
        <f t="shared" ref="G10:G49" si="7">ROUND(F10/$F$8*100,2)</f>
        <v>0</v>
      </c>
      <c r="H10" s="542">
        <f t="shared" si="5"/>
        <v>2576</v>
      </c>
      <c r="I10" s="1339">
        <f t="shared" si="6"/>
        <v>1400</v>
      </c>
      <c r="K10" s="571">
        <f t="shared" si="0"/>
        <v>1.9E-2</v>
      </c>
      <c r="L10" s="571">
        <f t="shared" si="1"/>
        <v>2.46E-2</v>
      </c>
      <c r="M10" s="571">
        <f t="shared" si="2"/>
        <v>2.5999999999999999E-3</v>
      </c>
    </row>
    <row r="11" spans="1:13" s="1047" customFormat="1" ht="27" customHeight="1">
      <c r="A11" s="539">
        <v>901</v>
      </c>
      <c r="B11" s="344">
        <f t="shared" si="3"/>
        <v>0.01</v>
      </c>
      <c r="C11" s="541" t="s">
        <v>525</v>
      </c>
      <c r="D11" s="545">
        <v>1380</v>
      </c>
      <c r="E11" s="344">
        <f t="shared" si="4"/>
        <v>0.01</v>
      </c>
      <c r="F11" s="545">
        <v>92</v>
      </c>
      <c r="G11" s="344">
        <f t="shared" si="7"/>
        <v>0</v>
      </c>
      <c r="H11" s="542">
        <f t="shared" si="5"/>
        <v>1288</v>
      </c>
      <c r="I11" s="1339">
        <f t="shared" si="6"/>
        <v>1400</v>
      </c>
      <c r="K11" s="571">
        <f t="shared" si="0"/>
        <v>1.2699999999999999E-2</v>
      </c>
      <c r="L11" s="571">
        <f t="shared" si="1"/>
        <v>1.23E-2</v>
      </c>
      <c r="M11" s="571">
        <f t="shared" si="2"/>
        <v>1.2999999999999999E-3</v>
      </c>
    </row>
    <row r="12" spans="1:13" s="1047" customFormat="1" ht="27" customHeight="1">
      <c r="A12" s="557">
        <v>450</v>
      </c>
      <c r="B12" s="344">
        <f t="shared" si="3"/>
        <v>0.01</v>
      </c>
      <c r="C12" s="541" t="s">
        <v>557</v>
      </c>
      <c r="D12" s="545">
        <v>1380</v>
      </c>
      <c r="E12" s="344">
        <f t="shared" si="4"/>
        <v>0.01</v>
      </c>
      <c r="F12" s="542">
        <v>92</v>
      </c>
      <c r="G12" s="344">
        <f t="shared" si="7"/>
        <v>0</v>
      </c>
      <c r="H12" s="542">
        <f t="shared" si="5"/>
        <v>1288</v>
      </c>
      <c r="I12" s="1339">
        <f t="shared" si="6"/>
        <v>1400</v>
      </c>
      <c r="K12" s="571">
        <f t="shared" si="0"/>
        <v>6.3E-3</v>
      </c>
      <c r="L12" s="571">
        <f t="shared" si="1"/>
        <v>1.23E-2</v>
      </c>
      <c r="M12" s="571">
        <f t="shared" si="2"/>
        <v>1.2999999999999999E-3</v>
      </c>
    </row>
    <row r="13" spans="1:13" s="1035" customFormat="1" ht="27" customHeight="1">
      <c r="A13" s="300">
        <v>3156356</v>
      </c>
      <c r="B13" s="533">
        <f t="shared" si="3"/>
        <v>44.32</v>
      </c>
      <c r="C13" s="534" t="s">
        <v>107</v>
      </c>
      <c r="D13" s="535">
        <f>D14+D17</f>
        <v>6017639</v>
      </c>
      <c r="E13" s="533">
        <f t="shared" si="4"/>
        <v>53.59</v>
      </c>
      <c r="F13" s="535">
        <f>F14+F17</f>
        <v>3241179</v>
      </c>
      <c r="G13" s="533">
        <f t="shared" si="7"/>
        <v>46.61</v>
      </c>
      <c r="H13" s="536">
        <f t="shared" si="5"/>
        <v>2776460</v>
      </c>
      <c r="I13" s="315">
        <f t="shared" si="6"/>
        <v>85.66</v>
      </c>
      <c r="K13" s="595">
        <f t="shared" si="0"/>
        <v>44.323700000000002</v>
      </c>
      <c r="L13" s="595">
        <f t="shared" si="1"/>
        <v>53.587499999999999</v>
      </c>
      <c r="M13" s="595">
        <f t="shared" si="2"/>
        <v>46.612499999999997</v>
      </c>
    </row>
    <row r="14" spans="1:13" s="1047" customFormat="1" ht="28.15" customHeight="1">
      <c r="A14" s="539">
        <v>3156356</v>
      </c>
      <c r="B14" s="540">
        <f>ROUND(A14/$A$8*100,2)</f>
        <v>44.32</v>
      </c>
      <c r="C14" s="541" t="s">
        <v>108</v>
      </c>
      <c r="D14" s="545">
        <f>+D15+D16</f>
        <v>5943857</v>
      </c>
      <c r="E14" s="540">
        <f t="shared" si="4"/>
        <v>52.93</v>
      </c>
      <c r="F14" s="545">
        <f>+F15+F16</f>
        <v>3183567</v>
      </c>
      <c r="G14" s="540">
        <f t="shared" si="7"/>
        <v>45.78</v>
      </c>
      <c r="H14" s="546">
        <f t="shared" si="5"/>
        <v>2760290</v>
      </c>
      <c r="I14" s="311">
        <f t="shared" si="6"/>
        <v>86.7</v>
      </c>
      <c r="K14" s="571">
        <f t="shared" si="0"/>
        <v>44.323700000000002</v>
      </c>
      <c r="L14" s="571">
        <f t="shared" si="1"/>
        <v>52.930500000000002</v>
      </c>
      <c r="M14" s="571">
        <f t="shared" si="2"/>
        <v>45.783999999999999</v>
      </c>
    </row>
    <row r="15" spans="1:13" s="1047" customFormat="1" ht="27" customHeight="1">
      <c r="A15" s="539">
        <v>3060059</v>
      </c>
      <c r="B15" s="344">
        <f t="shared" si="3"/>
        <v>42.97</v>
      </c>
      <c r="C15" s="541" t="s">
        <v>525</v>
      </c>
      <c r="D15" s="545">
        <v>5780525</v>
      </c>
      <c r="E15" s="344">
        <f t="shared" si="4"/>
        <v>51.48</v>
      </c>
      <c r="F15" s="545">
        <v>3068797</v>
      </c>
      <c r="G15" s="540">
        <f t="shared" si="7"/>
        <v>44.13</v>
      </c>
      <c r="H15" s="546">
        <f t="shared" si="5"/>
        <v>2711728</v>
      </c>
      <c r="I15" s="311">
        <f t="shared" si="6"/>
        <v>88.36</v>
      </c>
      <c r="K15" s="571">
        <f t="shared" si="0"/>
        <v>42.971400000000003</v>
      </c>
      <c r="L15" s="571">
        <f t="shared" si="1"/>
        <v>51.475999999999999</v>
      </c>
      <c r="M15" s="571">
        <f t="shared" si="2"/>
        <v>44.133400000000002</v>
      </c>
    </row>
    <row r="16" spans="1:13" s="1047" customFormat="1" ht="27" customHeight="1">
      <c r="A16" s="557">
        <v>96298</v>
      </c>
      <c r="B16" s="344">
        <f>ROUND(A16/$A$8*100,2)</f>
        <v>1.35</v>
      </c>
      <c r="C16" s="541" t="s">
        <v>557</v>
      </c>
      <c r="D16" s="545">
        <v>163332</v>
      </c>
      <c r="E16" s="344">
        <f t="shared" si="4"/>
        <v>1.45</v>
      </c>
      <c r="F16" s="542">
        <v>114770</v>
      </c>
      <c r="G16" s="344">
        <f t="shared" si="7"/>
        <v>1.65</v>
      </c>
      <c r="H16" s="546">
        <f t="shared" si="5"/>
        <v>48562</v>
      </c>
      <c r="I16" s="311">
        <f t="shared" si="6"/>
        <v>42.31</v>
      </c>
      <c r="K16" s="571">
        <f t="shared" si="0"/>
        <v>1.3523000000000001</v>
      </c>
      <c r="L16" s="571">
        <f t="shared" si="1"/>
        <v>1.4544999999999999</v>
      </c>
      <c r="M16" s="571">
        <f t="shared" si="2"/>
        <v>1.6505000000000001</v>
      </c>
    </row>
    <row r="17" spans="1:14" s="1047" customFormat="1" ht="27" customHeight="1">
      <c r="A17" s="557">
        <v>0</v>
      </c>
      <c r="B17" s="344">
        <f t="shared" si="3"/>
        <v>0</v>
      </c>
      <c r="C17" s="541" t="s">
        <v>676</v>
      </c>
      <c r="D17" s="545">
        <f>D18</f>
        <v>73782</v>
      </c>
      <c r="E17" s="344">
        <f t="shared" si="4"/>
        <v>0.66</v>
      </c>
      <c r="F17" s="542">
        <f>F18</f>
        <v>57612</v>
      </c>
      <c r="G17" s="344">
        <f t="shared" si="7"/>
        <v>0.83</v>
      </c>
      <c r="H17" s="546">
        <f t="shared" si="5"/>
        <v>16170</v>
      </c>
      <c r="I17" s="311">
        <f t="shared" si="6"/>
        <v>28.07</v>
      </c>
      <c r="K17" s="571"/>
      <c r="L17" s="571"/>
      <c r="M17" s="571"/>
    </row>
    <row r="18" spans="1:14" s="1047" customFormat="1" ht="27" customHeight="1">
      <c r="A18" s="557">
        <v>0</v>
      </c>
      <c r="B18" s="344">
        <f t="shared" si="3"/>
        <v>0</v>
      </c>
      <c r="C18" s="541" t="s">
        <v>557</v>
      </c>
      <c r="D18" s="545">
        <v>73782</v>
      </c>
      <c r="E18" s="344">
        <f t="shared" si="4"/>
        <v>0.66</v>
      </c>
      <c r="F18" s="542">
        <v>57612</v>
      </c>
      <c r="G18" s="344">
        <f t="shared" si="7"/>
        <v>0.83</v>
      </c>
      <c r="H18" s="546">
        <f t="shared" si="5"/>
        <v>16170</v>
      </c>
      <c r="I18" s="311">
        <f t="shared" si="6"/>
        <v>28.07</v>
      </c>
      <c r="K18" s="571"/>
      <c r="L18" s="571"/>
      <c r="M18" s="571"/>
    </row>
    <row r="19" spans="1:14" s="1035" customFormat="1" ht="30.6" customHeight="1">
      <c r="A19" s="300">
        <v>3963438</v>
      </c>
      <c r="B19" s="533">
        <f t="shared" si="3"/>
        <v>55.66</v>
      </c>
      <c r="C19" s="534" t="s">
        <v>109</v>
      </c>
      <c r="D19" s="535">
        <f>+D20</f>
        <v>5209157</v>
      </c>
      <c r="E19" s="533">
        <f t="shared" si="4"/>
        <v>46.39</v>
      </c>
      <c r="F19" s="535">
        <f>+F20</f>
        <v>3712087</v>
      </c>
      <c r="G19" s="533">
        <f t="shared" si="7"/>
        <v>53.38</v>
      </c>
      <c r="H19" s="596">
        <f t="shared" si="5"/>
        <v>1497070</v>
      </c>
      <c r="I19" s="315">
        <f t="shared" ref="I19:I27" si="8">ROUND(H19/F19*100,2)</f>
        <v>40.33</v>
      </c>
      <c r="K19" s="595">
        <f t="shared" ref="K19:K27" si="9">ROUND(A19/$A$8*100,4)</f>
        <v>55.657299999999999</v>
      </c>
      <c r="L19" s="595">
        <f t="shared" ref="L19:L27" si="10">ROUND(D19/$D$8*100,4)</f>
        <v>46.387900000000002</v>
      </c>
      <c r="M19" s="595">
        <f t="shared" ref="M19:M27" si="11">ROUND(F19/$F$8*100,4)</f>
        <v>53.384799999999998</v>
      </c>
    </row>
    <row r="20" spans="1:14" s="1047" customFormat="1" ht="27" customHeight="1">
      <c r="A20" s="557">
        <v>3963438</v>
      </c>
      <c r="B20" s="540">
        <f t="shared" si="3"/>
        <v>55.66</v>
      </c>
      <c r="C20" s="559" t="s">
        <v>110</v>
      </c>
      <c r="D20" s="545">
        <f>+D21+D22</f>
        <v>5209157</v>
      </c>
      <c r="E20" s="540">
        <f t="shared" si="4"/>
        <v>46.39</v>
      </c>
      <c r="F20" s="545">
        <f>+F21+F22</f>
        <v>3712087</v>
      </c>
      <c r="G20" s="540">
        <f t="shared" si="7"/>
        <v>53.38</v>
      </c>
      <c r="H20" s="546">
        <f t="shared" si="5"/>
        <v>1497070</v>
      </c>
      <c r="I20" s="311">
        <f t="shared" si="8"/>
        <v>40.33</v>
      </c>
      <c r="K20" s="571">
        <f t="shared" si="9"/>
        <v>55.657299999999999</v>
      </c>
      <c r="L20" s="571">
        <f t="shared" si="10"/>
        <v>46.387900000000002</v>
      </c>
      <c r="M20" s="571">
        <f t="shared" si="11"/>
        <v>53.384799999999998</v>
      </c>
    </row>
    <row r="21" spans="1:14" s="1047" customFormat="1" ht="27" customHeight="1">
      <c r="A21" s="539">
        <v>3963438</v>
      </c>
      <c r="B21" s="344">
        <f t="shared" si="3"/>
        <v>55.66</v>
      </c>
      <c r="C21" s="541" t="s">
        <v>525</v>
      </c>
      <c r="D21" s="545">
        <f>5204904+4253</f>
        <v>5209157</v>
      </c>
      <c r="E21" s="344">
        <f t="shared" si="4"/>
        <v>46.39</v>
      </c>
      <c r="F21" s="545">
        <f>3711686+401</f>
        <v>3712087</v>
      </c>
      <c r="G21" s="540">
        <f t="shared" si="7"/>
        <v>53.38</v>
      </c>
      <c r="H21" s="546">
        <f t="shared" si="5"/>
        <v>1497070</v>
      </c>
      <c r="I21" s="311">
        <f t="shared" si="8"/>
        <v>40.33</v>
      </c>
      <c r="K21" s="571">
        <f t="shared" si="9"/>
        <v>55.657299999999999</v>
      </c>
      <c r="L21" s="571">
        <f t="shared" si="10"/>
        <v>46.387900000000002</v>
      </c>
      <c r="M21" s="571">
        <f t="shared" si="11"/>
        <v>53.384799999999998</v>
      </c>
    </row>
    <row r="22" spans="1:14" s="1047" customFormat="1" ht="27" hidden="1" customHeight="1">
      <c r="A22" s="557">
        <v>0</v>
      </c>
      <c r="B22" s="344">
        <f t="shared" si="3"/>
        <v>0</v>
      </c>
      <c r="C22" s="541" t="s">
        <v>557</v>
      </c>
      <c r="D22" s="542">
        <v>0</v>
      </c>
      <c r="E22" s="344">
        <f t="shared" si="4"/>
        <v>0</v>
      </c>
      <c r="F22" s="542">
        <v>0</v>
      </c>
      <c r="G22" s="344">
        <f t="shared" si="7"/>
        <v>0</v>
      </c>
      <c r="H22" s="310">
        <f t="shared" si="5"/>
        <v>0</v>
      </c>
      <c r="I22" s="311" t="e">
        <f t="shared" si="8"/>
        <v>#DIV/0!</v>
      </c>
      <c r="J22" s="308"/>
      <c r="K22" s="571">
        <f t="shared" si="9"/>
        <v>0</v>
      </c>
      <c r="L22" s="571">
        <f t="shared" si="10"/>
        <v>0</v>
      </c>
      <c r="M22" s="571">
        <f t="shared" si="11"/>
        <v>0</v>
      </c>
      <c r="N22" s="231"/>
    </row>
    <row r="23" spans="1:14" s="1035" customFormat="1" ht="30" customHeight="1">
      <c r="A23" s="300">
        <v>7125354</v>
      </c>
      <c r="B23" s="533">
        <f t="shared" si="3"/>
        <v>100.06</v>
      </c>
      <c r="C23" s="534" t="s">
        <v>111</v>
      </c>
      <c r="D23" s="535">
        <f>+D24+D32</f>
        <v>11233644</v>
      </c>
      <c r="E23" s="533">
        <f t="shared" si="4"/>
        <v>100.04</v>
      </c>
      <c r="F23" s="535">
        <f>+F24+F32</f>
        <v>6959300</v>
      </c>
      <c r="G23" s="533">
        <f t="shared" si="7"/>
        <v>100.08</v>
      </c>
      <c r="H23" s="536">
        <f t="shared" si="5"/>
        <v>4274344</v>
      </c>
      <c r="I23" s="315">
        <f t="shared" si="8"/>
        <v>61.42</v>
      </c>
      <c r="K23" s="595">
        <f t="shared" si="9"/>
        <v>100.0591</v>
      </c>
      <c r="L23" s="595">
        <f t="shared" si="10"/>
        <v>100.0364</v>
      </c>
      <c r="M23" s="595">
        <f t="shared" si="11"/>
        <v>100.08410000000001</v>
      </c>
    </row>
    <row r="24" spans="1:14" s="1035" customFormat="1" ht="30" customHeight="1">
      <c r="A24" s="300">
        <v>7099141</v>
      </c>
      <c r="B24" s="533">
        <f t="shared" si="3"/>
        <v>99.69</v>
      </c>
      <c r="C24" s="534" t="s">
        <v>112</v>
      </c>
      <c r="D24" s="535">
        <f>+D25+D30</f>
        <v>11132246</v>
      </c>
      <c r="E24" s="533">
        <f t="shared" si="4"/>
        <v>99.13</v>
      </c>
      <c r="F24" s="535">
        <f>+F25+F30</f>
        <v>6935035</v>
      </c>
      <c r="G24" s="533">
        <f t="shared" si="7"/>
        <v>99.74</v>
      </c>
      <c r="H24" s="536">
        <f t="shared" si="5"/>
        <v>4197211</v>
      </c>
      <c r="I24" s="315">
        <f t="shared" si="8"/>
        <v>60.52</v>
      </c>
      <c r="K24" s="595">
        <f t="shared" si="9"/>
        <v>99.691000000000003</v>
      </c>
      <c r="L24" s="595">
        <f t="shared" si="10"/>
        <v>99.133399999999995</v>
      </c>
      <c r="M24" s="595">
        <f t="shared" si="11"/>
        <v>99.735200000000006</v>
      </c>
    </row>
    <row r="25" spans="1:14" s="1047" customFormat="1" ht="27" customHeight="1">
      <c r="A25" s="539">
        <v>7075333</v>
      </c>
      <c r="B25" s="540">
        <f t="shared" si="3"/>
        <v>99.36</v>
      </c>
      <c r="C25" s="541" t="s">
        <v>113</v>
      </c>
      <c r="D25" s="545">
        <f>+D26+D27</f>
        <v>11126966</v>
      </c>
      <c r="E25" s="540">
        <f t="shared" si="4"/>
        <v>99.09</v>
      </c>
      <c r="F25" s="545">
        <f>+F26+F27</f>
        <v>6928465</v>
      </c>
      <c r="G25" s="540">
        <f t="shared" si="7"/>
        <v>99.64</v>
      </c>
      <c r="H25" s="546">
        <f t="shared" si="5"/>
        <v>4198501</v>
      </c>
      <c r="I25" s="311">
        <f t="shared" si="8"/>
        <v>60.6</v>
      </c>
      <c r="K25" s="571">
        <f t="shared" si="9"/>
        <v>99.356700000000004</v>
      </c>
      <c r="L25" s="571">
        <f t="shared" si="10"/>
        <v>99.086399999999998</v>
      </c>
      <c r="M25" s="571">
        <f t="shared" si="11"/>
        <v>99.640699999999995</v>
      </c>
    </row>
    <row r="26" spans="1:14" s="1047" customFormat="1" ht="27" customHeight="1">
      <c r="A26" s="539">
        <v>6997444</v>
      </c>
      <c r="B26" s="344">
        <f t="shared" si="3"/>
        <v>98.26</v>
      </c>
      <c r="C26" s="541" t="s">
        <v>525</v>
      </c>
      <c r="D26" s="545">
        <v>10888472</v>
      </c>
      <c r="E26" s="344">
        <f t="shared" si="4"/>
        <v>96.96</v>
      </c>
      <c r="F26" s="545">
        <v>6755991</v>
      </c>
      <c r="G26" s="540">
        <f t="shared" si="7"/>
        <v>97.16</v>
      </c>
      <c r="H26" s="546">
        <f t="shared" si="5"/>
        <v>4132481</v>
      </c>
      <c r="I26" s="311">
        <f t="shared" si="8"/>
        <v>61.17</v>
      </c>
      <c r="K26" s="571">
        <f t="shared" si="9"/>
        <v>98.262900000000002</v>
      </c>
      <c r="L26" s="571">
        <f t="shared" si="10"/>
        <v>96.962599999999995</v>
      </c>
      <c r="M26" s="571">
        <f t="shared" si="11"/>
        <v>97.160300000000007</v>
      </c>
    </row>
    <row r="27" spans="1:14" s="1047" customFormat="1" ht="27" customHeight="1">
      <c r="A27" s="557">
        <v>77889</v>
      </c>
      <c r="B27" s="344">
        <f t="shared" si="3"/>
        <v>1.0900000000000001</v>
      </c>
      <c r="C27" s="541" t="s">
        <v>557</v>
      </c>
      <c r="D27" s="545">
        <v>238494</v>
      </c>
      <c r="E27" s="344">
        <f t="shared" si="4"/>
        <v>2.12</v>
      </c>
      <c r="F27" s="542">
        <v>172474</v>
      </c>
      <c r="G27" s="540">
        <f t="shared" si="7"/>
        <v>2.48</v>
      </c>
      <c r="H27" s="546">
        <f t="shared" si="5"/>
        <v>66020</v>
      </c>
      <c r="I27" s="311">
        <f t="shared" si="8"/>
        <v>38.28</v>
      </c>
      <c r="K27" s="571">
        <f t="shared" si="9"/>
        <v>1.0938000000000001</v>
      </c>
      <c r="L27" s="571">
        <f t="shared" si="10"/>
        <v>2.1238000000000001</v>
      </c>
      <c r="M27" s="571">
        <f t="shared" si="11"/>
        <v>2.4803999999999999</v>
      </c>
    </row>
    <row r="28" spans="1:14" s="1047" customFormat="1" ht="27" customHeight="1">
      <c r="A28" s="557">
        <v>18859</v>
      </c>
      <c r="B28" s="344">
        <f t="shared" si="3"/>
        <v>0.26</v>
      </c>
      <c r="C28" s="541" t="s">
        <v>114</v>
      </c>
      <c r="D28" s="542">
        <v>0</v>
      </c>
      <c r="E28" s="344">
        <f t="shared" si="4"/>
        <v>0</v>
      </c>
      <c r="F28" s="542">
        <v>0</v>
      </c>
      <c r="G28" s="344">
        <f t="shared" si="7"/>
        <v>0</v>
      </c>
      <c r="H28" s="542">
        <f t="shared" si="5"/>
        <v>0</v>
      </c>
      <c r="I28" s="543">
        <v>0</v>
      </c>
      <c r="K28" s="571"/>
      <c r="L28" s="571"/>
      <c r="M28" s="571"/>
    </row>
    <row r="29" spans="1:14" s="1047" customFormat="1" ht="27" customHeight="1">
      <c r="A29" s="557">
        <v>18859</v>
      </c>
      <c r="B29" s="344">
        <f t="shared" si="3"/>
        <v>0.26</v>
      </c>
      <c r="C29" s="541" t="s">
        <v>557</v>
      </c>
      <c r="D29" s="542">
        <v>0</v>
      </c>
      <c r="E29" s="344">
        <f t="shared" si="4"/>
        <v>0</v>
      </c>
      <c r="F29" s="542">
        <v>0</v>
      </c>
      <c r="G29" s="344">
        <f t="shared" si="7"/>
        <v>0</v>
      </c>
      <c r="H29" s="542">
        <f t="shared" si="5"/>
        <v>0</v>
      </c>
      <c r="I29" s="543">
        <v>0</v>
      </c>
      <c r="K29" s="571"/>
      <c r="L29" s="571"/>
      <c r="M29" s="571"/>
    </row>
    <row r="30" spans="1:14" s="1047" customFormat="1" ht="27" customHeight="1">
      <c r="A30" s="539">
        <v>4949</v>
      </c>
      <c r="B30" s="540">
        <f t="shared" si="3"/>
        <v>7.0000000000000007E-2</v>
      </c>
      <c r="C30" s="541" t="s">
        <v>115</v>
      </c>
      <c r="D30" s="545">
        <f>+D31</f>
        <v>5280</v>
      </c>
      <c r="E30" s="540">
        <f t="shared" si="4"/>
        <v>0.05</v>
      </c>
      <c r="F30" s="545">
        <f>+F31</f>
        <v>6570</v>
      </c>
      <c r="G30" s="540">
        <f t="shared" si="7"/>
        <v>0.09</v>
      </c>
      <c r="H30" s="546">
        <f t="shared" si="5"/>
        <v>-1290</v>
      </c>
      <c r="I30" s="311">
        <f t="shared" ref="I30:I36" si="12">ROUND(H30/F30*100,2)</f>
        <v>-19.63</v>
      </c>
      <c r="K30" s="571">
        <f t="shared" ref="K30:K49" si="13">ROUND(A30/$A$8*100,4)</f>
        <v>6.9500000000000006E-2</v>
      </c>
      <c r="L30" s="571">
        <f t="shared" ref="L30:L49" si="14">ROUND(D30/$D$8*100,4)</f>
        <v>4.7E-2</v>
      </c>
      <c r="M30" s="571">
        <f t="shared" ref="M30:M49" si="15">ROUND(F30/$F$8*100,4)</f>
        <v>9.4500000000000001E-2</v>
      </c>
    </row>
    <row r="31" spans="1:14" s="1047" customFormat="1" ht="40.5" customHeight="1" thickBot="1">
      <c r="A31" s="550">
        <v>4949</v>
      </c>
      <c r="B31" s="366">
        <f t="shared" si="3"/>
        <v>7.0000000000000007E-2</v>
      </c>
      <c r="C31" s="552" t="s">
        <v>525</v>
      </c>
      <c r="D31" s="553">
        <v>5280</v>
      </c>
      <c r="E31" s="366">
        <f t="shared" si="4"/>
        <v>0.05</v>
      </c>
      <c r="F31" s="553">
        <v>6570</v>
      </c>
      <c r="G31" s="551">
        <f t="shared" si="7"/>
        <v>0.09</v>
      </c>
      <c r="H31" s="554">
        <f t="shared" si="5"/>
        <v>-1290</v>
      </c>
      <c r="I31" s="327">
        <f t="shared" si="12"/>
        <v>-19.63</v>
      </c>
      <c r="K31" s="571">
        <f t="shared" si="13"/>
        <v>6.9500000000000006E-2</v>
      </c>
      <c r="L31" s="571">
        <f t="shared" si="14"/>
        <v>4.7E-2</v>
      </c>
      <c r="M31" s="571">
        <f t="shared" si="15"/>
        <v>9.4500000000000001E-2</v>
      </c>
    </row>
    <row r="32" spans="1:14" s="1035" customFormat="1" ht="32.25" customHeight="1">
      <c r="A32" s="300">
        <v>26213</v>
      </c>
      <c r="B32" s="533">
        <f t="shared" si="3"/>
        <v>0.37</v>
      </c>
      <c r="C32" s="534" t="s">
        <v>116</v>
      </c>
      <c r="D32" s="535">
        <f>SUM(D33:D33)</f>
        <v>101398</v>
      </c>
      <c r="E32" s="533">
        <f t="shared" si="4"/>
        <v>0.9</v>
      </c>
      <c r="F32" s="535">
        <f>SUM(F33:F33)</f>
        <v>24265</v>
      </c>
      <c r="G32" s="533">
        <f t="shared" si="7"/>
        <v>0.35</v>
      </c>
      <c r="H32" s="314">
        <f t="shared" si="5"/>
        <v>77133</v>
      </c>
      <c r="I32" s="315">
        <f t="shared" si="12"/>
        <v>317.88</v>
      </c>
      <c r="K32" s="595">
        <f t="shared" si="13"/>
        <v>0.36809999999999998</v>
      </c>
      <c r="L32" s="595">
        <f t="shared" si="14"/>
        <v>0.90300000000000002</v>
      </c>
      <c r="M32" s="595">
        <f t="shared" si="15"/>
        <v>0.34899999999999998</v>
      </c>
    </row>
    <row r="33" spans="1:13" s="1047" customFormat="1" ht="31.7" customHeight="1">
      <c r="A33" s="539">
        <v>26213</v>
      </c>
      <c r="B33" s="540">
        <f t="shared" si="3"/>
        <v>0.37</v>
      </c>
      <c r="C33" s="541" t="s">
        <v>117</v>
      </c>
      <c r="D33" s="545">
        <f>+D34</f>
        <v>101398</v>
      </c>
      <c r="E33" s="540">
        <f t="shared" si="4"/>
        <v>0.9</v>
      </c>
      <c r="F33" s="545">
        <f>+F34</f>
        <v>24265</v>
      </c>
      <c r="G33" s="540">
        <f t="shared" si="7"/>
        <v>0.35</v>
      </c>
      <c r="H33" s="310">
        <f t="shared" si="5"/>
        <v>77133</v>
      </c>
      <c r="I33" s="311">
        <f t="shared" si="12"/>
        <v>317.88</v>
      </c>
      <c r="K33" s="571">
        <f t="shared" si="13"/>
        <v>0.36809999999999998</v>
      </c>
      <c r="L33" s="571">
        <f t="shared" si="14"/>
        <v>0.90300000000000002</v>
      </c>
      <c r="M33" s="571">
        <f t="shared" si="15"/>
        <v>0.34899999999999998</v>
      </c>
    </row>
    <row r="34" spans="1:13" s="1047" customFormat="1" ht="27" customHeight="1">
      <c r="A34" s="539">
        <v>26213</v>
      </c>
      <c r="B34" s="344">
        <f t="shared" si="3"/>
        <v>0.37</v>
      </c>
      <c r="C34" s="541" t="s">
        <v>525</v>
      </c>
      <c r="D34" s="545">
        <f>97145+4253</f>
        <v>101398</v>
      </c>
      <c r="E34" s="344">
        <f t="shared" si="4"/>
        <v>0.9</v>
      </c>
      <c r="F34" s="545">
        <f>23864+401</f>
        <v>24265</v>
      </c>
      <c r="G34" s="540">
        <f t="shared" si="7"/>
        <v>0.35</v>
      </c>
      <c r="H34" s="310">
        <f t="shared" si="5"/>
        <v>77133</v>
      </c>
      <c r="I34" s="311">
        <f t="shared" si="12"/>
        <v>317.88</v>
      </c>
      <c r="K34" s="571">
        <f t="shared" si="13"/>
        <v>0.36809999999999998</v>
      </c>
      <c r="L34" s="571">
        <f t="shared" si="14"/>
        <v>0.90300000000000002</v>
      </c>
      <c r="M34" s="571">
        <f t="shared" si="15"/>
        <v>0.34899999999999998</v>
      </c>
    </row>
    <row r="35" spans="1:13" s="1035" customFormat="1" ht="29.45" customHeight="1">
      <c r="A35" s="561">
        <v>-4208</v>
      </c>
      <c r="B35" s="533">
        <f t="shared" si="3"/>
        <v>-0.06</v>
      </c>
      <c r="C35" s="534" t="s">
        <v>327</v>
      </c>
      <c r="D35" s="536">
        <f>+D36+D37</f>
        <v>-4088</v>
      </c>
      <c r="E35" s="533">
        <f t="shared" si="4"/>
        <v>-0.04</v>
      </c>
      <c r="F35" s="536">
        <f>+F36+F37</f>
        <v>-5850</v>
      </c>
      <c r="G35" s="533">
        <f t="shared" si="7"/>
        <v>-0.08</v>
      </c>
      <c r="H35" s="536">
        <f t="shared" si="5"/>
        <v>1762</v>
      </c>
      <c r="I35" s="315">
        <f t="shared" si="12"/>
        <v>-30.12</v>
      </c>
      <c r="K35" s="595">
        <f t="shared" si="13"/>
        <v>-5.91E-2</v>
      </c>
      <c r="L35" s="595">
        <f t="shared" si="14"/>
        <v>-3.6400000000000002E-2</v>
      </c>
      <c r="M35" s="595">
        <f t="shared" si="15"/>
        <v>-8.4099999999999994E-2</v>
      </c>
    </row>
    <row r="36" spans="1:13" s="1047" customFormat="1" ht="27" customHeight="1">
      <c r="A36" s="539">
        <v>-4208</v>
      </c>
      <c r="B36" s="540">
        <f t="shared" si="3"/>
        <v>-0.06</v>
      </c>
      <c r="C36" s="541" t="s">
        <v>525</v>
      </c>
      <c r="D36" s="310">
        <f>+D11+D15+D21-D26-D31-D34</f>
        <v>-4088</v>
      </c>
      <c r="E36" s="540">
        <f t="shared" si="4"/>
        <v>-0.04</v>
      </c>
      <c r="F36" s="310">
        <f>+F11+F15+F21-F26-F31-F34</f>
        <v>-5850</v>
      </c>
      <c r="G36" s="540">
        <f t="shared" si="7"/>
        <v>-0.08</v>
      </c>
      <c r="H36" s="546">
        <f t="shared" si="5"/>
        <v>1762</v>
      </c>
      <c r="I36" s="311">
        <f t="shared" si="12"/>
        <v>-30.12</v>
      </c>
      <c r="K36" s="571">
        <f t="shared" si="13"/>
        <v>-5.91E-2</v>
      </c>
      <c r="L36" s="571">
        <f t="shared" si="14"/>
        <v>-3.6400000000000002E-2</v>
      </c>
      <c r="M36" s="571">
        <f t="shared" si="15"/>
        <v>-8.4099999999999994E-2</v>
      </c>
    </row>
    <row r="37" spans="1:13" s="1047" customFormat="1" ht="27" hidden="1" customHeight="1">
      <c r="A37" s="557">
        <v>0</v>
      </c>
      <c r="B37" s="344">
        <f t="shared" si="3"/>
        <v>0</v>
      </c>
      <c r="C37" s="541" t="s">
        <v>557</v>
      </c>
      <c r="D37" s="542">
        <f>+D12+D16+D22-D27+D18</f>
        <v>0</v>
      </c>
      <c r="E37" s="344">
        <f t="shared" si="4"/>
        <v>0</v>
      </c>
      <c r="F37" s="542">
        <f>+F12+F16+F22-F27+F18</f>
        <v>0</v>
      </c>
      <c r="G37" s="542">
        <f t="shared" si="7"/>
        <v>0</v>
      </c>
      <c r="H37" s="344">
        <f t="shared" si="5"/>
        <v>0</v>
      </c>
      <c r="I37" s="309">
        <v>0</v>
      </c>
      <c r="K37" s="571">
        <f t="shared" si="13"/>
        <v>0</v>
      </c>
      <c r="L37" s="571">
        <f t="shared" si="14"/>
        <v>0</v>
      </c>
      <c r="M37" s="571">
        <f t="shared" si="15"/>
        <v>0</v>
      </c>
    </row>
    <row r="38" spans="1:13" s="1035" customFormat="1" ht="27" customHeight="1">
      <c r="A38" s="302">
        <v>4208</v>
      </c>
      <c r="B38" s="533">
        <f t="shared" si="3"/>
        <v>0.06</v>
      </c>
      <c r="C38" s="534" t="s">
        <v>118</v>
      </c>
      <c r="D38" s="318">
        <f>+D39+D42</f>
        <v>4088</v>
      </c>
      <c r="E38" s="533">
        <f t="shared" si="4"/>
        <v>0.04</v>
      </c>
      <c r="F38" s="318">
        <f>+F39+F42</f>
        <v>5850</v>
      </c>
      <c r="G38" s="533">
        <f t="shared" si="7"/>
        <v>0.08</v>
      </c>
      <c r="H38" s="585">
        <f t="shared" si="5"/>
        <v>-1762</v>
      </c>
      <c r="I38" s="315">
        <f t="shared" ref="I38:I48" si="16">ROUND(H38/F38*100,2)</f>
        <v>-30.12</v>
      </c>
      <c r="K38" s="595">
        <f t="shared" si="13"/>
        <v>5.91E-2</v>
      </c>
      <c r="L38" s="595">
        <f t="shared" si="14"/>
        <v>3.6400000000000002E-2</v>
      </c>
      <c r="M38" s="595">
        <f t="shared" si="15"/>
        <v>8.4099999999999994E-2</v>
      </c>
    </row>
    <row r="39" spans="1:13" s="1035" customFormat="1" ht="31.35" customHeight="1">
      <c r="A39" s="300">
        <v>16</v>
      </c>
      <c r="B39" s="304">
        <f t="shared" si="3"/>
        <v>0</v>
      </c>
      <c r="C39" s="534" t="s">
        <v>119</v>
      </c>
      <c r="D39" s="547">
        <f>+D40</f>
        <v>7</v>
      </c>
      <c r="E39" s="304">
        <f t="shared" si="4"/>
        <v>0</v>
      </c>
      <c r="F39" s="547">
        <f>+F40</f>
        <v>4</v>
      </c>
      <c r="G39" s="538">
        <f t="shared" si="7"/>
        <v>0</v>
      </c>
      <c r="H39" s="314">
        <f t="shared" si="5"/>
        <v>3</v>
      </c>
      <c r="I39" s="315">
        <f t="shared" si="16"/>
        <v>75</v>
      </c>
      <c r="K39" s="595">
        <f t="shared" si="13"/>
        <v>2.0000000000000001E-4</v>
      </c>
      <c r="L39" s="595">
        <f t="shared" si="14"/>
        <v>1E-4</v>
      </c>
      <c r="M39" s="595">
        <f t="shared" si="15"/>
        <v>1E-4</v>
      </c>
    </row>
    <row r="40" spans="1:13" s="1047" customFormat="1" ht="27" customHeight="1">
      <c r="A40" s="539">
        <v>16</v>
      </c>
      <c r="B40" s="304">
        <f t="shared" si="3"/>
        <v>0</v>
      </c>
      <c r="C40" s="541" t="s">
        <v>120</v>
      </c>
      <c r="D40" s="542">
        <f>+D41</f>
        <v>7</v>
      </c>
      <c r="E40" s="307">
        <f t="shared" si="4"/>
        <v>0</v>
      </c>
      <c r="F40" s="542">
        <f>+F41</f>
        <v>4</v>
      </c>
      <c r="G40" s="307">
        <f t="shared" si="7"/>
        <v>0</v>
      </c>
      <c r="H40" s="310">
        <f t="shared" si="5"/>
        <v>3</v>
      </c>
      <c r="I40" s="311">
        <f t="shared" si="16"/>
        <v>75</v>
      </c>
      <c r="K40" s="571">
        <f t="shared" si="13"/>
        <v>2.0000000000000001E-4</v>
      </c>
      <c r="L40" s="571">
        <f t="shared" si="14"/>
        <v>1E-4</v>
      </c>
      <c r="M40" s="571">
        <f t="shared" si="15"/>
        <v>1E-4</v>
      </c>
    </row>
    <row r="41" spans="1:13" s="1047" customFormat="1" ht="27" customHeight="1">
      <c r="A41" s="539">
        <v>16</v>
      </c>
      <c r="B41" s="344">
        <f t="shared" si="3"/>
        <v>0</v>
      </c>
      <c r="C41" s="541" t="s">
        <v>525</v>
      </c>
      <c r="D41" s="545">
        <v>7</v>
      </c>
      <c r="E41" s="344">
        <f t="shared" si="4"/>
        <v>0</v>
      </c>
      <c r="F41" s="545">
        <v>4</v>
      </c>
      <c r="G41" s="307">
        <f t="shared" si="7"/>
        <v>0</v>
      </c>
      <c r="H41" s="310">
        <f t="shared" si="5"/>
        <v>3</v>
      </c>
      <c r="I41" s="311">
        <f t="shared" si="16"/>
        <v>75</v>
      </c>
      <c r="K41" s="571">
        <f t="shared" si="13"/>
        <v>2.0000000000000001E-4</v>
      </c>
      <c r="L41" s="571">
        <f t="shared" si="14"/>
        <v>1E-4</v>
      </c>
      <c r="M41" s="571">
        <f t="shared" si="15"/>
        <v>1E-4</v>
      </c>
    </row>
    <row r="42" spans="1:13" s="1035" customFormat="1" ht="30" customHeight="1">
      <c r="A42" s="300">
        <v>4193</v>
      </c>
      <c r="B42" s="533">
        <f t="shared" si="3"/>
        <v>0.06</v>
      </c>
      <c r="C42" s="534" t="s">
        <v>121</v>
      </c>
      <c r="D42" s="535">
        <f>+D45</f>
        <v>4081</v>
      </c>
      <c r="E42" s="533">
        <f t="shared" si="4"/>
        <v>0.04</v>
      </c>
      <c r="F42" s="535">
        <f>+F45</f>
        <v>5846</v>
      </c>
      <c r="G42" s="533">
        <f t="shared" si="7"/>
        <v>0.08</v>
      </c>
      <c r="H42" s="314">
        <f t="shared" si="5"/>
        <v>-1765</v>
      </c>
      <c r="I42" s="315">
        <f t="shared" si="16"/>
        <v>-30.19</v>
      </c>
      <c r="K42" s="595">
        <f t="shared" si="13"/>
        <v>5.8900000000000001E-2</v>
      </c>
      <c r="L42" s="595">
        <f t="shared" si="14"/>
        <v>3.6299999999999999E-2</v>
      </c>
      <c r="M42" s="595">
        <f t="shared" si="15"/>
        <v>8.4099999999999994E-2</v>
      </c>
    </row>
    <row r="43" spans="1:13" s="231" customFormat="1" ht="28.15" hidden="1" customHeight="1">
      <c r="A43" s="539">
        <v>0</v>
      </c>
      <c r="B43" s="542">
        <f>ROUND(A43/$A$8*100,2)</f>
        <v>0</v>
      </c>
      <c r="C43" s="541" t="s">
        <v>1207</v>
      </c>
      <c r="D43" s="542">
        <v>0</v>
      </c>
      <c r="E43" s="344">
        <f t="shared" si="4"/>
        <v>0</v>
      </c>
      <c r="F43" s="542">
        <v>0</v>
      </c>
      <c r="G43" s="344">
        <f t="shared" si="7"/>
        <v>0</v>
      </c>
      <c r="H43" s="542">
        <f t="shared" si="5"/>
        <v>0</v>
      </c>
      <c r="I43" s="543">
        <v>0</v>
      </c>
      <c r="K43" s="544"/>
      <c r="L43" s="544"/>
      <c r="M43" s="544"/>
    </row>
    <row r="44" spans="1:13" s="1173" customFormat="1" ht="27" hidden="1" customHeight="1">
      <c r="A44" s="539">
        <v>0</v>
      </c>
      <c r="B44" s="344">
        <f>ROUND(A44/$A$8*100,2)</f>
        <v>0</v>
      </c>
      <c r="C44" s="541" t="s">
        <v>525</v>
      </c>
      <c r="D44" s="542">
        <v>0</v>
      </c>
      <c r="E44" s="344">
        <f t="shared" ref="E44" si="17">ROUND(D44/$D$8*100,2)</f>
        <v>0</v>
      </c>
      <c r="F44" s="542">
        <v>0</v>
      </c>
      <c r="G44" s="344">
        <f t="shared" si="7"/>
        <v>0</v>
      </c>
      <c r="H44" s="542">
        <f t="shared" ref="H44" si="18">D44-F44</f>
        <v>0</v>
      </c>
      <c r="I44" s="543">
        <v>0</v>
      </c>
      <c r="K44" s="571">
        <f t="shared" ref="K44" si="19">ROUND(A44/$A$8*100,4)</f>
        <v>0</v>
      </c>
      <c r="L44" s="571">
        <f t="shared" ref="L44" si="20">ROUND(D44/$D$8*100,4)</f>
        <v>0</v>
      </c>
      <c r="M44" s="571">
        <f t="shared" ref="M44" si="21">ROUND(F44/$F$8*100,4)</f>
        <v>0</v>
      </c>
    </row>
    <row r="45" spans="1:13" s="1047" customFormat="1" ht="27" customHeight="1">
      <c r="A45" s="539">
        <v>4193</v>
      </c>
      <c r="B45" s="540">
        <f t="shared" si="3"/>
        <v>0.06</v>
      </c>
      <c r="C45" s="541" t="s">
        <v>122</v>
      </c>
      <c r="D45" s="545">
        <f>+D46</f>
        <v>4081</v>
      </c>
      <c r="E45" s="540">
        <f t="shared" si="4"/>
        <v>0.04</v>
      </c>
      <c r="F45" s="545">
        <f>+F46</f>
        <v>5846</v>
      </c>
      <c r="G45" s="540">
        <f t="shared" si="7"/>
        <v>0.08</v>
      </c>
      <c r="H45" s="310">
        <f t="shared" si="5"/>
        <v>-1765</v>
      </c>
      <c r="I45" s="311">
        <f t="shared" si="16"/>
        <v>-30.19</v>
      </c>
      <c r="K45" s="571">
        <f t="shared" si="13"/>
        <v>5.8900000000000001E-2</v>
      </c>
      <c r="L45" s="571">
        <f t="shared" si="14"/>
        <v>3.6299999999999999E-2</v>
      </c>
      <c r="M45" s="571">
        <f t="shared" si="15"/>
        <v>8.4099999999999994E-2</v>
      </c>
    </row>
    <row r="46" spans="1:13" s="1047" customFormat="1" ht="27" customHeight="1">
      <c r="A46" s="539">
        <v>4193</v>
      </c>
      <c r="B46" s="344">
        <f t="shared" si="3"/>
        <v>0.06</v>
      </c>
      <c r="C46" s="541" t="s">
        <v>525</v>
      </c>
      <c r="D46" s="545">
        <v>4081</v>
      </c>
      <c r="E46" s="344">
        <f t="shared" si="4"/>
        <v>0.04</v>
      </c>
      <c r="F46" s="545">
        <v>5846</v>
      </c>
      <c r="G46" s="540">
        <f t="shared" si="7"/>
        <v>0.08</v>
      </c>
      <c r="H46" s="310">
        <f t="shared" si="5"/>
        <v>-1765</v>
      </c>
      <c r="I46" s="311">
        <f t="shared" si="16"/>
        <v>-30.19</v>
      </c>
      <c r="K46" s="571">
        <f t="shared" si="13"/>
        <v>5.8900000000000001E-2</v>
      </c>
      <c r="L46" s="571">
        <f t="shared" si="14"/>
        <v>3.6299999999999999E-2</v>
      </c>
      <c r="M46" s="571">
        <f t="shared" si="15"/>
        <v>8.4099999999999994E-2</v>
      </c>
    </row>
    <row r="47" spans="1:13" s="1035" customFormat="1" ht="31.35" customHeight="1">
      <c r="A47" s="302">
        <v>4208</v>
      </c>
      <c r="B47" s="533">
        <f t="shared" si="3"/>
        <v>0.06</v>
      </c>
      <c r="C47" s="534" t="s">
        <v>328</v>
      </c>
      <c r="D47" s="318">
        <f>+D48</f>
        <v>4088</v>
      </c>
      <c r="E47" s="533">
        <f t="shared" si="4"/>
        <v>0.04</v>
      </c>
      <c r="F47" s="318">
        <f>+F48</f>
        <v>5850</v>
      </c>
      <c r="G47" s="533">
        <f t="shared" si="7"/>
        <v>0.08</v>
      </c>
      <c r="H47" s="314">
        <f t="shared" si="5"/>
        <v>-1762</v>
      </c>
      <c r="I47" s="315">
        <f t="shared" si="16"/>
        <v>-30.12</v>
      </c>
      <c r="K47" s="595">
        <f t="shared" si="13"/>
        <v>5.91E-2</v>
      </c>
      <c r="L47" s="595">
        <f t="shared" si="14"/>
        <v>3.6400000000000002E-2</v>
      </c>
      <c r="M47" s="595">
        <f t="shared" si="15"/>
        <v>8.4099999999999994E-2</v>
      </c>
    </row>
    <row r="48" spans="1:13" s="1047" customFormat="1" ht="27" customHeight="1">
      <c r="A48" s="539">
        <v>4208</v>
      </c>
      <c r="B48" s="344">
        <f t="shared" si="3"/>
        <v>0.06</v>
      </c>
      <c r="C48" s="541" t="s">
        <v>525</v>
      </c>
      <c r="D48" s="545">
        <f>+D41+D46</f>
        <v>4088</v>
      </c>
      <c r="E48" s="344">
        <f t="shared" si="4"/>
        <v>0.04</v>
      </c>
      <c r="F48" s="545">
        <f>+F41+F46</f>
        <v>5850</v>
      </c>
      <c r="G48" s="540">
        <f t="shared" si="7"/>
        <v>0.08</v>
      </c>
      <c r="H48" s="310">
        <f t="shared" si="5"/>
        <v>-1762</v>
      </c>
      <c r="I48" s="311">
        <f t="shared" si="16"/>
        <v>-30.12</v>
      </c>
      <c r="K48" s="571">
        <f t="shared" si="13"/>
        <v>5.91E-2</v>
      </c>
      <c r="L48" s="571">
        <f t="shared" si="14"/>
        <v>3.6400000000000002E-2</v>
      </c>
      <c r="M48" s="571">
        <f t="shared" si="15"/>
        <v>8.4099999999999994E-2</v>
      </c>
    </row>
    <row r="49" spans="1:13" s="1035" customFormat="1" ht="24.6" customHeight="1">
      <c r="A49" s="564">
        <f>+A35+A47</f>
        <v>0</v>
      </c>
      <c r="B49" s="304">
        <f t="shared" si="3"/>
        <v>0</v>
      </c>
      <c r="C49" s="534" t="s">
        <v>329</v>
      </c>
      <c r="D49" s="565">
        <f>+D35+D47</f>
        <v>0</v>
      </c>
      <c r="E49" s="304">
        <f t="shared" si="4"/>
        <v>0</v>
      </c>
      <c r="F49" s="565">
        <f>+F35+F47</f>
        <v>0</v>
      </c>
      <c r="G49" s="565">
        <f t="shared" si="7"/>
        <v>0</v>
      </c>
      <c r="H49" s="565">
        <f t="shared" si="5"/>
        <v>0</v>
      </c>
      <c r="I49" s="558">
        <v>0</v>
      </c>
      <c r="K49" s="595">
        <f t="shared" si="13"/>
        <v>0</v>
      </c>
      <c r="L49" s="595">
        <f t="shared" si="14"/>
        <v>0</v>
      </c>
      <c r="M49" s="595">
        <f t="shared" si="15"/>
        <v>0</v>
      </c>
    </row>
    <row r="50" spans="1:13" s="1035" customFormat="1" ht="24.6" customHeight="1">
      <c r="A50" s="564"/>
      <c r="B50" s="304"/>
      <c r="C50" s="534"/>
      <c r="D50" s="565"/>
      <c r="E50" s="304"/>
      <c r="F50" s="565"/>
      <c r="G50" s="533"/>
      <c r="H50" s="565"/>
      <c r="I50" s="558"/>
      <c r="K50" s="595"/>
      <c r="L50" s="595"/>
      <c r="M50" s="595"/>
    </row>
    <row r="51" spans="1:13" s="1035" customFormat="1" ht="21" customHeight="1">
      <c r="A51" s="564"/>
      <c r="B51" s="304"/>
      <c r="C51" s="534"/>
      <c r="D51" s="565"/>
      <c r="E51" s="304"/>
      <c r="F51" s="565"/>
      <c r="G51" s="533"/>
      <c r="H51" s="565"/>
      <c r="I51" s="558"/>
      <c r="K51" s="595"/>
      <c r="L51" s="595"/>
      <c r="M51" s="595"/>
    </row>
    <row r="52" spans="1:13" s="1035" customFormat="1" ht="39" customHeight="1">
      <c r="A52" s="564"/>
      <c r="B52" s="304"/>
      <c r="C52" s="534"/>
      <c r="D52" s="565"/>
      <c r="E52" s="304"/>
      <c r="F52" s="565"/>
      <c r="G52" s="533"/>
      <c r="H52" s="565"/>
      <c r="I52" s="558"/>
      <c r="K52" s="595"/>
      <c r="L52" s="595"/>
      <c r="M52" s="595"/>
    </row>
    <row r="53" spans="1:13" s="1035" customFormat="1" ht="89.25" customHeight="1">
      <c r="A53" s="564"/>
      <c r="B53" s="304"/>
      <c r="C53" s="534"/>
      <c r="D53" s="565"/>
      <c r="E53" s="304"/>
      <c r="F53" s="565"/>
      <c r="G53" s="533"/>
      <c r="H53" s="565"/>
      <c r="I53" s="558"/>
      <c r="K53" s="595"/>
      <c r="L53" s="595"/>
      <c r="M53" s="595"/>
    </row>
    <row r="54" spans="1:13" s="1035" customFormat="1" ht="34.5" customHeight="1">
      <c r="A54" s="564"/>
      <c r="B54" s="304"/>
      <c r="C54" s="534"/>
      <c r="D54" s="565"/>
      <c r="E54" s="304"/>
      <c r="F54" s="565"/>
      <c r="G54" s="533"/>
      <c r="H54" s="565"/>
      <c r="I54" s="558"/>
      <c r="K54" s="595"/>
      <c r="L54" s="595"/>
      <c r="M54" s="595"/>
    </row>
    <row r="55" spans="1:13" s="1047" customFormat="1" ht="6" customHeight="1" thickBot="1">
      <c r="A55" s="550"/>
      <c r="B55" s="551"/>
      <c r="C55" s="552"/>
      <c r="D55" s="553"/>
      <c r="E55" s="551"/>
      <c r="F55" s="553"/>
      <c r="G55" s="551"/>
      <c r="H55" s="597"/>
      <c r="I55" s="327"/>
      <c r="K55" s="571"/>
      <c r="L55" s="571"/>
      <c r="M55" s="571"/>
    </row>
    <row r="56" spans="1:13" ht="12" customHeight="1">
      <c r="A56" s="1362" t="s">
        <v>528</v>
      </c>
      <c r="B56" s="1363"/>
      <c r="C56" s="1363"/>
      <c r="D56" s="1363"/>
      <c r="E56" s="1363"/>
      <c r="F56" s="1363"/>
      <c r="G56" s="1363"/>
      <c r="H56" s="1363"/>
      <c r="I56" s="1363"/>
    </row>
    <row r="57" spans="1:13" ht="15.75">
      <c r="A57" s="590"/>
      <c r="B57" s="591"/>
      <c r="C57" s="592"/>
      <c r="D57" s="591"/>
      <c r="E57" s="593"/>
      <c r="F57" s="591"/>
      <c r="G57" s="591"/>
      <c r="H57" s="591"/>
      <c r="I57" s="591"/>
    </row>
    <row r="58" spans="1:13" ht="15.75">
      <c r="C58" s="594"/>
    </row>
    <row r="59" spans="1:13" ht="15.75">
      <c r="C59" s="594"/>
    </row>
    <row r="60" spans="1:13" ht="15.75">
      <c r="C60" s="594"/>
    </row>
    <row r="61" spans="1:13" ht="15.75">
      <c r="C61" s="594"/>
    </row>
    <row r="62" spans="1:13" ht="15.75">
      <c r="C62" s="594"/>
    </row>
    <row r="63" spans="1:13" ht="15.75">
      <c r="C63" s="594"/>
    </row>
    <row r="64" spans="1:13" ht="15.75">
      <c r="C64" s="594"/>
    </row>
    <row r="65" spans="3:3" ht="15.75">
      <c r="C65" s="594"/>
    </row>
  </sheetData>
  <mergeCells count="10">
    <mergeCell ref="A56:I56"/>
    <mergeCell ref="A1:I1"/>
    <mergeCell ref="A2:I2"/>
    <mergeCell ref="A3:I3"/>
    <mergeCell ref="A4:I4"/>
    <mergeCell ref="A5:B5"/>
    <mergeCell ref="C5:C6"/>
    <mergeCell ref="D5:E5"/>
    <mergeCell ref="F5:G5"/>
    <mergeCell ref="H5:I5"/>
  </mergeCells>
  <phoneticPr fontId="6" type="noConversion"/>
  <printOptions horizontalCentered="1"/>
  <pageMargins left="0.59055118110236227" right="0.59055118110236227" top="0.59055118110236227" bottom="0.78740157480314965" header="0.51181102362204722" footer="0.51181102362204722"/>
  <pageSetup paperSize="9" orientation="portrait" useFirstPageNumber="1" r:id="rId1"/>
  <headerFooter alignWithMargins="0">
    <oddFooter>&amp;C&amp;"細明體,標準"附&amp;"Times New Roman,標準"3-&amp;P</odd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dimension ref="A1:H56"/>
  <sheetViews>
    <sheetView view="pageBreakPreview" zoomScaleNormal="100" zoomScaleSheetLayoutView="100" workbookViewId="0">
      <selection activeCell="F14" sqref="F14"/>
    </sheetView>
  </sheetViews>
  <sheetFormatPr defaultColWidth="9" defaultRowHeight="15.75"/>
  <cols>
    <col min="1" max="1" width="41.875" style="6" customWidth="1"/>
    <col min="2" max="2" width="14.125" style="6" customWidth="1"/>
    <col min="3" max="3" width="15.625" style="6" customWidth="1"/>
    <col min="4" max="4" width="12.625" style="6" customWidth="1"/>
    <col min="5" max="5" width="5.625" style="6" customWidth="1"/>
    <col min="6" max="6" width="39" style="6" customWidth="1"/>
    <col min="7" max="7" width="9" style="6"/>
    <col min="8" max="8" width="26.375" style="6" customWidth="1"/>
    <col min="9" max="9" width="19.875" style="6" customWidth="1"/>
    <col min="10" max="16384" width="9" style="6"/>
  </cols>
  <sheetData>
    <row r="1" spans="1:8" s="2" customFormat="1" ht="21">
      <c r="A1" s="1369" t="s">
        <v>40</v>
      </c>
      <c r="B1" s="1369"/>
      <c r="C1" s="1369"/>
      <c r="D1" s="1369"/>
      <c r="E1" s="1369"/>
      <c r="F1" s="1"/>
      <c r="G1" s="1"/>
      <c r="H1" s="1"/>
    </row>
    <row r="2" spans="1:8" s="2" customFormat="1" ht="21">
      <c r="A2" s="1369" t="s">
        <v>41</v>
      </c>
      <c r="B2" s="1369"/>
      <c r="C2" s="1369"/>
      <c r="D2" s="1369"/>
      <c r="E2" s="1369"/>
      <c r="F2" s="1"/>
      <c r="G2" s="1"/>
      <c r="H2" s="1"/>
    </row>
    <row r="3" spans="1:8" s="2" customFormat="1" ht="24.75" customHeight="1">
      <c r="A3" s="1370" t="s">
        <v>1157</v>
      </c>
      <c r="B3" s="1371"/>
      <c r="C3" s="1371"/>
      <c r="D3" s="1371"/>
      <c r="E3" s="1371"/>
      <c r="F3" s="3"/>
      <c r="G3" s="3"/>
      <c r="H3" s="3"/>
    </row>
    <row r="4" spans="1:8" s="2" customFormat="1" ht="24.95" customHeight="1" thickBot="1">
      <c r="A4" s="1389" t="s">
        <v>1312</v>
      </c>
      <c r="B4" s="1390"/>
      <c r="C4" s="1390"/>
      <c r="D4" s="1390"/>
      <c r="E4" s="1390"/>
      <c r="F4" s="4"/>
      <c r="G4" s="4"/>
      <c r="H4" s="4"/>
    </row>
    <row r="5" spans="1:8">
      <c r="A5" s="1412" t="s">
        <v>42</v>
      </c>
      <c r="B5" s="1415" t="s">
        <v>43</v>
      </c>
      <c r="C5" s="1717" t="s">
        <v>306</v>
      </c>
      <c r="D5" s="1419"/>
      <c r="E5" s="1420"/>
      <c r="F5" s="4"/>
      <c r="G5" s="4"/>
      <c r="H5" s="4"/>
    </row>
    <row r="6" spans="1:8">
      <c r="A6" s="1413"/>
      <c r="B6" s="1416"/>
      <c r="C6" s="1421"/>
      <c r="D6" s="1422"/>
      <c r="E6" s="1423"/>
      <c r="F6" s="4"/>
      <c r="G6" s="4"/>
      <c r="H6" s="4"/>
    </row>
    <row r="7" spans="1:8" ht="12.75" customHeight="1">
      <c r="A7" s="1414"/>
      <c r="B7" s="1417"/>
      <c r="C7" s="1424"/>
      <c r="D7" s="1425"/>
      <c r="E7" s="1426"/>
    </row>
    <row r="8" spans="1:8" ht="5.25" customHeight="1">
      <c r="A8" s="1049"/>
      <c r="B8" s="1050"/>
      <c r="C8" s="83"/>
      <c r="D8" s="132"/>
      <c r="E8" s="86"/>
    </row>
    <row r="9" spans="1:8" s="1047" customFormat="1" ht="26.45" customHeight="1">
      <c r="A9" s="348" t="s">
        <v>45</v>
      </c>
      <c r="B9" s="134"/>
      <c r="C9" s="135"/>
      <c r="D9" s="136"/>
      <c r="E9" s="137"/>
    </row>
    <row r="10" spans="1:8" s="1035" customFormat="1" ht="24.75" customHeight="1">
      <c r="A10" s="138" t="s">
        <v>330</v>
      </c>
      <c r="B10" s="185">
        <v>0</v>
      </c>
      <c r="C10" s="139"/>
      <c r="D10" s="140"/>
      <c r="E10" s="137"/>
    </row>
    <row r="11" spans="1:8" s="1035" customFormat="1" ht="30" customHeight="1">
      <c r="A11" s="67" t="s">
        <v>294</v>
      </c>
      <c r="B11" s="65">
        <f>-D11+D12</f>
        <v>98631</v>
      </c>
      <c r="C11" s="1051" t="s">
        <v>379</v>
      </c>
      <c r="D11" s="1048">
        <v>2767</v>
      </c>
      <c r="E11" s="1054" t="s">
        <v>46</v>
      </c>
    </row>
    <row r="12" spans="1:8" s="1035" customFormat="1" ht="26.45" customHeight="1">
      <c r="A12" s="67"/>
      <c r="B12" s="66"/>
      <c r="C12" s="1051" t="s">
        <v>284</v>
      </c>
      <c r="D12" s="1048">
        <f>97145+4253</f>
        <v>101398</v>
      </c>
      <c r="E12" s="1054" t="s">
        <v>46</v>
      </c>
    </row>
    <row r="13" spans="1:8" s="1035" customFormat="1" ht="27.6" customHeight="1">
      <c r="A13" s="67" t="s">
        <v>331</v>
      </c>
      <c r="B13" s="65">
        <f>+B10+B11</f>
        <v>98631</v>
      </c>
      <c r="C13" s="139"/>
      <c r="D13" s="140"/>
      <c r="E13" s="137"/>
    </row>
    <row r="14" spans="1:8" s="1035" customFormat="1" ht="27" customHeight="1">
      <c r="A14" s="138" t="s">
        <v>471</v>
      </c>
      <c r="B14" s="141">
        <f>D14+D15+D16+D17+D18+D19</f>
        <v>-1671606</v>
      </c>
      <c r="C14" s="1051" t="s">
        <v>285</v>
      </c>
      <c r="D14" s="1048">
        <v>5280</v>
      </c>
      <c r="E14" s="1054" t="s">
        <v>46</v>
      </c>
      <c r="F14" s="1036"/>
    </row>
    <row r="15" spans="1:8" s="1035" customFormat="1" ht="21" hidden="1" customHeight="1">
      <c r="A15" s="67"/>
      <c r="B15" s="141"/>
      <c r="C15" s="1051" t="s">
        <v>286</v>
      </c>
      <c r="D15" s="1048">
        <v>0</v>
      </c>
      <c r="E15" s="1054" t="s">
        <v>46</v>
      </c>
      <c r="F15" s="1036"/>
    </row>
    <row r="16" spans="1:8" s="1047" customFormat="1" ht="21.75" hidden="1" customHeight="1">
      <c r="A16" s="67"/>
      <c r="B16" s="141"/>
      <c r="C16" s="1051" t="s">
        <v>287</v>
      </c>
      <c r="D16" s="1048">
        <v>0</v>
      </c>
      <c r="E16" s="1054" t="s">
        <v>46</v>
      </c>
    </row>
    <row r="17" spans="1:8" s="1047" customFormat="1" ht="27" customHeight="1">
      <c r="A17" s="67"/>
      <c r="B17" s="141"/>
      <c r="C17" s="1051" t="s">
        <v>318</v>
      </c>
      <c r="D17" s="1048">
        <v>-73782</v>
      </c>
      <c r="E17" s="1054" t="s">
        <v>46</v>
      </c>
    </row>
    <row r="18" spans="1:8" s="1035" customFormat="1" ht="27" customHeight="1">
      <c r="A18" s="67" t="s">
        <v>47</v>
      </c>
      <c r="B18" s="31"/>
      <c r="C18" s="1051" t="s">
        <v>677</v>
      </c>
      <c r="D18" s="1048">
        <v>-1603104</v>
      </c>
      <c r="E18" s="1054" t="s">
        <v>46</v>
      </c>
      <c r="F18" s="36"/>
      <c r="H18" s="10"/>
    </row>
    <row r="19" spans="1:8" s="1047" customFormat="1" ht="27" hidden="1" customHeight="1">
      <c r="A19" s="67" t="s">
        <v>47</v>
      </c>
      <c r="B19" s="31"/>
      <c r="C19" s="1051" t="s">
        <v>308</v>
      </c>
      <c r="D19" s="1048">
        <v>0</v>
      </c>
      <c r="E19" s="1054" t="s">
        <v>46</v>
      </c>
    </row>
    <row r="20" spans="1:8" s="1035" customFormat="1" ht="30" customHeight="1">
      <c r="A20" s="67" t="s">
        <v>332</v>
      </c>
      <c r="B20" s="31">
        <f>+B13+B14</f>
        <v>-1572975</v>
      </c>
      <c r="C20" s="139"/>
      <c r="D20" s="140"/>
      <c r="E20" s="137"/>
    </row>
    <row r="21" spans="1:8" s="1035" customFormat="1" ht="30" customHeight="1">
      <c r="A21" s="138" t="s">
        <v>293</v>
      </c>
      <c r="B21" s="31">
        <v>7</v>
      </c>
      <c r="C21" s="1427" t="s">
        <v>1380</v>
      </c>
      <c r="D21" s="1428"/>
      <c r="E21" s="1429"/>
    </row>
    <row r="22" spans="1:8" s="1047" customFormat="1" ht="27" customHeight="1">
      <c r="A22" s="133" t="s">
        <v>322</v>
      </c>
      <c r="B22" s="27">
        <f>+B20+B21</f>
        <v>-1572968</v>
      </c>
      <c r="C22" s="349"/>
      <c r="D22" s="350"/>
      <c r="E22" s="1054"/>
    </row>
    <row r="23" spans="1:8" s="1047" customFormat="1" ht="27.6" customHeight="1">
      <c r="A23" s="348" t="s">
        <v>48</v>
      </c>
      <c r="B23" s="27"/>
      <c r="C23" s="351"/>
      <c r="D23" s="352"/>
      <c r="E23" s="353"/>
    </row>
    <row r="24" spans="1:8" s="1047" customFormat="1" ht="30" hidden="1" customHeight="1">
      <c r="A24" s="67" t="s">
        <v>49</v>
      </c>
      <c r="B24" s="31">
        <v>0</v>
      </c>
      <c r="C24" s="1433"/>
      <c r="D24" s="1410"/>
      <c r="E24" s="1411"/>
    </row>
    <row r="25" spans="1:8" s="1047" customFormat="1" ht="27.95" customHeight="1">
      <c r="A25" s="138" t="s">
        <v>293</v>
      </c>
      <c r="B25" s="31">
        <v>2760</v>
      </c>
      <c r="C25" s="1427" t="s">
        <v>1381</v>
      </c>
      <c r="D25" s="1428"/>
      <c r="E25" s="1429"/>
    </row>
    <row r="26" spans="1:8" s="1047" customFormat="1" ht="42" hidden="1" customHeight="1">
      <c r="A26" s="67" t="s">
        <v>50</v>
      </c>
      <c r="B26" s="31">
        <v>0</v>
      </c>
      <c r="C26" s="1433" t="s">
        <v>310</v>
      </c>
      <c r="D26" s="1410"/>
      <c r="E26" s="1411"/>
    </row>
    <row r="27" spans="1:8" s="1047" customFormat="1" ht="45" hidden="1" customHeight="1">
      <c r="A27" s="67" t="s">
        <v>51</v>
      </c>
      <c r="B27" s="31">
        <v>0</v>
      </c>
      <c r="C27" s="1440" t="s">
        <v>309</v>
      </c>
      <c r="D27" s="1428"/>
      <c r="E27" s="1429"/>
    </row>
    <row r="28" spans="1:8" s="1047" customFormat="1" ht="30" hidden="1" customHeight="1">
      <c r="A28" s="67" t="s">
        <v>52</v>
      </c>
      <c r="B28" s="31">
        <v>0</v>
      </c>
      <c r="C28" s="1433" t="s">
        <v>53</v>
      </c>
      <c r="D28" s="1410"/>
      <c r="E28" s="1411"/>
    </row>
    <row r="29" spans="1:8" s="1047" customFormat="1" ht="27.6" customHeight="1">
      <c r="A29" s="133" t="s">
        <v>323</v>
      </c>
      <c r="B29" s="27">
        <f>SUM(B24:B28)</f>
        <v>2760</v>
      </c>
      <c r="C29" s="349"/>
      <c r="D29" s="350"/>
      <c r="E29" s="353"/>
    </row>
    <row r="30" spans="1:8" s="1047" customFormat="1" ht="27.95" customHeight="1">
      <c r="A30" s="133" t="s">
        <v>289</v>
      </c>
      <c r="B30" s="142"/>
      <c r="C30" s="354"/>
      <c r="D30" s="355"/>
      <c r="E30" s="353"/>
    </row>
    <row r="31" spans="1:8" s="367" customFormat="1" ht="30.6" customHeight="1">
      <c r="A31" s="67" t="s">
        <v>290</v>
      </c>
      <c r="B31" s="31">
        <v>1607000</v>
      </c>
      <c r="C31" s="1440" t="s">
        <v>1414</v>
      </c>
      <c r="D31" s="1428"/>
      <c r="E31" s="1429"/>
    </row>
    <row r="32" spans="1:8" s="367" customFormat="1" ht="39.75" hidden="1" customHeight="1">
      <c r="A32" s="67" t="s">
        <v>1394</v>
      </c>
      <c r="B32" s="31"/>
      <c r="C32" s="1440" t="s">
        <v>1395</v>
      </c>
      <c r="D32" s="1428"/>
      <c r="E32" s="1429"/>
    </row>
    <row r="33" spans="1:5" s="367" customFormat="1" ht="29.45" customHeight="1">
      <c r="A33" s="138" t="s">
        <v>485</v>
      </c>
      <c r="B33" s="31">
        <f>-97145-4253</f>
        <v>-101398</v>
      </c>
      <c r="C33" s="1436" t="s">
        <v>1501</v>
      </c>
      <c r="D33" s="1428"/>
      <c r="E33" s="1429"/>
    </row>
    <row r="34" spans="1:5" s="1047" customFormat="1" ht="36" customHeight="1">
      <c r="A34" s="133" t="s">
        <v>486</v>
      </c>
      <c r="B34" s="76">
        <f>SUM(B31:B33)</f>
        <v>1505602</v>
      </c>
      <c r="C34" s="356"/>
      <c r="D34" s="357"/>
      <c r="E34" s="358"/>
    </row>
    <row r="35" spans="1:5" s="1047" customFormat="1" ht="39" customHeight="1">
      <c r="A35" s="133" t="s">
        <v>325</v>
      </c>
      <c r="B35" s="76">
        <f>B22+B29+B34</f>
        <v>-64606</v>
      </c>
      <c r="C35" s="359"/>
      <c r="D35" s="360"/>
      <c r="E35" s="361"/>
    </row>
    <row r="36" spans="1:5" s="1047" customFormat="1" ht="34.5" customHeight="1">
      <c r="A36" s="348" t="s">
        <v>54</v>
      </c>
      <c r="B36" s="76">
        <v>487665</v>
      </c>
      <c r="C36" s="359"/>
      <c r="D36" s="360"/>
      <c r="E36" s="361"/>
    </row>
    <row r="37" spans="1:5" s="1047" customFormat="1" ht="60.75" customHeight="1" thickBot="1">
      <c r="A37" s="362" t="s">
        <v>55</v>
      </c>
      <c r="B37" s="143">
        <f>B36+B35</f>
        <v>423059</v>
      </c>
      <c r="C37" s="363"/>
      <c r="D37" s="364"/>
      <c r="E37" s="365"/>
    </row>
    <row r="52" ht="39" customHeight="1"/>
    <row r="53" ht="89.25" customHeight="1"/>
    <row r="56" ht="12" customHeight="1"/>
  </sheetData>
  <mergeCells count="16">
    <mergeCell ref="A1:E1"/>
    <mergeCell ref="A2:E2"/>
    <mergeCell ref="A3:E3"/>
    <mergeCell ref="A4:E4"/>
    <mergeCell ref="A5:A7"/>
    <mergeCell ref="B5:B7"/>
    <mergeCell ref="C5:E7"/>
    <mergeCell ref="C21:E21"/>
    <mergeCell ref="C32:E32"/>
    <mergeCell ref="C33:E33"/>
    <mergeCell ref="C24:E24"/>
    <mergeCell ref="C25:E25"/>
    <mergeCell ref="C26:E26"/>
    <mergeCell ref="C27:E27"/>
    <mergeCell ref="C28:E28"/>
    <mergeCell ref="C31:E31"/>
  </mergeCells>
  <phoneticPr fontId="6" type="noConversion"/>
  <printOptions horizontalCentered="1"/>
  <pageMargins left="0.59055118110236227" right="0.59055118110236227" top="0.59055118110236227" bottom="0.78740157480314965" header="0.51181102362204722" footer="0.51181102362204722"/>
  <pageSetup paperSize="9" firstPageNumber="3" orientation="portrait" useFirstPageNumber="1" r:id="rId1"/>
  <headerFooter alignWithMargins="0">
    <oddFooter>&amp;C&amp;"細明體,標準"附&amp;"Times New Roman,標準"3-&amp;P</oddFoot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dimension ref="A1:E56"/>
  <sheetViews>
    <sheetView view="pageBreakPreview" topLeftCell="A29" zoomScaleNormal="100" zoomScaleSheetLayoutView="100" workbookViewId="0">
      <selection activeCell="G28" sqref="G28"/>
    </sheetView>
  </sheetViews>
  <sheetFormatPr defaultColWidth="9" defaultRowHeight="16.5"/>
  <cols>
    <col min="1" max="1" width="15.5" style="6" customWidth="1"/>
    <col min="2" max="2" width="30" style="450" customWidth="1"/>
    <col min="3" max="3" width="15.875" style="6" customWidth="1"/>
    <col min="4" max="4" width="15.75" style="19" customWidth="1"/>
    <col min="5" max="5" width="13.125" style="6" customWidth="1"/>
    <col min="6" max="16384" width="9" style="6"/>
  </cols>
  <sheetData>
    <row r="1" spans="1:5" ht="21">
      <c r="A1" s="1369" t="s">
        <v>40</v>
      </c>
      <c r="B1" s="1369"/>
      <c r="C1" s="1369"/>
      <c r="D1" s="1369"/>
      <c r="E1" s="1369"/>
    </row>
    <row r="2" spans="1:5" ht="21">
      <c r="A2" s="1525" t="s">
        <v>41</v>
      </c>
      <c r="B2" s="1369"/>
      <c r="C2" s="1369"/>
      <c r="D2" s="1369"/>
      <c r="E2" s="1369"/>
    </row>
    <row r="3" spans="1:5" ht="24.75" customHeight="1">
      <c r="A3" s="1621" t="s">
        <v>1158</v>
      </c>
      <c r="B3" s="1371"/>
      <c r="C3" s="1371"/>
      <c r="D3" s="1371"/>
      <c r="E3" s="1371"/>
    </row>
    <row r="4" spans="1:5" ht="24.75" customHeight="1" thickBot="1">
      <c r="A4" s="1441" t="s">
        <v>1313</v>
      </c>
      <c r="B4" s="1373"/>
      <c r="C4" s="1373"/>
      <c r="D4" s="1373"/>
      <c r="E4" s="1373"/>
    </row>
    <row r="5" spans="1:5" ht="15.75" customHeight="1">
      <c r="A5" s="1583" t="s">
        <v>1292</v>
      </c>
      <c r="B5" s="1712" t="s">
        <v>253</v>
      </c>
      <c r="C5" s="1592" t="s">
        <v>1293</v>
      </c>
      <c r="D5" s="1592" t="s">
        <v>1168</v>
      </c>
      <c r="E5" s="1589" t="s">
        <v>514</v>
      </c>
    </row>
    <row r="6" spans="1:5" ht="15.75" customHeight="1">
      <c r="A6" s="1584"/>
      <c r="B6" s="1713"/>
      <c r="C6" s="1593"/>
      <c r="D6" s="1593"/>
      <c r="E6" s="1590"/>
    </row>
    <row r="7" spans="1:5" ht="15.75" customHeight="1">
      <c r="A7" s="1585"/>
      <c r="B7" s="1714"/>
      <c r="C7" s="1594"/>
      <c r="D7" s="1594"/>
      <c r="E7" s="1591"/>
    </row>
    <row r="8" spans="1:5" ht="9" customHeight="1">
      <c r="A8" s="24"/>
      <c r="B8" s="579"/>
      <c r="C8" s="1052"/>
      <c r="D8" s="1053"/>
      <c r="E8" s="111"/>
    </row>
    <row r="9" spans="1:5" s="1035" customFormat="1" ht="24.75" customHeight="1">
      <c r="A9" s="112">
        <f>A10+A13</f>
        <v>3642859</v>
      </c>
      <c r="B9" s="113" t="s">
        <v>254</v>
      </c>
      <c r="C9" s="114">
        <f>C10+C13</f>
        <v>7047465</v>
      </c>
      <c r="D9" s="114">
        <f>D10+D13</f>
        <v>5514247</v>
      </c>
      <c r="E9" s="115">
        <f>E10+E13</f>
        <v>1533218</v>
      </c>
    </row>
    <row r="10" spans="1:5" s="1035" customFormat="1" ht="30" customHeight="1">
      <c r="A10" s="112">
        <f>SUM(A11:A12)</f>
        <v>3630194</v>
      </c>
      <c r="B10" s="116" t="s">
        <v>255</v>
      </c>
      <c r="C10" s="114">
        <f>SUM(C11:C12)</f>
        <v>7034279</v>
      </c>
      <c r="D10" s="114">
        <f>SUM(D11:D12)</f>
        <v>5500708</v>
      </c>
      <c r="E10" s="115">
        <f>SUM(E11:E12)</f>
        <v>1533571</v>
      </c>
    </row>
    <row r="11" spans="1:5" s="1047" customFormat="1" ht="30" customHeight="1">
      <c r="A11" s="117">
        <v>508277</v>
      </c>
      <c r="B11" s="118" t="s">
        <v>256</v>
      </c>
      <c r="C11" s="862">
        <v>423059</v>
      </c>
      <c r="D11" s="862">
        <v>487665</v>
      </c>
      <c r="E11" s="120">
        <f>C11-D11</f>
        <v>-64606</v>
      </c>
    </row>
    <row r="12" spans="1:5" s="1047" customFormat="1" ht="30" customHeight="1">
      <c r="A12" s="117">
        <v>3121917</v>
      </c>
      <c r="B12" s="118" t="s">
        <v>258</v>
      </c>
      <c r="C12" s="862">
        <v>6611220</v>
      </c>
      <c r="D12" s="862">
        <v>5013043</v>
      </c>
      <c r="E12" s="120">
        <f>C12-D12</f>
        <v>1598177</v>
      </c>
    </row>
    <row r="13" spans="1:5" s="1035" customFormat="1" ht="30" customHeight="1">
      <c r="A13" s="112">
        <f>SUM(A14:A14)</f>
        <v>12665</v>
      </c>
      <c r="B13" s="116" t="s">
        <v>263</v>
      </c>
      <c r="C13" s="114">
        <f>SUM(C14:C14)</f>
        <v>13186</v>
      </c>
      <c r="D13" s="114">
        <f>SUM(D14:D14)</f>
        <v>13539</v>
      </c>
      <c r="E13" s="115">
        <f>SUM(E14:E14)</f>
        <v>-353</v>
      </c>
    </row>
    <row r="14" spans="1:5" s="1047" customFormat="1" ht="30" customHeight="1">
      <c r="A14" s="117">
        <v>12665</v>
      </c>
      <c r="B14" s="118" t="s">
        <v>264</v>
      </c>
      <c r="C14" s="862">
        <v>13186</v>
      </c>
      <c r="D14" s="862">
        <v>13539</v>
      </c>
      <c r="E14" s="120">
        <f>C14-D14</f>
        <v>-353</v>
      </c>
    </row>
    <row r="15" spans="1:5" s="1047" customFormat="1" ht="30" hidden="1" customHeight="1">
      <c r="A15" s="117"/>
      <c r="B15" s="118"/>
      <c r="C15" s="862"/>
      <c r="D15" s="862"/>
      <c r="E15" s="120"/>
    </row>
    <row r="16" spans="1:5" s="1047" customFormat="1" ht="30" hidden="1" customHeight="1">
      <c r="A16" s="117"/>
      <c r="B16" s="118"/>
      <c r="C16" s="862"/>
      <c r="D16" s="862"/>
      <c r="E16" s="120"/>
    </row>
    <row r="17" spans="1:5" s="1047" customFormat="1" ht="30" hidden="1" customHeight="1">
      <c r="A17" s="117"/>
      <c r="B17" s="118"/>
      <c r="C17" s="862"/>
      <c r="D17" s="862"/>
      <c r="E17" s="120"/>
    </row>
    <row r="18" spans="1:5" s="1047" customFormat="1" ht="30" hidden="1" customHeight="1">
      <c r="A18" s="117"/>
      <c r="B18" s="118"/>
      <c r="C18" s="862"/>
      <c r="D18" s="862"/>
      <c r="E18" s="120"/>
    </row>
    <row r="19" spans="1:5" s="1047" customFormat="1" ht="30" hidden="1" customHeight="1">
      <c r="A19" s="117"/>
      <c r="B19" s="118"/>
      <c r="C19" s="862"/>
      <c r="D19" s="862"/>
      <c r="E19" s="120"/>
    </row>
    <row r="20" spans="1:5" s="1047" customFormat="1" ht="30" hidden="1" customHeight="1">
      <c r="A20" s="117"/>
      <c r="B20" s="118"/>
      <c r="C20" s="862"/>
      <c r="D20" s="862"/>
      <c r="E20" s="120"/>
    </row>
    <row r="21" spans="1:5" s="1047" customFormat="1" ht="30" hidden="1" customHeight="1">
      <c r="A21" s="117"/>
      <c r="B21" s="118"/>
      <c r="C21" s="862"/>
      <c r="D21" s="862"/>
      <c r="E21" s="120"/>
    </row>
    <row r="22" spans="1:5" s="1047" customFormat="1" ht="30" hidden="1" customHeight="1">
      <c r="A22" s="117"/>
      <c r="B22" s="118"/>
      <c r="C22" s="862"/>
      <c r="D22" s="862"/>
      <c r="E22" s="120"/>
    </row>
    <row r="23" spans="1:5" s="1047" customFormat="1" ht="30" hidden="1" customHeight="1">
      <c r="A23" s="117"/>
      <c r="B23" s="118"/>
      <c r="C23" s="862"/>
      <c r="D23" s="862"/>
      <c r="E23" s="120"/>
    </row>
    <row r="24" spans="1:5" s="1047" customFormat="1" ht="30" hidden="1" customHeight="1">
      <c r="A24" s="117"/>
      <c r="B24" s="118"/>
      <c r="C24" s="862"/>
      <c r="D24" s="862"/>
      <c r="E24" s="120"/>
    </row>
    <row r="25" spans="1:5" s="1047" customFormat="1" ht="30" hidden="1" customHeight="1">
      <c r="A25" s="117"/>
      <c r="B25" s="118"/>
      <c r="C25" s="862"/>
      <c r="D25" s="862"/>
      <c r="E25" s="120"/>
    </row>
    <row r="26" spans="1:5" s="1047" customFormat="1" ht="30" hidden="1" customHeight="1">
      <c r="A26" s="117"/>
      <c r="B26" s="118"/>
      <c r="C26" s="862"/>
      <c r="D26" s="862"/>
      <c r="E26" s="120"/>
    </row>
    <row r="27" spans="1:5" s="1047" customFormat="1" ht="23.45" hidden="1" customHeight="1">
      <c r="A27" s="117"/>
      <c r="B27" s="118"/>
      <c r="C27" s="862"/>
      <c r="D27" s="862"/>
      <c r="E27" s="120"/>
    </row>
    <row r="28" spans="1:5" s="1047" customFormat="1" ht="29.25" hidden="1" customHeight="1">
      <c r="A28" s="117"/>
      <c r="B28" s="118"/>
      <c r="C28" s="862"/>
      <c r="D28" s="862"/>
      <c r="E28" s="120"/>
    </row>
    <row r="29" spans="1:5" s="1047" customFormat="1" ht="15.75" customHeight="1">
      <c r="A29" s="117"/>
      <c r="B29" s="118"/>
      <c r="C29" s="862"/>
      <c r="D29" s="862"/>
      <c r="E29" s="120"/>
    </row>
    <row r="30" spans="1:5" s="1035" customFormat="1" ht="27.95" customHeight="1">
      <c r="A30" s="112">
        <f>A9</f>
        <v>3642859</v>
      </c>
      <c r="B30" s="113" t="s">
        <v>265</v>
      </c>
      <c r="C30" s="114">
        <f>C9</f>
        <v>7047465</v>
      </c>
      <c r="D30" s="114">
        <f>D9</f>
        <v>5514247</v>
      </c>
      <c r="E30" s="115">
        <f>E9</f>
        <v>1533218</v>
      </c>
    </row>
    <row r="31" spans="1:5" s="1035" customFormat="1" ht="15" customHeight="1">
      <c r="A31" s="112"/>
      <c r="B31" s="113"/>
      <c r="C31" s="114"/>
      <c r="D31" s="114"/>
      <c r="E31" s="115"/>
    </row>
    <row r="32" spans="1:5" s="1035" customFormat="1" ht="29.25" customHeight="1">
      <c r="A32" s="112">
        <f>A33+A37</f>
        <v>3642859</v>
      </c>
      <c r="B32" s="113" t="s">
        <v>266</v>
      </c>
      <c r="C32" s="114">
        <f>C33+C37</f>
        <v>7047465</v>
      </c>
      <c r="D32" s="114">
        <f>D33+D37</f>
        <v>5514247</v>
      </c>
      <c r="E32" s="115">
        <f>E33+E37</f>
        <v>1533218</v>
      </c>
    </row>
    <row r="33" spans="1:5" s="1035" customFormat="1" ht="28.5" customHeight="1">
      <c r="A33" s="112">
        <f>SUM(A34:A36)</f>
        <v>3392461</v>
      </c>
      <c r="B33" s="116" t="s">
        <v>267</v>
      </c>
      <c r="C33" s="114">
        <f>SUM(C34:C36)</f>
        <v>6928461</v>
      </c>
      <c r="D33" s="114">
        <f>SUM(D34:D36)</f>
        <v>5321461</v>
      </c>
      <c r="E33" s="115">
        <f>SUM(E34:E36)</f>
        <v>1607000</v>
      </c>
    </row>
    <row r="34" spans="1:5" s="1047" customFormat="1" ht="30" customHeight="1">
      <c r="A34" s="117">
        <v>3120000</v>
      </c>
      <c r="B34" s="118" t="s">
        <v>282</v>
      </c>
      <c r="C34" s="862">
        <v>6656000</v>
      </c>
      <c r="D34" s="862">
        <v>5049000</v>
      </c>
      <c r="E34" s="120">
        <f>C34-D34</f>
        <v>1607000</v>
      </c>
    </row>
    <row r="35" spans="1:5" s="1047" customFormat="1" ht="30" customHeight="1">
      <c r="A35" s="117">
        <v>49332</v>
      </c>
      <c r="B35" s="118" t="s">
        <v>268</v>
      </c>
      <c r="C35" s="862">
        <v>49332</v>
      </c>
      <c r="D35" s="862">
        <v>49332</v>
      </c>
      <c r="E35" s="130">
        <f>C35-D35</f>
        <v>0</v>
      </c>
    </row>
    <row r="36" spans="1:5" s="1047" customFormat="1" ht="30" customHeight="1">
      <c r="A36" s="117">
        <v>223129</v>
      </c>
      <c r="B36" s="118" t="s">
        <v>269</v>
      </c>
      <c r="C36" s="862">
        <v>223129</v>
      </c>
      <c r="D36" s="862">
        <v>223129</v>
      </c>
      <c r="E36" s="130">
        <f>C36-D36</f>
        <v>0</v>
      </c>
    </row>
    <row r="37" spans="1:5" s="1035" customFormat="1" ht="30" customHeight="1">
      <c r="A37" s="128">
        <f>SUM(A38:A38)</f>
        <v>250398</v>
      </c>
      <c r="B37" s="121" t="s">
        <v>271</v>
      </c>
      <c r="C37" s="129">
        <f>SUM(C38:C38)</f>
        <v>119004</v>
      </c>
      <c r="D37" s="129">
        <f>SUM(D38:D38)</f>
        <v>192786</v>
      </c>
      <c r="E37" s="115">
        <f>SUM(E38:E38)</f>
        <v>-73782</v>
      </c>
    </row>
    <row r="38" spans="1:5" s="1047" customFormat="1" ht="30" customHeight="1">
      <c r="A38" s="131">
        <v>250398</v>
      </c>
      <c r="B38" s="118" t="s">
        <v>272</v>
      </c>
      <c r="C38" s="127">
        <v>119004</v>
      </c>
      <c r="D38" s="127">
        <v>192786</v>
      </c>
      <c r="E38" s="120">
        <f>C38-D38</f>
        <v>-73782</v>
      </c>
    </row>
    <row r="39" spans="1:5" s="1035" customFormat="1" ht="22.7" customHeight="1">
      <c r="A39" s="128">
        <f>A40</f>
        <v>0</v>
      </c>
      <c r="B39" s="113" t="s">
        <v>274</v>
      </c>
      <c r="C39" s="129">
        <f t="shared" ref="C39:E40" si="0">C40</f>
        <v>0</v>
      </c>
      <c r="D39" s="129">
        <f t="shared" si="0"/>
        <v>0</v>
      </c>
      <c r="E39" s="130">
        <f t="shared" si="0"/>
        <v>0</v>
      </c>
    </row>
    <row r="40" spans="1:5" s="1035" customFormat="1" ht="30" customHeight="1">
      <c r="A40" s="128">
        <f>A41</f>
        <v>0</v>
      </c>
      <c r="B40" s="116" t="s">
        <v>326</v>
      </c>
      <c r="C40" s="129">
        <f t="shared" si="0"/>
        <v>0</v>
      </c>
      <c r="D40" s="129">
        <f t="shared" si="0"/>
        <v>0</v>
      </c>
      <c r="E40" s="130">
        <f t="shared" si="0"/>
        <v>0</v>
      </c>
    </row>
    <row r="41" spans="1:5" s="1047" customFormat="1" ht="49.35" customHeight="1">
      <c r="A41" s="131">
        <v>0</v>
      </c>
      <c r="B41" s="118" t="s">
        <v>277</v>
      </c>
      <c r="C41" s="127">
        <v>0</v>
      </c>
      <c r="D41" s="127">
        <v>0</v>
      </c>
      <c r="E41" s="122">
        <v>0</v>
      </c>
    </row>
    <row r="42" spans="1:5" s="1047" customFormat="1" ht="30" hidden="1" customHeight="1">
      <c r="A42" s="131"/>
      <c r="B42" s="118"/>
      <c r="C42" s="127"/>
      <c r="D42" s="127"/>
      <c r="E42" s="122"/>
    </row>
    <row r="43" spans="1:5" s="1047" customFormat="1" ht="30" hidden="1" customHeight="1">
      <c r="A43" s="131"/>
      <c r="B43" s="118"/>
      <c r="C43" s="127"/>
      <c r="D43" s="127"/>
      <c r="E43" s="122"/>
    </row>
    <row r="44" spans="1:5" s="1047" customFormat="1" ht="30" hidden="1" customHeight="1">
      <c r="A44" s="131"/>
      <c r="B44" s="118"/>
      <c r="C44" s="127"/>
      <c r="D44" s="127"/>
      <c r="E44" s="122"/>
    </row>
    <row r="45" spans="1:5" s="1047" customFormat="1" ht="30" hidden="1" customHeight="1">
      <c r="A45" s="131"/>
      <c r="B45" s="118"/>
      <c r="C45" s="127"/>
      <c r="D45" s="127"/>
      <c r="E45" s="122"/>
    </row>
    <row r="46" spans="1:5" s="1047" customFormat="1" ht="30" hidden="1" customHeight="1">
      <c r="A46" s="131"/>
      <c r="B46" s="118"/>
      <c r="C46" s="127"/>
      <c r="D46" s="127"/>
      <c r="E46" s="122"/>
    </row>
    <row r="47" spans="1:5" s="1047" customFormat="1" ht="30" hidden="1" customHeight="1">
      <c r="A47" s="131"/>
      <c r="B47" s="118"/>
      <c r="C47" s="127"/>
      <c r="D47" s="127"/>
      <c r="E47" s="122"/>
    </row>
    <row r="48" spans="1:5" s="1047" customFormat="1" ht="30" hidden="1" customHeight="1">
      <c r="A48" s="131"/>
      <c r="B48" s="118"/>
      <c r="C48" s="127"/>
      <c r="D48" s="127"/>
      <c r="E48" s="122"/>
    </row>
    <row r="49" spans="1:5" s="1047" customFormat="1" ht="3" hidden="1" customHeight="1">
      <c r="A49" s="131"/>
      <c r="B49" s="118"/>
      <c r="C49" s="127"/>
      <c r="D49" s="127"/>
      <c r="E49" s="122"/>
    </row>
    <row r="50" spans="1:5" s="1047" customFormat="1" ht="36.75" customHeight="1">
      <c r="A50" s="131"/>
      <c r="B50" s="118"/>
      <c r="C50" s="127"/>
      <c r="D50" s="127"/>
      <c r="E50" s="122"/>
    </row>
    <row r="51" spans="1:5" s="1047" customFormat="1" ht="18.75" customHeight="1">
      <c r="A51" s="131"/>
      <c r="B51" s="118"/>
      <c r="C51" s="127"/>
      <c r="D51" s="127"/>
      <c r="E51" s="122"/>
    </row>
    <row r="52" spans="1:5" s="1047" customFormat="1" ht="39" customHeight="1" thickBot="1">
      <c r="A52" s="123">
        <f>A32+A39</f>
        <v>3642859</v>
      </c>
      <c r="B52" s="124" t="s">
        <v>265</v>
      </c>
      <c r="C52" s="125">
        <f>C32+C39</f>
        <v>7047465</v>
      </c>
      <c r="D52" s="125">
        <f>D32+D39</f>
        <v>5514247</v>
      </c>
      <c r="E52" s="126">
        <f>E32+E39</f>
        <v>1533218</v>
      </c>
    </row>
    <row r="53" spans="1:5" ht="89.25" customHeight="1">
      <c r="A53" s="6" t="s">
        <v>593</v>
      </c>
    </row>
    <row r="56" spans="1:5" ht="12" customHeight="1"/>
  </sheetData>
  <mergeCells count="9">
    <mergeCell ref="A1:E1"/>
    <mergeCell ref="A2:E2"/>
    <mergeCell ref="A3:E3"/>
    <mergeCell ref="A4:E4"/>
    <mergeCell ref="A5:A7"/>
    <mergeCell ref="B5:B7"/>
    <mergeCell ref="C5:C7"/>
    <mergeCell ref="D5:D7"/>
    <mergeCell ref="E5:E7"/>
  </mergeCells>
  <phoneticPr fontId="6" type="noConversion"/>
  <printOptions horizontalCentered="1"/>
  <pageMargins left="0.59055118110236227" right="0.59055118110236227" top="0.59055118110236227" bottom="0.78740157480314965" header="0.51181102362204722" footer="0.51181102362204722"/>
  <pageSetup paperSize="9" firstPageNumber="4" orientation="portrait" useFirstPageNumber="1" r:id="rId1"/>
  <headerFooter alignWithMargins="0">
    <oddFooter>&amp;C&amp;"細明體,標準"附&amp;"Times New Roman,標準"3-&amp;P</oddFoot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dimension ref="A1:P52"/>
  <sheetViews>
    <sheetView view="pageBreakPreview" topLeftCell="A13" zoomScaleNormal="100" zoomScaleSheetLayoutView="100" workbookViewId="0">
      <selection activeCell="G28" sqref="G28"/>
    </sheetView>
  </sheetViews>
  <sheetFormatPr defaultColWidth="9" defaultRowHeight="16.5"/>
  <cols>
    <col min="1" max="1" width="10.5" style="2" customWidth="1"/>
    <col min="2" max="2" width="6.625" style="2" customWidth="1"/>
    <col min="3" max="3" width="20.75" style="578" customWidth="1"/>
    <col min="4" max="4" width="10.5" style="155" customWidth="1"/>
    <col min="5" max="5" width="6.625" style="278" customWidth="1"/>
    <col min="6" max="6" width="9.75" style="2" customWidth="1"/>
    <col min="7" max="7" width="6.625" style="2" customWidth="1"/>
    <col min="8" max="8" width="10.5" style="2" customWidth="1"/>
    <col min="9" max="9" width="7.75" style="2" customWidth="1"/>
    <col min="10" max="10" width="9" style="598"/>
    <col min="11" max="13" width="9.625" style="2" hidden="1" customWidth="1"/>
    <col min="14" max="16384" width="9" style="2"/>
  </cols>
  <sheetData>
    <row r="1" spans="1:13" ht="21" customHeight="1">
      <c r="A1" s="1369" t="s">
        <v>916</v>
      </c>
      <c r="B1" s="1369"/>
      <c r="C1" s="1369"/>
      <c r="D1" s="1369"/>
      <c r="E1" s="1369"/>
      <c r="F1" s="1369"/>
      <c r="G1" s="1369"/>
      <c r="H1" s="1369"/>
      <c r="I1" s="1369"/>
    </row>
    <row r="2" spans="1:13" ht="21" customHeight="1">
      <c r="A2" s="1369" t="s">
        <v>915</v>
      </c>
      <c r="B2" s="1369"/>
      <c r="C2" s="1369"/>
      <c r="D2" s="1369"/>
      <c r="E2" s="1369"/>
      <c r="F2" s="1369"/>
      <c r="G2" s="1369"/>
      <c r="H2" s="1369"/>
      <c r="I2" s="1369"/>
    </row>
    <row r="3" spans="1:13" ht="24.75" customHeight="1">
      <c r="A3" s="1621" t="s">
        <v>1159</v>
      </c>
      <c r="B3" s="1371"/>
      <c r="C3" s="1371"/>
      <c r="D3" s="1371"/>
      <c r="E3" s="1371"/>
      <c r="F3" s="1371"/>
      <c r="G3" s="1371"/>
      <c r="H3" s="1371"/>
      <c r="I3" s="1371"/>
    </row>
    <row r="4" spans="1:13" ht="24.95" customHeight="1" thickBot="1">
      <c r="A4" s="1441" t="s">
        <v>1314</v>
      </c>
      <c r="B4" s="1373"/>
      <c r="C4" s="1373"/>
      <c r="D4" s="1373"/>
      <c r="E4" s="1373"/>
      <c r="F4" s="1373"/>
      <c r="G4" s="1373"/>
      <c r="H4" s="1373"/>
      <c r="I4" s="1373"/>
      <c r="J4" s="598" t="s">
        <v>1027</v>
      </c>
    </row>
    <row r="5" spans="1:13" ht="21" customHeight="1">
      <c r="A5" s="1700" t="s">
        <v>248</v>
      </c>
      <c r="B5" s="1375"/>
      <c r="C5" s="1376" t="s">
        <v>15</v>
      </c>
      <c r="D5" s="1375" t="s">
        <v>249</v>
      </c>
      <c r="E5" s="1375"/>
      <c r="F5" s="1375" t="s">
        <v>250</v>
      </c>
      <c r="G5" s="1375"/>
      <c r="H5" s="1376" t="s">
        <v>1106</v>
      </c>
      <c r="I5" s="1702"/>
    </row>
    <row r="6" spans="1:13" ht="19.5" customHeight="1">
      <c r="A6" s="525" t="s">
        <v>914</v>
      </c>
      <c r="B6" s="1267" t="s">
        <v>252</v>
      </c>
      <c r="C6" s="1701"/>
      <c r="D6" s="526" t="s">
        <v>914</v>
      </c>
      <c r="E6" s="527" t="s">
        <v>252</v>
      </c>
      <c r="F6" s="1267" t="s">
        <v>914</v>
      </c>
      <c r="G6" s="1267" t="s">
        <v>252</v>
      </c>
      <c r="H6" s="1267" t="s">
        <v>914</v>
      </c>
      <c r="I6" s="528" t="s">
        <v>252</v>
      </c>
    </row>
    <row r="7" spans="1:13" ht="1.1499999999999999" customHeight="1">
      <c r="A7" s="529"/>
      <c r="B7" s="165"/>
      <c r="C7" s="164"/>
      <c r="D7" s="530"/>
      <c r="E7" s="531"/>
      <c r="F7" s="165"/>
      <c r="G7" s="165"/>
      <c r="H7" s="165"/>
      <c r="I7" s="532"/>
    </row>
    <row r="8" spans="1:13" s="1035" customFormat="1" ht="21" customHeight="1">
      <c r="A8" s="555">
        <v>9395080</v>
      </c>
      <c r="B8" s="533">
        <v>100</v>
      </c>
      <c r="C8" s="534" t="s">
        <v>16</v>
      </c>
      <c r="D8" s="535">
        <f>D12+D9+D15</f>
        <v>10665319</v>
      </c>
      <c r="E8" s="533">
        <v>100</v>
      </c>
      <c r="F8" s="547">
        <f>F12+F9+F15</f>
        <v>10998870</v>
      </c>
      <c r="G8" s="538">
        <v>100</v>
      </c>
      <c r="H8" s="536">
        <f>D8-F8</f>
        <v>-333551</v>
      </c>
      <c r="I8" s="587">
        <f>ROUND(H8/F8*100,2)</f>
        <v>-3.03</v>
      </c>
      <c r="J8" s="815"/>
      <c r="K8" s="595">
        <f t="shared" ref="K8:K39" si="0">ROUND(A8/$A$8*100,4)</f>
        <v>100</v>
      </c>
      <c r="L8" s="595">
        <f t="shared" ref="L8:L39" si="1">ROUND(D8/$D$8*100,4)</f>
        <v>100</v>
      </c>
      <c r="M8" s="595">
        <f t="shared" ref="M8:M39" si="2">ROUND(F8/$F$8*100,4)</f>
        <v>100</v>
      </c>
    </row>
    <row r="9" spans="1:13" s="1035" customFormat="1" ht="21" customHeight="1">
      <c r="A9" s="555">
        <v>298172</v>
      </c>
      <c r="B9" s="538">
        <f>ROUND(A9/$A$8*100,2)</f>
        <v>3.17</v>
      </c>
      <c r="C9" s="534" t="s">
        <v>911</v>
      </c>
      <c r="D9" s="535">
        <f>D11+D10</f>
        <v>413082</v>
      </c>
      <c r="E9" s="538">
        <f>ROUND(D9/$D$8*100,2)</f>
        <v>3.87</v>
      </c>
      <c r="F9" s="547">
        <f>F11+F10</f>
        <v>248751</v>
      </c>
      <c r="G9" s="538">
        <f>ROUND(F9/$F$8*100,2)</f>
        <v>2.2599999999999998</v>
      </c>
      <c r="H9" s="536">
        <f>D9-F9</f>
        <v>164331</v>
      </c>
      <c r="I9" s="1165">
        <f>ROUND(H9/F9*100,2)</f>
        <v>66.06</v>
      </c>
      <c r="J9" s="815"/>
      <c r="K9" s="595">
        <f t="shared" si="0"/>
        <v>3.1737000000000002</v>
      </c>
      <c r="L9" s="595">
        <f t="shared" si="1"/>
        <v>3.8731</v>
      </c>
      <c r="M9" s="595">
        <f t="shared" si="2"/>
        <v>2.2616000000000001</v>
      </c>
    </row>
    <row r="10" spans="1:13" s="1047" customFormat="1" ht="21" customHeight="1">
      <c r="A10" s="557">
        <v>83662</v>
      </c>
      <c r="B10" s="344">
        <f>ROUND(A10/$A$8*100,2)</f>
        <v>0.89</v>
      </c>
      <c r="C10" s="541" t="s">
        <v>994</v>
      </c>
      <c r="D10" s="545">
        <v>127109</v>
      </c>
      <c r="E10" s="1076">
        <f t="shared" ref="E10:E39" si="3">ROUND(D10/$D$8*100,2)</f>
        <v>1.19</v>
      </c>
      <c r="F10" s="542">
        <v>103924</v>
      </c>
      <c r="G10" s="344">
        <f>ROUND(F10/$F$8*100,2)</f>
        <v>0.94</v>
      </c>
      <c r="H10" s="546">
        <f t="shared" ref="H10:H39" si="4">D10-F10</f>
        <v>23185</v>
      </c>
      <c r="I10" s="1166">
        <f t="shared" ref="I10:I14" si="5">ROUND(H10/F10*100,2)</f>
        <v>22.31</v>
      </c>
      <c r="K10" s="582">
        <f t="shared" si="0"/>
        <v>0.89049999999999996</v>
      </c>
      <c r="L10" s="582">
        <f t="shared" si="1"/>
        <v>1.1918</v>
      </c>
      <c r="M10" s="582">
        <f t="shared" si="2"/>
        <v>0.94489999999999996</v>
      </c>
    </row>
    <row r="11" spans="1:13" s="1047" customFormat="1" ht="21" customHeight="1">
      <c r="A11" s="557">
        <v>214510</v>
      </c>
      <c r="B11" s="344">
        <f t="shared" ref="B11:B39" si="6">ROUND(A11/$A$8*100,2)</f>
        <v>2.2799999999999998</v>
      </c>
      <c r="C11" s="541" t="s">
        <v>1026</v>
      </c>
      <c r="D11" s="545">
        <v>285973</v>
      </c>
      <c r="E11" s="344">
        <f t="shared" si="3"/>
        <v>2.68</v>
      </c>
      <c r="F11" s="542">
        <v>144827</v>
      </c>
      <c r="G11" s="344">
        <f t="shared" ref="G11:G39" si="7">ROUND(F11/$F$8*100,2)</f>
        <v>1.32</v>
      </c>
      <c r="H11" s="546">
        <f t="shared" si="4"/>
        <v>141146</v>
      </c>
      <c r="I11" s="311">
        <f t="shared" si="5"/>
        <v>97.46</v>
      </c>
      <c r="J11" s="814"/>
      <c r="K11" s="571">
        <f t="shared" si="0"/>
        <v>2.2831999999999999</v>
      </c>
      <c r="L11" s="571">
        <f t="shared" si="1"/>
        <v>2.6812999999999998</v>
      </c>
      <c r="M11" s="571">
        <f t="shared" si="2"/>
        <v>1.3167</v>
      </c>
    </row>
    <row r="12" spans="1:13" s="1035" customFormat="1" ht="21" customHeight="1">
      <c r="A12" s="555">
        <v>9052079</v>
      </c>
      <c r="B12" s="538">
        <f t="shared" si="6"/>
        <v>96.35</v>
      </c>
      <c r="C12" s="534" t="s">
        <v>1025</v>
      </c>
      <c r="D12" s="535">
        <f>D14+D13</f>
        <v>10194366</v>
      </c>
      <c r="E12" s="538">
        <f t="shared" si="3"/>
        <v>95.58</v>
      </c>
      <c r="F12" s="547">
        <f>F14+F13</f>
        <v>10606451</v>
      </c>
      <c r="G12" s="538">
        <f t="shared" si="7"/>
        <v>96.43</v>
      </c>
      <c r="H12" s="536">
        <f t="shared" si="4"/>
        <v>-412085</v>
      </c>
      <c r="I12" s="315">
        <f t="shared" si="5"/>
        <v>-3.89</v>
      </c>
      <c r="J12" s="815"/>
      <c r="K12" s="595">
        <f t="shared" si="0"/>
        <v>96.349100000000007</v>
      </c>
      <c r="L12" s="595">
        <f t="shared" si="1"/>
        <v>95.584299999999999</v>
      </c>
      <c r="M12" s="595">
        <f t="shared" si="2"/>
        <v>96.432199999999995</v>
      </c>
    </row>
    <row r="13" spans="1:13" s="1047" customFormat="1" ht="21" customHeight="1">
      <c r="A13" s="557">
        <v>8953048</v>
      </c>
      <c r="B13" s="344">
        <f t="shared" si="6"/>
        <v>95.3</v>
      </c>
      <c r="C13" s="541" t="s">
        <v>992</v>
      </c>
      <c r="D13" s="545">
        <v>10194366</v>
      </c>
      <c r="E13" s="600">
        <f t="shared" si="3"/>
        <v>95.58</v>
      </c>
      <c r="F13" s="542">
        <v>10566599</v>
      </c>
      <c r="G13" s="344">
        <f t="shared" si="7"/>
        <v>96.07</v>
      </c>
      <c r="H13" s="546">
        <f t="shared" si="4"/>
        <v>-372233</v>
      </c>
      <c r="I13" s="311">
        <f t="shared" si="5"/>
        <v>-3.52</v>
      </c>
      <c r="K13" s="582">
        <f t="shared" si="0"/>
        <v>95.295100000000005</v>
      </c>
      <c r="L13" s="582">
        <f t="shared" si="1"/>
        <v>95.584299999999999</v>
      </c>
      <c r="M13" s="582">
        <f t="shared" si="2"/>
        <v>96.069900000000004</v>
      </c>
    </row>
    <row r="14" spans="1:13" s="1047" customFormat="1" ht="21" customHeight="1">
      <c r="A14" s="557">
        <v>99032</v>
      </c>
      <c r="B14" s="344">
        <f t="shared" si="6"/>
        <v>1.05</v>
      </c>
      <c r="C14" s="556" t="s">
        <v>903</v>
      </c>
      <c r="D14" s="542">
        <v>0</v>
      </c>
      <c r="E14" s="344">
        <f t="shared" si="3"/>
        <v>0</v>
      </c>
      <c r="F14" s="542">
        <f>41852-2000</f>
        <v>39852</v>
      </c>
      <c r="G14" s="344">
        <f t="shared" si="7"/>
        <v>0.36</v>
      </c>
      <c r="H14" s="546">
        <f t="shared" si="4"/>
        <v>-39852</v>
      </c>
      <c r="I14" s="311">
        <f t="shared" si="5"/>
        <v>-100</v>
      </c>
      <c r="J14" s="814"/>
      <c r="K14" s="571">
        <f t="shared" si="0"/>
        <v>1.0541</v>
      </c>
      <c r="L14" s="571">
        <f t="shared" si="1"/>
        <v>0</v>
      </c>
      <c r="M14" s="571">
        <f t="shared" si="2"/>
        <v>0.36230000000000001</v>
      </c>
    </row>
    <row r="15" spans="1:13" s="1035" customFormat="1" ht="21" customHeight="1">
      <c r="A15" s="300">
        <v>44828</v>
      </c>
      <c r="B15" s="533">
        <f t="shared" si="6"/>
        <v>0.48</v>
      </c>
      <c r="C15" s="534" t="s">
        <v>109</v>
      </c>
      <c r="D15" s="547">
        <f>+D16+D17</f>
        <v>57871</v>
      </c>
      <c r="E15" s="538">
        <f t="shared" si="3"/>
        <v>0.54</v>
      </c>
      <c r="F15" s="535">
        <f>+F16+F17</f>
        <v>143668</v>
      </c>
      <c r="G15" s="538">
        <f t="shared" si="7"/>
        <v>1.31</v>
      </c>
      <c r="H15" s="536">
        <f>D15-F15</f>
        <v>-85797</v>
      </c>
      <c r="I15" s="315">
        <f>ROUND(H15/F15*100,2)</f>
        <v>-59.72</v>
      </c>
      <c r="J15" s="815"/>
      <c r="K15" s="595">
        <f t="shared" si="0"/>
        <v>0.47710000000000002</v>
      </c>
      <c r="L15" s="595">
        <f t="shared" si="1"/>
        <v>0.54259999999999997</v>
      </c>
      <c r="M15" s="595">
        <f t="shared" si="2"/>
        <v>1.3062</v>
      </c>
    </row>
    <row r="16" spans="1:13" s="1160" customFormat="1" ht="21" customHeight="1">
      <c r="A16" s="557">
        <v>31000</v>
      </c>
      <c r="B16" s="540">
        <f t="shared" si="6"/>
        <v>0.33</v>
      </c>
      <c r="C16" s="559" t="s">
        <v>110</v>
      </c>
      <c r="D16" s="542">
        <v>0</v>
      </c>
      <c r="E16" s="344">
        <f t="shared" si="3"/>
        <v>0</v>
      </c>
      <c r="F16" s="542">
        <v>0</v>
      </c>
      <c r="G16" s="344">
        <f t="shared" si="7"/>
        <v>0</v>
      </c>
      <c r="H16" s="542">
        <f t="shared" si="4"/>
        <v>0</v>
      </c>
      <c r="I16" s="1166">
        <v>0</v>
      </c>
      <c r="J16" s="814"/>
      <c r="K16" s="571">
        <f t="shared" si="0"/>
        <v>0.33</v>
      </c>
      <c r="L16" s="571">
        <f t="shared" si="1"/>
        <v>0</v>
      </c>
      <c r="M16" s="571">
        <f t="shared" si="2"/>
        <v>0</v>
      </c>
    </row>
    <row r="17" spans="1:13" s="1164" customFormat="1" ht="21" customHeight="1">
      <c r="A17" s="557">
        <v>13828</v>
      </c>
      <c r="B17" s="344">
        <f t="shared" ref="B17" si="8">ROUND(A17/$A$8*100,2)</f>
        <v>0.15</v>
      </c>
      <c r="C17" s="559" t="s">
        <v>623</v>
      </c>
      <c r="D17" s="542">
        <v>57871</v>
      </c>
      <c r="E17" s="344">
        <f t="shared" si="3"/>
        <v>0.54</v>
      </c>
      <c r="F17" s="542">
        <v>143668</v>
      </c>
      <c r="G17" s="344">
        <f t="shared" si="7"/>
        <v>1.31</v>
      </c>
      <c r="H17" s="546">
        <f t="shared" si="4"/>
        <v>-85797</v>
      </c>
      <c r="I17" s="311">
        <f>ROUND(H17/F17*100,2)</f>
        <v>-59.72</v>
      </c>
      <c r="J17" s="814"/>
      <c r="K17" s="571"/>
      <c r="L17" s="571"/>
      <c r="M17" s="571"/>
    </row>
    <row r="18" spans="1:13" s="1035" customFormat="1" ht="21" customHeight="1">
      <c r="A18" s="555">
        <v>9415139</v>
      </c>
      <c r="B18" s="538">
        <f t="shared" si="6"/>
        <v>100.21</v>
      </c>
      <c r="C18" s="534" t="s">
        <v>899</v>
      </c>
      <c r="D18" s="535">
        <f>D21+D25+D19</f>
        <v>10679277</v>
      </c>
      <c r="E18" s="538">
        <f t="shared" si="3"/>
        <v>100.13</v>
      </c>
      <c r="F18" s="547">
        <f>F21+F25+F19</f>
        <v>11010971</v>
      </c>
      <c r="G18" s="538">
        <f t="shared" si="7"/>
        <v>100.11</v>
      </c>
      <c r="H18" s="536">
        <f t="shared" si="4"/>
        <v>-331694</v>
      </c>
      <c r="I18" s="315">
        <f t="shared" ref="I18:I38" si="9">ROUND(H18/F18*100,2)</f>
        <v>-3.01</v>
      </c>
      <c r="J18" s="815"/>
      <c r="K18" s="595">
        <f t="shared" si="0"/>
        <v>100.2135</v>
      </c>
      <c r="L18" s="595">
        <f t="shared" si="1"/>
        <v>100.1309</v>
      </c>
      <c r="M18" s="595">
        <f t="shared" si="2"/>
        <v>100.11</v>
      </c>
    </row>
    <row r="19" spans="1:13" s="1035" customFormat="1" ht="21" customHeight="1">
      <c r="A19" s="555">
        <v>58</v>
      </c>
      <c r="B19" s="538">
        <f t="shared" si="6"/>
        <v>0</v>
      </c>
      <c r="C19" s="534" t="s">
        <v>896</v>
      </c>
      <c r="D19" s="535">
        <f>+D20</f>
        <v>9</v>
      </c>
      <c r="E19" s="538">
        <f t="shared" si="3"/>
        <v>0</v>
      </c>
      <c r="F19" s="547">
        <f>+F20</f>
        <v>7</v>
      </c>
      <c r="G19" s="538">
        <f t="shared" si="7"/>
        <v>0</v>
      </c>
      <c r="H19" s="547">
        <f t="shared" si="4"/>
        <v>2</v>
      </c>
      <c r="I19" s="1165">
        <f t="shared" si="9"/>
        <v>28.57</v>
      </c>
      <c r="J19" s="815"/>
      <c r="K19" s="595">
        <f t="shared" si="0"/>
        <v>5.9999999999999995E-4</v>
      </c>
      <c r="L19" s="595">
        <f t="shared" si="1"/>
        <v>1E-4</v>
      </c>
      <c r="M19" s="595">
        <f t="shared" si="2"/>
        <v>1E-4</v>
      </c>
    </row>
    <row r="20" spans="1:13" s="1047" customFormat="1" ht="21" customHeight="1">
      <c r="A20" s="557">
        <v>58</v>
      </c>
      <c r="B20" s="344">
        <f t="shared" si="6"/>
        <v>0</v>
      </c>
      <c r="C20" s="541" t="s">
        <v>895</v>
      </c>
      <c r="D20" s="545">
        <v>9</v>
      </c>
      <c r="E20" s="344">
        <f t="shared" si="3"/>
        <v>0</v>
      </c>
      <c r="F20" s="542">
        <v>7</v>
      </c>
      <c r="G20" s="538">
        <f t="shared" si="7"/>
        <v>0</v>
      </c>
      <c r="H20" s="542">
        <f t="shared" si="4"/>
        <v>2</v>
      </c>
      <c r="I20" s="1166">
        <f t="shared" si="9"/>
        <v>28.57</v>
      </c>
      <c r="J20" s="814"/>
      <c r="K20" s="571">
        <f t="shared" si="0"/>
        <v>5.9999999999999995E-4</v>
      </c>
      <c r="L20" s="571">
        <f t="shared" si="1"/>
        <v>1E-4</v>
      </c>
      <c r="M20" s="571">
        <f t="shared" si="2"/>
        <v>1E-4</v>
      </c>
    </row>
    <row r="21" spans="1:13" s="1047" customFormat="1" ht="21" customHeight="1">
      <c r="A21" s="555">
        <v>8573169</v>
      </c>
      <c r="B21" s="538">
        <f t="shared" si="6"/>
        <v>91.25</v>
      </c>
      <c r="C21" s="534" t="s">
        <v>1024</v>
      </c>
      <c r="D21" s="535">
        <f>+D22+D24+D23</f>
        <v>9280987</v>
      </c>
      <c r="E21" s="538">
        <f t="shared" si="3"/>
        <v>87.02</v>
      </c>
      <c r="F21" s="547">
        <f>+F22+F24+F23</f>
        <v>9848442</v>
      </c>
      <c r="G21" s="538">
        <f t="shared" si="7"/>
        <v>89.54</v>
      </c>
      <c r="H21" s="314">
        <f t="shared" si="4"/>
        <v>-567455</v>
      </c>
      <c r="I21" s="315">
        <f t="shared" si="9"/>
        <v>-5.76</v>
      </c>
      <c r="J21" s="814"/>
      <c r="K21" s="571">
        <f t="shared" si="0"/>
        <v>91.2517</v>
      </c>
      <c r="L21" s="571">
        <f t="shared" si="1"/>
        <v>87.020200000000003</v>
      </c>
      <c r="M21" s="571">
        <f t="shared" si="2"/>
        <v>89.540499999999994</v>
      </c>
    </row>
    <row r="22" spans="1:13" s="1047" customFormat="1" ht="21" customHeight="1">
      <c r="A22" s="557">
        <v>7095379</v>
      </c>
      <c r="B22" s="344">
        <f t="shared" si="6"/>
        <v>75.52</v>
      </c>
      <c r="C22" s="541" t="s">
        <v>1023</v>
      </c>
      <c r="D22" s="545">
        <v>7664166</v>
      </c>
      <c r="E22" s="344">
        <f t="shared" si="3"/>
        <v>71.86</v>
      </c>
      <c r="F22" s="542">
        <v>9754202</v>
      </c>
      <c r="G22" s="344">
        <f t="shared" si="7"/>
        <v>88.68</v>
      </c>
      <c r="H22" s="310">
        <f t="shared" si="4"/>
        <v>-2090036</v>
      </c>
      <c r="I22" s="311">
        <f t="shared" si="9"/>
        <v>-21.43</v>
      </c>
      <c r="J22" s="814"/>
      <c r="K22" s="571">
        <f t="shared" si="0"/>
        <v>75.522300000000001</v>
      </c>
      <c r="L22" s="571">
        <f t="shared" si="1"/>
        <v>71.860600000000005</v>
      </c>
      <c r="M22" s="571">
        <f t="shared" si="2"/>
        <v>88.683700000000002</v>
      </c>
    </row>
    <row r="23" spans="1:13" s="1161" customFormat="1" ht="21" customHeight="1">
      <c r="A23" s="539">
        <v>1453745</v>
      </c>
      <c r="B23" s="540">
        <f t="shared" si="6"/>
        <v>15.47</v>
      </c>
      <c r="C23" s="541" t="s">
        <v>114</v>
      </c>
      <c r="D23" s="542">
        <f>1578402+5799</f>
        <v>1584201</v>
      </c>
      <c r="E23" s="344">
        <f t="shared" si="3"/>
        <v>14.85</v>
      </c>
      <c r="F23" s="542">
        <v>0</v>
      </c>
      <c r="G23" s="344">
        <f t="shared" si="7"/>
        <v>0</v>
      </c>
      <c r="H23" s="542">
        <f t="shared" si="4"/>
        <v>1584201</v>
      </c>
      <c r="I23" s="311" t="s">
        <v>1378</v>
      </c>
      <c r="K23" s="582">
        <f t="shared" si="0"/>
        <v>15.4735</v>
      </c>
      <c r="L23" s="582">
        <f t="shared" si="1"/>
        <v>14.8538</v>
      </c>
      <c r="M23" s="582">
        <f t="shared" si="2"/>
        <v>0</v>
      </c>
    </row>
    <row r="24" spans="1:13" s="1047" customFormat="1" ht="21" customHeight="1">
      <c r="A24" s="557">
        <v>24046</v>
      </c>
      <c r="B24" s="344">
        <f t="shared" si="6"/>
        <v>0.26</v>
      </c>
      <c r="C24" s="541" t="s">
        <v>1022</v>
      </c>
      <c r="D24" s="542">
        <v>32620</v>
      </c>
      <c r="E24" s="344">
        <f t="shared" si="3"/>
        <v>0.31</v>
      </c>
      <c r="F24" s="542">
        <v>94240</v>
      </c>
      <c r="G24" s="344">
        <f t="shared" si="7"/>
        <v>0.86</v>
      </c>
      <c r="H24" s="310">
        <f t="shared" si="4"/>
        <v>-61620</v>
      </c>
      <c r="I24" s="311">
        <f t="shared" si="9"/>
        <v>-65.39</v>
      </c>
      <c r="J24" s="814"/>
      <c r="K24" s="571">
        <f t="shared" si="0"/>
        <v>0.25590000000000002</v>
      </c>
      <c r="L24" s="571">
        <f t="shared" si="1"/>
        <v>0.30590000000000001</v>
      </c>
      <c r="M24" s="571">
        <f t="shared" si="2"/>
        <v>0.85680000000000001</v>
      </c>
    </row>
    <row r="25" spans="1:13" s="1035" customFormat="1" ht="21" customHeight="1">
      <c r="A25" s="555">
        <v>841912</v>
      </c>
      <c r="B25" s="538">
        <f t="shared" si="6"/>
        <v>8.9600000000000009</v>
      </c>
      <c r="C25" s="534" t="s">
        <v>888</v>
      </c>
      <c r="D25" s="535">
        <f>SUM(D26:D26)</f>
        <v>1398281</v>
      </c>
      <c r="E25" s="538">
        <f t="shared" si="3"/>
        <v>13.11</v>
      </c>
      <c r="F25" s="547">
        <f>SUM(F26:F26)</f>
        <v>1162522</v>
      </c>
      <c r="G25" s="538">
        <f t="shared" si="7"/>
        <v>10.57</v>
      </c>
      <c r="H25" s="314">
        <f t="shared" si="4"/>
        <v>235759</v>
      </c>
      <c r="I25" s="315">
        <f t="shared" si="9"/>
        <v>20.28</v>
      </c>
      <c r="J25" s="815"/>
      <c r="K25" s="595">
        <f t="shared" si="0"/>
        <v>8.9611999999999998</v>
      </c>
      <c r="L25" s="595">
        <f t="shared" si="1"/>
        <v>13.1105</v>
      </c>
      <c r="M25" s="595">
        <f t="shared" si="2"/>
        <v>10.5695</v>
      </c>
    </row>
    <row r="26" spans="1:13" s="1047" customFormat="1" ht="21" customHeight="1">
      <c r="A26" s="557">
        <v>841912</v>
      </c>
      <c r="B26" s="344">
        <f t="shared" si="6"/>
        <v>8.9600000000000009</v>
      </c>
      <c r="C26" s="541" t="s">
        <v>1021</v>
      </c>
      <c r="D26" s="545">
        <f>1404080-5799</f>
        <v>1398281</v>
      </c>
      <c r="E26" s="344">
        <f t="shared" si="3"/>
        <v>13.11</v>
      </c>
      <c r="F26" s="542">
        <f>1164522-2000</f>
        <v>1162522</v>
      </c>
      <c r="G26" s="344">
        <f t="shared" si="7"/>
        <v>10.57</v>
      </c>
      <c r="H26" s="310">
        <f t="shared" si="4"/>
        <v>235759</v>
      </c>
      <c r="I26" s="311">
        <f t="shared" si="9"/>
        <v>20.28</v>
      </c>
      <c r="J26" s="814"/>
      <c r="K26" s="571">
        <f t="shared" si="0"/>
        <v>8.9611999999999998</v>
      </c>
      <c r="L26" s="571">
        <f t="shared" si="1"/>
        <v>13.1105</v>
      </c>
      <c r="M26" s="571">
        <f t="shared" si="2"/>
        <v>10.5695</v>
      </c>
    </row>
    <row r="27" spans="1:13" s="1035" customFormat="1" ht="21" customHeight="1">
      <c r="A27" s="300">
        <v>-20060</v>
      </c>
      <c r="B27" s="533">
        <f t="shared" si="6"/>
        <v>-0.21</v>
      </c>
      <c r="C27" s="712" t="s">
        <v>886</v>
      </c>
      <c r="D27" s="314">
        <f>D8-D18</f>
        <v>-13958</v>
      </c>
      <c r="E27" s="533">
        <f t="shared" si="3"/>
        <v>-0.13</v>
      </c>
      <c r="F27" s="314">
        <f>F8-F18</f>
        <v>-12101</v>
      </c>
      <c r="G27" s="533">
        <f t="shared" si="7"/>
        <v>-0.11</v>
      </c>
      <c r="H27" s="314">
        <f t="shared" si="4"/>
        <v>-1857</v>
      </c>
      <c r="I27" s="315">
        <f t="shared" si="9"/>
        <v>15.35</v>
      </c>
      <c r="J27" s="815"/>
      <c r="K27" s="595">
        <f t="shared" si="0"/>
        <v>-0.2135</v>
      </c>
      <c r="L27" s="595">
        <f t="shared" si="1"/>
        <v>-0.13089999999999999</v>
      </c>
      <c r="M27" s="595">
        <f t="shared" si="2"/>
        <v>-0.11</v>
      </c>
    </row>
    <row r="28" spans="1:13" s="1035" customFormat="1" ht="21" customHeight="1">
      <c r="A28" s="555">
        <v>20079</v>
      </c>
      <c r="B28" s="538">
        <f t="shared" si="6"/>
        <v>0.21</v>
      </c>
      <c r="C28" s="534" t="s">
        <v>885</v>
      </c>
      <c r="D28" s="565">
        <f>+D31+D29</f>
        <v>13958</v>
      </c>
      <c r="E28" s="538">
        <f t="shared" si="3"/>
        <v>0.13</v>
      </c>
      <c r="F28" s="565">
        <f>+F31+F29</f>
        <v>12101</v>
      </c>
      <c r="G28" s="538">
        <f t="shared" si="7"/>
        <v>0.11</v>
      </c>
      <c r="H28" s="585">
        <f t="shared" si="4"/>
        <v>1857</v>
      </c>
      <c r="I28" s="315">
        <f t="shared" si="9"/>
        <v>15.35</v>
      </c>
      <c r="J28" s="815"/>
      <c r="K28" s="595">
        <f t="shared" si="0"/>
        <v>0.2137</v>
      </c>
      <c r="L28" s="595">
        <f t="shared" si="1"/>
        <v>0.13089999999999999</v>
      </c>
      <c r="M28" s="595">
        <f t="shared" si="2"/>
        <v>0.11</v>
      </c>
    </row>
    <row r="29" spans="1:13" s="1035" customFormat="1" ht="21" customHeight="1">
      <c r="A29" s="555">
        <v>20</v>
      </c>
      <c r="B29" s="538">
        <f t="shared" si="6"/>
        <v>0</v>
      </c>
      <c r="C29" s="534" t="s">
        <v>119</v>
      </c>
      <c r="D29" s="547">
        <f>+D30</f>
        <v>24</v>
      </c>
      <c r="E29" s="304">
        <f t="shared" si="3"/>
        <v>0</v>
      </c>
      <c r="F29" s="547">
        <f>+F30</f>
        <v>24</v>
      </c>
      <c r="G29" s="538">
        <f t="shared" si="7"/>
        <v>0</v>
      </c>
      <c r="H29" s="547">
        <f t="shared" si="4"/>
        <v>0</v>
      </c>
      <c r="I29" s="1165">
        <f t="shared" si="9"/>
        <v>0</v>
      </c>
      <c r="K29" s="595">
        <f t="shared" si="0"/>
        <v>2.0000000000000001E-4</v>
      </c>
      <c r="L29" s="595">
        <f t="shared" si="1"/>
        <v>2.0000000000000001E-4</v>
      </c>
      <c r="M29" s="595">
        <f t="shared" si="2"/>
        <v>2.0000000000000001E-4</v>
      </c>
    </row>
    <row r="30" spans="1:13" s="1047" customFormat="1" ht="21" customHeight="1">
      <c r="A30" s="557">
        <v>20</v>
      </c>
      <c r="B30" s="304">
        <f t="shared" si="6"/>
        <v>0</v>
      </c>
      <c r="C30" s="541" t="s">
        <v>120</v>
      </c>
      <c r="D30" s="542">
        <v>24</v>
      </c>
      <c r="E30" s="307">
        <f t="shared" si="3"/>
        <v>0</v>
      </c>
      <c r="F30" s="542">
        <v>24</v>
      </c>
      <c r="G30" s="307">
        <f t="shared" si="7"/>
        <v>0</v>
      </c>
      <c r="H30" s="542">
        <f t="shared" si="4"/>
        <v>0</v>
      </c>
      <c r="I30" s="1166">
        <f t="shared" si="9"/>
        <v>0</v>
      </c>
      <c r="K30" s="571">
        <f t="shared" si="0"/>
        <v>2.0000000000000001E-4</v>
      </c>
      <c r="L30" s="571">
        <f t="shared" si="1"/>
        <v>2.0000000000000001E-4</v>
      </c>
      <c r="M30" s="571">
        <f t="shared" si="2"/>
        <v>2.0000000000000001E-4</v>
      </c>
    </row>
    <row r="31" spans="1:13" s="1035" customFormat="1" ht="21" customHeight="1">
      <c r="A31" s="555">
        <v>20059</v>
      </c>
      <c r="B31" s="538">
        <f t="shared" si="6"/>
        <v>0.21</v>
      </c>
      <c r="C31" s="534" t="s">
        <v>1020</v>
      </c>
      <c r="D31" s="565">
        <f>+D32+D33+D34</f>
        <v>13934</v>
      </c>
      <c r="E31" s="538">
        <f t="shared" si="3"/>
        <v>0.13</v>
      </c>
      <c r="F31" s="565">
        <f>+F32+F33+F34</f>
        <v>12077</v>
      </c>
      <c r="G31" s="538">
        <f t="shared" si="7"/>
        <v>0.11</v>
      </c>
      <c r="H31" s="585">
        <f t="shared" si="4"/>
        <v>1857</v>
      </c>
      <c r="I31" s="315">
        <f t="shared" si="9"/>
        <v>15.38</v>
      </c>
      <c r="J31" s="815"/>
      <c r="K31" s="595">
        <f t="shared" si="0"/>
        <v>0.2135</v>
      </c>
      <c r="L31" s="595">
        <f t="shared" si="1"/>
        <v>0.13059999999999999</v>
      </c>
      <c r="M31" s="595">
        <f t="shared" si="2"/>
        <v>0.10979999999999999</v>
      </c>
    </row>
    <row r="32" spans="1:13" s="1035" customFormat="1" ht="21" customHeight="1">
      <c r="A32" s="557">
        <v>1911</v>
      </c>
      <c r="B32" s="344">
        <f t="shared" si="6"/>
        <v>0.02</v>
      </c>
      <c r="C32" s="541" t="s">
        <v>1019</v>
      </c>
      <c r="D32" s="560">
        <v>1770</v>
      </c>
      <c r="E32" s="344">
        <f t="shared" si="3"/>
        <v>0.02</v>
      </c>
      <c r="F32" s="560">
        <v>1770</v>
      </c>
      <c r="G32" s="344">
        <f t="shared" si="7"/>
        <v>0.02</v>
      </c>
      <c r="H32" s="542">
        <f t="shared" si="4"/>
        <v>0</v>
      </c>
      <c r="I32" s="306">
        <f t="shared" si="9"/>
        <v>0</v>
      </c>
      <c r="J32" s="815"/>
      <c r="K32" s="595">
        <f t="shared" si="0"/>
        <v>2.0299999999999999E-2</v>
      </c>
      <c r="L32" s="595">
        <f t="shared" si="1"/>
        <v>1.66E-2</v>
      </c>
      <c r="M32" s="595">
        <f t="shared" si="2"/>
        <v>1.61E-2</v>
      </c>
    </row>
    <row r="33" spans="1:16" s="1035" customFormat="1" ht="21" customHeight="1">
      <c r="A33" s="557">
        <v>14365</v>
      </c>
      <c r="B33" s="344">
        <f>ROUND(A33/$A$8*100,2)</f>
        <v>0.15</v>
      </c>
      <c r="C33" s="541" t="s">
        <v>1018</v>
      </c>
      <c r="D33" s="560">
        <v>12104</v>
      </c>
      <c r="E33" s="344">
        <f t="shared" si="3"/>
        <v>0.11</v>
      </c>
      <c r="F33" s="560">
        <v>10116</v>
      </c>
      <c r="G33" s="344">
        <f t="shared" si="7"/>
        <v>0.09</v>
      </c>
      <c r="H33" s="562">
        <f t="shared" si="4"/>
        <v>1988</v>
      </c>
      <c r="I33" s="1166">
        <f t="shared" si="9"/>
        <v>19.649999999999999</v>
      </c>
      <c r="J33" s="815"/>
      <c r="K33" s="595">
        <f t="shared" si="0"/>
        <v>0.15290000000000001</v>
      </c>
      <c r="L33" s="595">
        <f t="shared" si="1"/>
        <v>0.1135</v>
      </c>
      <c r="M33" s="595">
        <f t="shared" si="2"/>
        <v>9.1999999999999998E-2</v>
      </c>
    </row>
    <row r="34" spans="1:16" s="1035" customFormat="1" ht="21" customHeight="1">
      <c r="A34" s="557">
        <v>3782</v>
      </c>
      <c r="B34" s="344">
        <f t="shared" si="6"/>
        <v>0.04</v>
      </c>
      <c r="C34" s="541" t="s">
        <v>1017</v>
      </c>
      <c r="D34" s="560">
        <v>60</v>
      </c>
      <c r="E34" s="344">
        <f t="shared" si="3"/>
        <v>0</v>
      </c>
      <c r="F34" s="560">
        <v>191</v>
      </c>
      <c r="G34" s="344">
        <f t="shared" si="7"/>
        <v>0</v>
      </c>
      <c r="H34" s="562">
        <f t="shared" si="4"/>
        <v>-131</v>
      </c>
      <c r="I34" s="311">
        <f t="shared" si="9"/>
        <v>-68.59</v>
      </c>
      <c r="J34" s="815"/>
      <c r="K34" s="595">
        <f t="shared" si="0"/>
        <v>4.0300000000000002E-2</v>
      </c>
      <c r="L34" s="595">
        <f t="shared" si="1"/>
        <v>5.9999999999999995E-4</v>
      </c>
      <c r="M34" s="595">
        <f t="shared" si="2"/>
        <v>1.6999999999999999E-3</v>
      </c>
    </row>
    <row r="35" spans="1:16" s="1035" customFormat="1" ht="27" customHeight="1">
      <c r="A35" s="302">
        <v>19</v>
      </c>
      <c r="B35" s="538">
        <f t="shared" si="6"/>
        <v>0</v>
      </c>
      <c r="C35" s="534" t="s">
        <v>26</v>
      </c>
      <c r="D35" s="318">
        <f>D36</f>
        <v>0</v>
      </c>
      <c r="E35" s="538">
        <f t="shared" si="3"/>
        <v>0</v>
      </c>
      <c r="F35" s="318">
        <f>F36</f>
        <v>0</v>
      </c>
      <c r="G35" s="538">
        <f t="shared" si="7"/>
        <v>0</v>
      </c>
      <c r="H35" s="542">
        <f>D35-F35</f>
        <v>0</v>
      </c>
      <c r="I35" s="306">
        <v>0</v>
      </c>
      <c r="K35" s="580">
        <f t="shared" si="0"/>
        <v>2.0000000000000001E-4</v>
      </c>
      <c r="L35" s="580">
        <f t="shared" si="1"/>
        <v>0</v>
      </c>
      <c r="M35" s="580">
        <f t="shared" si="2"/>
        <v>0</v>
      </c>
      <c r="P35" s="713"/>
    </row>
    <row r="36" spans="1:16" s="1035" customFormat="1" ht="27" customHeight="1">
      <c r="A36" s="300">
        <v>19</v>
      </c>
      <c r="B36" s="538">
        <f t="shared" si="6"/>
        <v>0</v>
      </c>
      <c r="C36" s="534" t="s">
        <v>651</v>
      </c>
      <c r="D36" s="547">
        <f>D37</f>
        <v>0</v>
      </c>
      <c r="E36" s="538">
        <f t="shared" si="3"/>
        <v>0</v>
      </c>
      <c r="F36" s="318">
        <f>F37</f>
        <v>0</v>
      </c>
      <c r="G36" s="538">
        <f t="shared" si="7"/>
        <v>0</v>
      </c>
      <c r="H36" s="542">
        <f>+D36-F36</f>
        <v>0</v>
      </c>
      <c r="I36" s="306">
        <v>0</v>
      </c>
      <c r="K36" s="580">
        <f t="shared" si="0"/>
        <v>2.0000000000000001E-4</v>
      </c>
      <c r="L36" s="580">
        <f t="shared" si="1"/>
        <v>0</v>
      </c>
      <c r="M36" s="580">
        <f t="shared" si="2"/>
        <v>0</v>
      </c>
    </row>
    <row r="37" spans="1:16" s="1253" customFormat="1" ht="27" customHeight="1" thickBot="1">
      <c r="A37" s="550">
        <v>19</v>
      </c>
      <c r="B37" s="366">
        <f t="shared" si="6"/>
        <v>0</v>
      </c>
      <c r="C37" s="552" t="s">
        <v>652</v>
      </c>
      <c r="D37" s="589">
        <v>0</v>
      </c>
      <c r="E37" s="366">
        <f t="shared" si="3"/>
        <v>0</v>
      </c>
      <c r="F37" s="1272">
        <v>0</v>
      </c>
      <c r="G37" s="366">
        <f t="shared" si="7"/>
        <v>0</v>
      </c>
      <c r="H37" s="816">
        <f>D37-F37</f>
        <v>0</v>
      </c>
      <c r="I37" s="1273">
        <v>0</v>
      </c>
      <c r="K37" s="582">
        <f t="shared" si="0"/>
        <v>2.0000000000000001E-4</v>
      </c>
      <c r="L37" s="582">
        <f t="shared" si="1"/>
        <v>0</v>
      </c>
      <c r="M37" s="582">
        <f t="shared" si="2"/>
        <v>0</v>
      </c>
    </row>
    <row r="38" spans="1:16" s="1035" customFormat="1" ht="21" customHeight="1">
      <c r="A38" s="555">
        <v>20060</v>
      </c>
      <c r="B38" s="538">
        <f>ROUND(A38/$A$8*100,2)</f>
        <v>0.21</v>
      </c>
      <c r="C38" s="534" t="s">
        <v>1016</v>
      </c>
      <c r="D38" s="565">
        <f>D28-D35</f>
        <v>13958</v>
      </c>
      <c r="E38" s="538">
        <f>ROUND(D38/$D$8*100,2)</f>
        <v>0.13</v>
      </c>
      <c r="F38" s="565">
        <f>F28-F35</f>
        <v>12101</v>
      </c>
      <c r="G38" s="538">
        <f t="shared" si="7"/>
        <v>0.11</v>
      </c>
      <c r="H38" s="585">
        <f>D38-F38</f>
        <v>1857</v>
      </c>
      <c r="I38" s="315">
        <f t="shared" si="9"/>
        <v>15.35</v>
      </c>
      <c r="J38" s="32"/>
      <c r="K38" s="595">
        <f t="shared" si="0"/>
        <v>0.2135</v>
      </c>
      <c r="L38" s="595">
        <f t="shared" si="1"/>
        <v>0.13089999999999999</v>
      </c>
      <c r="M38" s="595">
        <f t="shared" si="2"/>
        <v>0.11</v>
      </c>
    </row>
    <row r="39" spans="1:16" s="1035" customFormat="1" ht="18.399999999999999" customHeight="1">
      <c r="A39" s="557">
        <v>0</v>
      </c>
      <c r="B39" s="542">
        <f t="shared" si="6"/>
        <v>0</v>
      </c>
      <c r="C39" s="534" t="s">
        <v>329</v>
      </c>
      <c r="D39" s="565">
        <f>+D38+D27</f>
        <v>0</v>
      </c>
      <c r="E39" s="538">
        <f t="shared" si="3"/>
        <v>0</v>
      </c>
      <c r="F39" s="565">
        <f>+F38+F27</f>
        <v>0</v>
      </c>
      <c r="G39" s="538">
        <f t="shared" si="7"/>
        <v>0</v>
      </c>
      <c r="H39" s="560">
        <f t="shared" si="4"/>
        <v>0</v>
      </c>
      <c r="I39" s="1274">
        <v>0</v>
      </c>
      <c r="J39" s="32"/>
      <c r="K39" s="595">
        <f t="shared" si="0"/>
        <v>0</v>
      </c>
      <c r="L39" s="595">
        <f t="shared" si="1"/>
        <v>0</v>
      </c>
      <c r="M39" s="595">
        <f t="shared" si="2"/>
        <v>0</v>
      </c>
    </row>
    <row r="40" spans="1:16" s="1035" customFormat="1" ht="171.75" customHeight="1">
      <c r="A40" s="557"/>
      <c r="B40" s="542"/>
      <c r="C40" s="534"/>
      <c r="D40" s="565"/>
      <c r="E40" s="538"/>
      <c r="F40" s="565"/>
      <c r="G40" s="538"/>
      <c r="H40" s="560"/>
      <c r="I40" s="1274"/>
      <c r="J40" s="32"/>
      <c r="K40" s="595"/>
      <c r="L40" s="595"/>
      <c r="M40" s="595"/>
    </row>
    <row r="41" spans="1:16" s="1035" customFormat="1" ht="99.75" customHeight="1">
      <c r="A41" s="557"/>
      <c r="B41" s="542"/>
      <c r="C41" s="534"/>
      <c r="D41" s="565"/>
      <c r="E41" s="538"/>
      <c r="F41" s="565"/>
      <c r="G41" s="538"/>
      <c r="H41" s="560"/>
      <c r="I41" s="1274"/>
      <c r="J41" s="32"/>
      <c r="K41" s="595"/>
      <c r="L41" s="595"/>
      <c r="M41" s="595"/>
    </row>
    <row r="42" spans="1:16" s="1035" customFormat="1" ht="298.5" customHeight="1" thickBot="1">
      <c r="A42" s="601"/>
      <c r="B42" s="589"/>
      <c r="C42" s="567"/>
      <c r="D42" s="813"/>
      <c r="E42" s="779"/>
      <c r="F42" s="813"/>
      <c r="G42" s="779"/>
      <c r="H42" s="816"/>
      <c r="I42" s="817"/>
      <c r="J42" s="32"/>
      <c r="K42" s="595"/>
      <c r="L42" s="595"/>
      <c r="M42" s="595"/>
    </row>
    <row r="43" spans="1:16" ht="32.85" customHeight="1">
      <c r="A43" s="1362" t="s">
        <v>1270</v>
      </c>
      <c r="B43" s="1363"/>
      <c r="C43" s="1363"/>
      <c r="D43" s="1363"/>
      <c r="E43" s="1363"/>
      <c r="F43" s="1363"/>
      <c r="G43" s="1363"/>
      <c r="H43" s="1363"/>
      <c r="I43" s="1363"/>
      <c r="J43" s="2"/>
    </row>
    <row r="44" spans="1:16" s="598" customFormat="1" ht="15.75">
      <c r="A44" s="590" t="s">
        <v>511</v>
      </c>
      <c r="B44" s="591"/>
      <c r="C44" s="592"/>
      <c r="D44" s="599"/>
      <c r="E44" s="593"/>
      <c r="F44" s="591"/>
      <c r="G44" s="591"/>
      <c r="H44" s="591"/>
      <c r="I44" s="591"/>
      <c r="K44" s="2"/>
      <c r="L44" s="2"/>
      <c r="M44" s="2"/>
      <c r="N44" s="2"/>
      <c r="O44" s="2"/>
    </row>
    <row r="45" spans="1:16" s="598" customFormat="1" ht="15.75">
      <c r="A45" s="2"/>
      <c r="B45" s="2"/>
      <c r="C45" s="594"/>
      <c r="D45" s="155"/>
      <c r="E45" s="278"/>
      <c r="F45" s="2"/>
      <c r="G45" s="2"/>
      <c r="H45" s="2"/>
      <c r="I45" s="2"/>
      <c r="K45" s="2"/>
      <c r="L45" s="2"/>
      <c r="M45" s="2"/>
      <c r="N45" s="2"/>
      <c r="O45" s="2"/>
    </row>
    <row r="46" spans="1:16" s="598" customFormat="1" ht="15.75">
      <c r="A46" s="2"/>
      <c r="B46" s="2"/>
      <c r="C46" s="594"/>
      <c r="D46" s="155"/>
      <c r="E46" s="278"/>
      <c r="F46" s="2"/>
      <c r="G46" s="2"/>
      <c r="H46" s="2"/>
      <c r="I46" s="2"/>
      <c r="K46" s="2"/>
      <c r="L46" s="2"/>
      <c r="M46" s="2"/>
      <c r="N46" s="2"/>
      <c r="O46" s="2"/>
    </row>
    <row r="47" spans="1:16" s="598" customFormat="1" ht="15.75">
      <c r="A47" s="2"/>
      <c r="B47" s="2"/>
      <c r="C47" s="594"/>
      <c r="D47" s="155"/>
      <c r="E47" s="278"/>
      <c r="F47" s="2"/>
      <c r="G47" s="2"/>
      <c r="H47" s="2"/>
      <c r="I47" s="2"/>
      <c r="K47" s="2"/>
      <c r="L47" s="2"/>
      <c r="M47" s="2"/>
      <c r="N47" s="2"/>
      <c r="O47" s="2"/>
    </row>
    <row r="48" spans="1:16" s="598" customFormat="1" ht="15.75">
      <c r="A48" s="2"/>
      <c r="B48" s="2"/>
      <c r="C48" s="594"/>
      <c r="D48" s="155"/>
      <c r="E48" s="278"/>
      <c r="F48" s="2"/>
      <c r="G48" s="2"/>
      <c r="H48" s="2"/>
      <c r="I48" s="2"/>
      <c r="K48" s="2"/>
      <c r="L48" s="2"/>
      <c r="M48" s="2"/>
      <c r="N48" s="2"/>
      <c r="O48" s="2"/>
    </row>
    <row r="49" spans="1:15" s="598" customFormat="1" ht="15.75">
      <c r="A49" s="2"/>
      <c r="B49" s="2"/>
      <c r="C49" s="594"/>
      <c r="D49" s="155"/>
      <c r="E49" s="278"/>
      <c r="F49" s="2"/>
      <c r="G49" s="2"/>
      <c r="H49" s="2"/>
      <c r="I49" s="2"/>
      <c r="K49" s="2"/>
      <c r="L49" s="2"/>
      <c r="M49" s="2"/>
      <c r="N49" s="2"/>
      <c r="O49" s="2"/>
    </row>
    <row r="50" spans="1:15" s="598" customFormat="1" ht="15.75">
      <c r="A50" s="2"/>
      <c r="B50" s="2"/>
      <c r="C50" s="594"/>
      <c r="D50" s="155"/>
      <c r="E50" s="278"/>
      <c r="F50" s="2"/>
      <c r="G50" s="2"/>
      <c r="H50" s="2"/>
      <c r="I50" s="2"/>
      <c r="K50" s="2"/>
      <c r="L50" s="2"/>
      <c r="M50" s="2"/>
      <c r="N50" s="2"/>
      <c r="O50" s="2"/>
    </row>
    <row r="51" spans="1:15" s="598" customFormat="1" ht="15.75">
      <c r="A51" s="2"/>
      <c r="B51" s="2"/>
      <c r="C51" s="594"/>
      <c r="D51" s="155"/>
      <c r="E51" s="278"/>
      <c r="F51" s="2"/>
      <c r="G51" s="2"/>
      <c r="H51" s="2"/>
      <c r="I51" s="2"/>
      <c r="K51" s="2"/>
      <c r="L51" s="2"/>
      <c r="M51" s="2"/>
      <c r="N51" s="2"/>
      <c r="O51" s="2"/>
    </row>
    <row r="52" spans="1:15" s="598" customFormat="1" ht="15.75">
      <c r="A52" s="2"/>
      <c r="B52" s="2"/>
      <c r="C52" s="594"/>
      <c r="D52" s="155"/>
      <c r="E52" s="278"/>
      <c r="F52" s="2"/>
      <c r="G52" s="2"/>
      <c r="H52" s="2"/>
      <c r="I52" s="2"/>
      <c r="K52" s="2"/>
      <c r="L52" s="2"/>
      <c r="M52" s="2"/>
      <c r="N52" s="2"/>
      <c r="O52" s="2"/>
    </row>
  </sheetData>
  <mergeCells count="10">
    <mergeCell ref="A43:I43"/>
    <mergeCell ref="A1:I1"/>
    <mergeCell ref="A2:I2"/>
    <mergeCell ref="A3:I3"/>
    <mergeCell ref="A4:I4"/>
    <mergeCell ref="A5:B5"/>
    <mergeCell ref="C5:C6"/>
    <mergeCell ref="D5:E5"/>
    <mergeCell ref="F5:G5"/>
    <mergeCell ref="H5:I5"/>
  </mergeCells>
  <phoneticPr fontId="6" type="noConversion"/>
  <printOptions horizontalCentered="1"/>
  <pageMargins left="0.59055118110236227" right="0.59055118110236227" top="0.59055118110236227" bottom="0.78740157480314965" header="0.51181102362204722" footer="0.51181102362204722"/>
  <pageSetup paperSize="9" orientation="portrait" useFirstPageNumber="1" r:id="rId1"/>
  <headerFooter alignWithMargins="0">
    <oddFooter>&amp;C&amp;"細明體,標準"附&amp;"Times New Roman,標準"4-&amp;P</oddFoot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dimension ref="A1:H40"/>
  <sheetViews>
    <sheetView view="pageBreakPreview" topLeftCell="A16" zoomScaleNormal="100" zoomScaleSheetLayoutView="100" workbookViewId="0">
      <selection activeCell="G28" sqref="G28"/>
    </sheetView>
  </sheetViews>
  <sheetFormatPr defaultColWidth="9" defaultRowHeight="15.75"/>
  <cols>
    <col min="1" max="1" width="41.875" style="6" customWidth="1"/>
    <col min="2" max="2" width="12.25" style="6" customWidth="1"/>
    <col min="3" max="3" width="15.625" style="6" customWidth="1"/>
    <col min="4" max="4" width="12.625" style="6" customWidth="1"/>
    <col min="5" max="5" width="7.25" style="6" customWidth="1"/>
    <col min="6" max="6" width="39" style="6" customWidth="1"/>
    <col min="7" max="7" width="9" style="6"/>
    <col min="8" max="8" width="26.375" style="6" customWidth="1"/>
    <col min="9" max="9" width="19.875" style="6" customWidth="1"/>
    <col min="10" max="16384" width="9" style="6"/>
  </cols>
  <sheetData>
    <row r="1" spans="1:8" s="2" customFormat="1" ht="21">
      <c r="A1" s="1369" t="s">
        <v>1069</v>
      </c>
      <c r="B1" s="1369"/>
      <c r="C1" s="1369"/>
      <c r="D1" s="1369"/>
      <c r="E1" s="1369"/>
      <c r="F1" s="1"/>
      <c r="G1" s="1"/>
      <c r="H1" s="1"/>
    </row>
    <row r="2" spans="1:8" s="2" customFormat="1" ht="21">
      <c r="A2" s="1369" t="s">
        <v>1070</v>
      </c>
      <c r="B2" s="1369"/>
      <c r="C2" s="1369"/>
      <c r="D2" s="1369"/>
      <c r="E2" s="1369"/>
      <c r="F2" s="1"/>
      <c r="G2" s="1"/>
      <c r="H2" s="1"/>
    </row>
    <row r="3" spans="1:8" s="2" customFormat="1" ht="24.75" customHeight="1">
      <c r="A3" s="1370" t="s">
        <v>1160</v>
      </c>
      <c r="B3" s="1371"/>
      <c r="C3" s="1371"/>
      <c r="D3" s="1371"/>
      <c r="E3" s="1371"/>
      <c r="F3" s="3"/>
      <c r="G3" s="3"/>
      <c r="H3" s="3"/>
    </row>
    <row r="4" spans="1:8" s="2" customFormat="1" ht="24.95" customHeight="1" thickBot="1">
      <c r="A4" s="1389" t="s">
        <v>1315</v>
      </c>
      <c r="B4" s="1390"/>
      <c r="C4" s="1390"/>
      <c r="D4" s="1390"/>
      <c r="E4" s="1390"/>
      <c r="F4" s="4"/>
      <c r="G4" s="4"/>
      <c r="H4" s="4"/>
    </row>
    <row r="5" spans="1:8" ht="12.75" customHeight="1">
      <c r="A5" s="1412" t="s">
        <v>1071</v>
      </c>
      <c r="B5" s="1415" t="s">
        <v>1072</v>
      </c>
      <c r="C5" s="1418" t="s">
        <v>1073</v>
      </c>
      <c r="D5" s="1419"/>
      <c r="E5" s="1420"/>
      <c r="F5" s="4"/>
      <c r="G5" s="4"/>
      <c r="H5" s="4"/>
    </row>
    <row r="6" spans="1:8">
      <c r="A6" s="1413"/>
      <c r="B6" s="1416"/>
      <c r="C6" s="1421"/>
      <c r="D6" s="1422"/>
      <c r="E6" s="1423"/>
      <c r="F6" s="4"/>
      <c r="G6" s="4"/>
      <c r="H6" s="4"/>
    </row>
    <row r="7" spans="1:8" ht="12.75" customHeight="1">
      <c r="A7" s="1414"/>
      <c r="B7" s="1416"/>
      <c r="C7" s="1424"/>
      <c r="D7" s="1425"/>
      <c r="E7" s="1426"/>
    </row>
    <row r="8" spans="1:8" ht="2.65" customHeight="1">
      <c r="A8" s="1280"/>
      <c r="B8" s="1281"/>
      <c r="C8" s="83"/>
      <c r="D8" s="132"/>
      <c r="E8" s="86"/>
    </row>
    <row r="9" spans="1:8" s="1072" customFormat="1" ht="26.1" customHeight="1">
      <c r="A9" s="348" t="s">
        <v>45</v>
      </c>
      <c r="B9" s="134"/>
      <c r="C9" s="135"/>
      <c r="D9" s="136"/>
      <c r="E9" s="137"/>
    </row>
    <row r="10" spans="1:8" s="1035" customFormat="1" ht="26.1" customHeight="1">
      <c r="A10" s="67" t="s">
        <v>1074</v>
      </c>
      <c r="B10" s="185">
        <v>0</v>
      </c>
      <c r="C10" s="139"/>
      <c r="D10" s="140"/>
      <c r="E10" s="137"/>
    </row>
    <row r="11" spans="1:8" s="1035" customFormat="1" ht="26.1" customHeight="1">
      <c r="A11" s="67" t="s">
        <v>1075</v>
      </c>
      <c r="B11" s="31">
        <f>-D11+D12</f>
        <v>-413106</v>
      </c>
      <c r="C11" s="1282" t="s">
        <v>317</v>
      </c>
      <c r="D11" s="1279">
        <v>413106</v>
      </c>
      <c r="E11" s="1277" t="s">
        <v>46</v>
      </c>
    </row>
    <row r="12" spans="1:8" s="1035" customFormat="1" ht="25.35" hidden="1" customHeight="1">
      <c r="A12" s="67"/>
      <c r="B12" s="66"/>
      <c r="C12" s="1282" t="s">
        <v>284</v>
      </c>
      <c r="D12" s="1279">
        <v>0</v>
      </c>
      <c r="E12" s="1277" t="s">
        <v>46</v>
      </c>
    </row>
    <row r="13" spans="1:8" s="1035" customFormat="1" ht="26.1" customHeight="1">
      <c r="A13" s="67" t="s">
        <v>320</v>
      </c>
      <c r="B13" s="31">
        <f>+B10+B11</f>
        <v>-413106</v>
      </c>
      <c r="C13" s="139"/>
      <c r="D13" s="140"/>
      <c r="E13" s="137"/>
    </row>
    <row r="14" spans="1:8" s="1035" customFormat="1" ht="26.1" customHeight="1">
      <c r="A14" s="67" t="s">
        <v>1076</v>
      </c>
      <c r="B14" s="141">
        <f>D14+D15+D16+D17+D18+D19</f>
        <v>1655080</v>
      </c>
      <c r="C14" s="1282" t="s">
        <v>1077</v>
      </c>
      <c r="D14" s="1279">
        <v>32620</v>
      </c>
      <c r="E14" s="1277" t="s">
        <v>1078</v>
      </c>
      <c r="F14" s="1036"/>
    </row>
    <row r="15" spans="1:8" s="1035" customFormat="1" ht="26.1" customHeight="1">
      <c r="A15" s="67"/>
      <c r="B15" s="141"/>
      <c r="C15" s="1282" t="s">
        <v>1386</v>
      </c>
      <c r="D15" s="1279">
        <f>1578402+5799</f>
        <v>1584201</v>
      </c>
      <c r="E15" s="1277" t="s">
        <v>46</v>
      </c>
      <c r="F15" s="1036"/>
    </row>
    <row r="16" spans="1:8" s="1072" customFormat="1" ht="25.35" customHeight="1">
      <c r="A16" s="67"/>
      <c r="B16" s="141"/>
      <c r="C16" s="1282" t="s">
        <v>287</v>
      </c>
      <c r="D16" s="1279">
        <v>4858</v>
      </c>
      <c r="E16" s="1277" t="s">
        <v>46</v>
      </c>
    </row>
    <row r="17" spans="1:8" s="1072" customFormat="1" ht="25.35" hidden="1" customHeight="1">
      <c r="A17" s="67"/>
      <c r="B17" s="141"/>
      <c r="C17" s="1282" t="s">
        <v>318</v>
      </c>
      <c r="D17" s="1279">
        <v>0</v>
      </c>
      <c r="E17" s="1277" t="s">
        <v>46</v>
      </c>
    </row>
    <row r="18" spans="1:8" s="1035" customFormat="1" ht="26.1" customHeight="1">
      <c r="A18" s="67" t="s">
        <v>47</v>
      </c>
      <c r="B18" s="31"/>
      <c r="C18" s="1282" t="s">
        <v>1418</v>
      </c>
      <c r="D18" s="1279">
        <v>33901</v>
      </c>
      <c r="E18" s="1277" t="s">
        <v>46</v>
      </c>
      <c r="F18" s="36"/>
      <c r="H18" s="10"/>
    </row>
    <row r="19" spans="1:8" s="1072" customFormat="1" ht="26.1" customHeight="1">
      <c r="A19" s="67" t="s">
        <v>47</v>
      </c>
      <c r="B19" s="31"/>
      <c r="C19" s="1282" t="s">
        <v>1419</v>
      </c>
      <c r="D19" s="1279">
        <v>-500</v>
      </c>
      <c r="E19" s="1277" t="s">
        <v>46</v>
      </c>
    </row>
    <row r="20" spans="1:8" s="1035" customFormat="1" ht="26.1" customHeight="1">
      <c r="A20" s="67" t="s">
        <v>321</v>
      </c>
      <c r="B20" s="31">
        <f>+B13+B14</f>
        <v>1241974</v>
      </c>
      <c r="C20" s="139"/>
      <c r="D20" s="140"/>
      <c r="E20" s="137"/>
    </row>
    <row r="21" spans="1:8" s="1035" customFormat="1" ht="26.1" customHeight="1">
      <c r="A21" s="67" t="s">
        <v>319</v>
      </c>
      <c r="B21" s="31">
        <v>24</v>
      </c>
      <c r="C21" s="1427" t="s">
        <v>1240</v>
      </c>
      <c r="D21" s="1428"/>
      <c r="E21" s="1429"/>
    </row>
    <row r="22" spans="1:8" s="1072" customFormat="1" ht="26.1" customHeight="1">
      <c r="A22" s="348" t="s">
        <v>288</v>
      </c>
      <c r="B22" s="27">
        <f>+B20+B21</f>
        <v>1241998</v>
      </c>
      <c r="C22" s="349"/>
      <c r="D22" s="350"/>
      <c r="E22" s="1277"/>
    </row>
    <row r="23" spans="1:8" s="1072" customFormat="1" ht="26.1" customHeight="1">
      <c r="A23" s="348" t="s">
        <v>48</v>
      </c>
      <c r="B23" s="27"/>
      <c r="C23" s="351"/>
      <c r="D23" s="352"/>
      <c r="E23" s="353"/>
    </row>
    <row r="24" spans="1:8" s="1072" customFormat="1" ht="25.35" hidden="1" customHeight="1">
      <c r="A24" s="67" t="s">
        <v>1079</v>
      </c>
      <c r="B24" s="31"/>
      <c r="C24" s="1709" t="s">
        <v>1080</v>
      </c>
      <c r="D24" s="1410"/>
      <c r="E24" s="1411"/>
    </row>
    <row r="25" spans="1:8" s="1072" customFormat="1" ht="38.25" hidden="1" customHeight="1">
      <c r="A25" s="67" t="s">
        <v>349</v>
      </c>
      <c r="B25" s="31"/>
      <c r="C25" s="1409" t="s">
        <v>1241</v>
      </c>
      <c r="D25" s="1410"/>
      <c r="E25" s="1411"/>
    </row>
    <row r="26" spans="1:8" s="1072" customFormat="1" ht="26.1" customHeight="1">
      <c r="A26" s="67" t="s">
        <v>319</v>
      </c>
      <c r="B26" s="31">
        <v>404003</v>
      </c>
      <c r="C26" s="1436" t="s">
        <v>1387</v>
      </c>
      <c r="D26" s="1428"/>
      <c r="E26" s="1429"/>
    </row>
    <row r="27" spans="1:8" s="1072" customFormat="1" ht="26.1" customHeight="1">
      <c r="A27" s="67" t="s">
        <v>1081</v>
      </c>
      <c r="B27" s="31">
        <v>-1048680</v>
      </c>
      <c r="C27" s="1718" t="s">
        <v>1388</v>
      </c>
      <c r="D27" s="1719"/>
      <c r="E27" s="1720"/>
    </row>
    <row r="28" spans="1:8" s="1072" customFormat="1" ht="38.25" customHeight="1">
      <c r="A28" s="67" t="s">
        <v>1082</v>
      </c>
      <c r="B28" s="31">
        <v>-439999</v>
      </c>
      <c r="C28" s="1436" t="s">
        <v>1389</v>
      </c>
      <c r="D28" s="1428"/>
      <c r="E28" s="1429"/>
    </row>
    <row r="29" spans="1:8" s="1072" customFormat="1" ht="26.1" customHeight="1">
      <c r="A29" s="67" t="s">
        <v>1083</v>
      </c>
      <c r="B29" s="31">
        <v>-12000</v>
      </c>
      <c r="C29" s="1709" t="s">
        <v>1416</v>
      </c>
      <c r="D29" s="1410"/>
      <c r="E29" s="1411"/>
    </row>
    <row r="30" spans="1:8" s="1072" customFormat="1" ht="26.1" customHeight="1">
      <c r="A30" s="348" t="s">
        <v>338</v>
      </c>
      <c r="B30" s="27">
        <f>SUM(B24:B29)</f>
        <v>-1096676</v>
      </c>
      <c r="C30" s="349"/>
      <c r="D30" s="350"/>
      <c r="E30" s="353"/>
    </row>
    <row r="31" spans="1:8" s="1072" customFormat="1" ht="26.1" customHeight="1">
      <c r="A31" s="348" t="s">
        <v>307</v>
      </c>
      <c r="B31" s="142"/>
      <c r="C31" s="354"/>
      <c r="D31" s="355"/>
      <c r="E31" s="353"/>
    </row>
    <row r="32" spans="1:8" s="367" customFormat="1" ht="25.35" hidden="1" customHeight="1">
      <c r="A32" s="67" t="s">
        <v>290</v>
      </c>
      <c r="B32" s="31">
        <v>0</v>
      </c>
      <c r="C32" s="1440" t="s">
        <v>1088</v>
      </c>
      <c r="D32" s="1428"/>
      <c r="E32" s="1429"/>
    </row>
    <row r="33" spans="1:5" s="367" customFormat="1" ht="26.1" customHeight="1">
      <c r="A33" s="67" t="s">
        <v>291</v>
      </c>
      <c r="B33" s="31">
        <v>-900</v>
      </c>
      <c r="C33" s="1440" t="s">
        <v>1390</v>
      </c>
      <c r="D33" s="1428"/>
      <c r="E33" s="1429"/>
    </row>
    <row r="34" spans="1:5" s="367" customFormat="1" ht="27.95" hidden="1" customHeight="1">
      <c r="A34" s="67" t="s">
        <v>292</v>
      </c>
      <c r="B34" s="31">
        <v>0</v>
      </c>
      <c r="C34" s="1440" t="s">
        <v>1084</v>
      </c>
      <c r="D34" s="1428"/>
      <c r="E34" s="1429"/>
    </row>
    <row r="35" spans="1:5" s="367" customFormat="1" ht="27.95" hidden="1" customHeight="1">
      <c r="A35" s="138" t="s">
        <v>1087</v>
      </c>
      <c r="B35" s="31"/>
      <c r="C35" s="1703" t="s">
        <v>1086</v>
      </c>
      <c r="D35" s="1704"/>
      <c r="E35" s="1705"/>
    </row>
    <row r="36" spans="1:5" s="1072" customFormat="1" ht="26.1" customHeight="1">
      <c r="A36" s="348" t="s">
        <v>339</v>
      </c>
      <c r="B36" s="27">
        <f>SUM(B32:B35)</f>
        <v>-900</v>
      </c>
      <c r="C36" s="356"/>
      <c r="D36" s="357"/>
      <c r="E36" s="358"/>
    </row>
    <row r="37" spans="1:5" s="1072" customFormat="1" ht="26.1" customHeight="1">
      <c r="A37" s="348" t="s">
        <v>340</v>
      </c>
      <c r="B37" s="76">
        <f>B22+B30+B36</f>
        <v>144422</v>
      </c>
      <c r="C37" s="359"/>
      <c r="D37" s="360"/>
      <c r="E37" s="361"/>
    </row>
    <row r="38" spans="1:5" s="1072" customFormat="1" ht="26.1" customHeight="1">
      <c r="A38" s="348" t="s">
        <v>54</v>
      </c>
      <c r="B38" s="142">
        <f>3348956+2000</f>
        <v>3350956</v>
      </c>
      <c r="C38" s="359"/>
      <c r="D38" s="360"/>
      <c r="E38" s="361"/>
    </row>
    <row r="39" spans="1:5" s="1072" customFormat="1" ht="35.25" customHeight="1" thickBot="1">
      <c r="A39" s="1285" t="s">
        <v>55</v>
      </c>
      <c r="B39" s="143">
        <f>B37+B38</f>
        <v>3495378</v>
      </c>
      <c r="C39" s="364"/>
      <c r="D39" s="364"/>
      <c r="E39" s="365"/>
    </row>
    <row r="40" spans="1:5" s="1276" customFormat="1" ht="186.75" customHeight="1">
      <c r="A40" s="1036"/>
      <c r="B40" s="360"/>
      <c r="C40" s="360"/>
      <c r="D40" s="360"/>
      <c r="E40" s="1287"/>
    </row>
  </sheetData>
  <mergeCells count="18">
    <mergeCell ref="A1:E1"/>
    <mergeCell ref="A2:E2"/>
    <mergeCell ref="A3:E3"/>
    <mergeCell ref="A4:E4"/>
    <mergeCell ref="A5:A7"/>
    <mergeCell ref="B5:B7"/>
    <mergeCell ref="C5:E7"/>
    <mergeCell ref="C35:E35"/>
    <mergeCell ref="C21:E21"/>
    <mergeCell ref="C24:E24"/>
    <mergeCell ref="C25:E25"/>
    <mergeCell ref="C26:E26"/>
    <mergeCell ref="C27:E27"/>
    <mergeCell ref="C28:E28"/>
    <mergeCell ref="C29:E29"/>
    <mergeCell ref="C32:E32"/>
    <mergeCell ref="C33:E33"/>
    <mergeCell ref="C34:E34"/>
  </mergeCells>
  <phoneticPr fontId="6" type="noConversion"/>
  <printOptions horizontalCentered="1"/>
  <pageMargins left="0.59055118110236227" right="0.59055118110236227" top="0.59055118110236227" bottom="0.78740157480314965" header="0.51181102362204722" footer="0.51181102362204722"/>
  <pageSetup paperSize="9" firstPageNumber="3" orientation="portrait" useFirstPageNumber="1" r:id="rId1"/>
  <headerFooter alignWithMargins="0">
    <oddFooter>&amp;C&amp;"細明體,標準"附&amp;"Times New Roman,標準"4-&amp;P</odd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dimension ref="A1:E34"/>
  <sheetViews>
    <sheetView view="pageBreakPreview" topLeftCell="A16" zoomScaleNormal="100" zoomScaleSheetLayoutView="100" workbookViewId="0">
      <selection activeCell="G28" sqref="G28"/>
    </sheetView>
  </sheetViews>
  <sheetFormatPr defaultColWidth="9" defaultRowHeight="16.5"/>
  <cols>
    <col min="1" max="1" width="14.625" style="6" customWidth="1"/>
    <col min="2" max="2" width="32.875" style="450" customWidth="1"/>
    <col min="3" max="3" width="14.75" style="6" customWidth="1"/>
    <col min="4" max="4" width="14.75" style="19" customWidth="1"/>
    <col min="5" max="5" width="13.125" style="6" customWidth="1"/>
    <col min="6" max="16384" width="9" style="6"/>
  </cols>
  <sheetData>
    <row r="1" spans="1:5" ht="21">
      <c r="A1" s="1369" t="s">
        <v>1068</v>
      </c>
      <c r="B1" s="1369"/>
      <c r="C1" s="1369"/>
      <c r="D1" s="1369"/>
      <c r="E1" s="1369"/>
    </row>
    <row r="2" spans="1:5" ht="21">
      <c r="A2" s="1525" t="s">
        <v>41</v>
      </c>
      <c r="B2" s="1369"/>
      <c r="C2" s="1369"/>
      <c r="D2" s="1369"/>
      <c r="E2" s="1369"/>
    </row>
    <row r="3" spans="1:5" ht="24.75" customHeight="1">
      <c r="A3" s="1621" t="s">
        <v>1161</v>
      </c>
      <c r="B3" s="1371"/>
      <c r="C3" s="1371"/>
      <c r="D3" s="1371"/>
      <c r="E3" s="1371"/>
    </row>
    <row r="4" spans="1:5" ht="24.75" customHeight="1" thickBot="1">
      <c r="A4" s="1389" t="s">
        <v>1316</v>
      </c>
      <c r="B4" s="1390"/>
      <c r="C4" s="1390"/>
      <c r="D4" s="1390"/>
      <c r="E4" s="1390"/>
    </row>
    <row r="5" spans="1:5" ht="15.75" customHeight="1">
      <c r="A5" s="1583" t="s">
        <v>1292</v>
      </c>
      <c r="B5" s="1712" t="s">
        <v>1067</v>
      </c>
      <c r="C5" s="1592" t="s">
        <v>1293</v>
      </c>
      <c r="D5" s="1592" t="s">
        <v>1168</v>
      </c>
      <c r="E5" s="1589" t="s">
        <v>605</v>
      </c>
    </row>
    <row r="6" spans="1:5" ht="15.75" customHeight="1">
      <c r="A6" s="1584"/>
      <c r="B6" s="1713"/>
      <c r="C6" s="1593"/>
      <c r="D6" s="1593"/>
      <c r="E6" s="1590"/>
    </row>
    <row r="7" spans="1:5" ht="14.25" customHeight="1">
      <c r="A7" s="1585"/>
      <c r="B7" s="1714"/>
      <c r="C7" s="1594"/>
      <c r="D7" s="1594"/>
      <c r="E7" s="1591"/>
    </row>
    <row r="8" spans="1:5" ht="8.4499999999999993" customHeight="1">
      <c r="A8" s="24"/>
      <c r="B8" s="579"/>
      <c r="C8" s="1073"/>
      <c r="D8" s="1074"/>
      <c r="E8" s="111"/>
    </row>
    <row r="9" spans="1:5" s="1035" customFormat="1" ht="25.35" customHeight="1">
      <c r="A9" s="128">
        <f>A10+A15+A19+A17-1</f>
        <v>37731708</v>
      </c>
      <c r="B9" s="113" t="s">
        <v>254</v>
      </c>
      <c r="C9" s="114">
        <f>C10+C15+C19+C17</f>
        <v>39277734</v>
      </c>
      <c r="D9" s="129">
        <f>D10+D15+D19+D17</f>
        <v>37694933</v>
      </c>
      <c r="E9" s="115">
        <f>E10+E15+E19+E17</f>
        <v>1582801</v>
      </c>
    </row>
    <row r="10" spans="1:5" s="1035" customFormat="1" ht="25.35" customHeight="1">
      <c r="A10" s="128">
        <f>SUM(A11:A14)</f>
        <v>23540751</v>
      </c>
      <c r="B10" s="116" t="s">
        <v>1066</v>
      </c>
      <c r="C10" s="114">
        <f>SUM(C11:C14)</f>
        <v>24454104</v>
      </c>
      <c r="D10" s="129">
        <f>SUM(D11:D14)</f>
        <v>23323424</v>
      </c>
      <c r="E10" s="115">
        <f>SUM(E11:E14)</f>
        <v>1130680</v>
      </c>
    </row>
    <row r="11" spans="1:5" s="1072" customFormat="1" ht="25.35" customHeight="1">
      <c r="A11" s="131">
        <v>3419312</v>
      </c>
      <c r="B11" s="118" t="s">
        <v>256</v>
      </c>
      <c r="C11" s="862">
        <f>3487579+5799+2000</f>
        <v>3495378</v>
      </c>
      <c r="D11" s="127">
        <f>3348956+2000</f>
        <v>3350956</v>
      </c>
      <c r="E11" s="120">
        <f>C11-D11</f>
        <v>144422</v>
      </c>
    </row>
    <row r="12" spans="1:5" s="1072" customFormat="1" ht="25.35" customHeight="1">
      <c r="A12" s="131">
        <v>18218800</v>
      </c>
      <c r="B12" s="118" t="s">
        <v>1065</v>
      </c>
      <c r="C12" s="862">
        <v>19225170</v>
      </c>
      <c r="D12" s="127">
        <v>18176490</v>
      </c>
      <c r="E12" s="120">
        <f>C12-D12</f>
        <v>1048680</v>
      </c>
    </row>
    <row r="13" spans="1:5" s="1072" customFormat="1" ht="25.35" customHeight="1">
      <c r="A13" s="131">
        <v>1897469</v>
      </c>
      <c r="B13" s="118" t="s">
        <v>258</v>
      </c>
      <c r="C13" s="862">
        <v>1727556</v>
      </c>
      <c r="D13" s="127">
        <v>1793978</v>
      </c>
      <c r="E13" s="120">
        <f>C13-D13</f>
        <v>-66422</v>
      </c>
    </row>
    <row r="14" spans="1:5" s="1072" customFormat="1" ht="25.35" customHeight="1">
      <c r="A14" s="131">
        <v>5170</v>
      </c>
      <c r="B14" s="118" t="s">
        <v>1064</v>
      </c>
      <c r="C14" s="862">
        <v>6000</v>
      </c>
      <c r="D14" s="127">
        <v>2000</v>
      </c>
      <c r="E14" s="122">
        <f>C14-D14</f>
        <v>4000</v>
      </c>
    </row>
    <row r="15" spans="1:5" s="1035" customFormat="1" ht="25.35" customHeight="1">
      <c r="A15" s="128">
        <f>SUM(A16:A16)</f>
        <v>14043371</v>
      </c>
      <c r="B15" s="121" t="s">
        <v>1063</v>
      </c>
      <c r="C15" s="114">
        <f>SUM(C16:C16)</f>
        <v>14645936</v>
      </c>
      <c r="D15" s="129">
        <f>SUM(D16:D16)</f>
        <v>14205937</v>
      </c>
      <c r="E15" s="115">
        <f>SUM(E16:E16)</f>
        <v>439999</v>
      </c>
    </row>
    <row r="16" spans="1:5" s="1072" customFormat="1" ht="25.35" customHeight="1">
      <c r="A16" s="131">
        <v>14043371</v>
      </c>
      <c r="B16" s="118" t="s">
        <v>311</v>
      </c>
      <c r="C16" s="862">
        <v>14645936</v>
      </c>
      <c r="D16" s="127">
        <v>14205937</v>
      </c>
      <c r="E16" s="120">
        <f>C16-D16</f>
        <v>439999</v>
      </c>
    </row>
    <row r="17" spans="1:5" s="1035" customFormat="1" ht="25.35" customHeight="1">
      <c r="A17" s="128">
        <f>SUM(A18:A18)</f>
        <v>15438</v>
      </c>
      <c r="B17" s="116" t="s">
        <v>37</v>
      </c>
      <c r="C17" s="114">
        <f>SUM(C18:C18)</f>
        <v>30148</v>
      </c>
      <c r="D17" s="129">
        <f>SUM(D18:D18)</f>
        <v>23006</v>
      </c>
      <c r="E17" s="130">
        <f>SUM(E18:E18)</f>
        <v>7142</v>
      </c>
    </row>
    <row r="18" spans="1:5" s="1072" customFormat="1" ht="25.35" customHeight="1">
      <c r="A18" s="131">
        <v>15438</v>
      </c>
      <c r="B18" s="118" t="s">
        <v>1062</v>
      </c>
      <c r="C18" s="862">
        <v>30148</v>
      </c>
      <c r="D18" s="127">
        <v>23006</v>
      </c>
      <c r="E18" s="120">
        <f>C18-D18</f>
        <v>7142</v>
      </c>
    </row>
    <row r="19" spans="1:5" s="1035" customFormat="1" ht="25.35" customHeight="1">
      <c r="A19" s="128">
        <f>SUM(A20:A20)</f>
        <v>132149</v>
      </c>
      <c r="B19" s="116" t="s">
        <v>263</v>
      </c>
      <c r="C19" s="114">
        <f>SUM(C20:C20)</f>
        <v>147546</v>
      </c>
      <c r="D19" s="129">
        <f>SUM(D20:D20)</f>
        <v>142566</v>
      </c>
      <c r="E19" s="130">
        <f>SUM(E20:E20)</f>
        <v>4980</v>
      </c>
    </row>
    <row r="20" spans="1:5" s="1072" customFormat="1" ht="25.35" customHeight="1">
      <c r="A20" s="131">
        <v>132149</v>
      </c>
      <c r="B20" s="118" t="s">
        <v>20</v>
      </c>
      <c r="C20" s="862">
        <v>147546</v>
      </c>
      <c r="D20" s="127">
        <v>142566</v>
      </c>
      <c r="E20" s="120">
        <f>C20-D20</f>
        <v>4980</v>
      </c>
    </row>
    <row r="21" spans="1:5" s="1035" customFormat="1" ht="25.35" customHeight="1">
      <c r="A21" s="128">
        <f>A9</f>
        <v>37731708</v>
      </c>
      <c r="B21" s="113" t="s">
        <v>265</v>
      </c>
      <c r="C21" s="114">
        <f>C9</f>
        <v>39277734</v>
      </c>
      <c r="D21" s="129">
        <f>D9</f>
        <v>37694933</v>
      </c>
      <c r="E21" s="115">
        <f>E9</f>
        <v>1582801</v>
      </c>
    </row>
    <row r="22" spans="1:5" s="1035" customFormat="1" ht="10.5" customHeight="1">
      <c r="A22" s="112"/>
      <c r="B22" s="113"/>
      <c r="C22" s="114"/>
      <c r="D22" s="114"/>
      <c r="E22" s="115"/>
    </row>
    <row r="23" spans="1:5" s="1035" customFormat="1" ht="25.35" customHeight="1">
      <c r="A23" s="128">
        <f>A24+A27</f>
        <v>37731708</v>
      </c>
      <c r="B23" s="113" t="s">
        <v>18</v>
      </c>
      <c r="C23" s="114">
        <f>C24+C27</f>
        <v>39277734</v>
      </c>
      <c r="D23" s="129">
        <f>D24+D27</f>
        <v>37694933</v>
      </c>
      <c r="E23" s="115">
        <f>E24+E27</f>
        <v>1582801</v>
      </c>
    </row>
    <row r="24" spans="1:5" s="1035" customFormat="1" ht="25.35" customHeight="1">
      <c r="A24" s="128">
        <f>SUM(A25:A26)</f>
        <v>405215</v>
      </c>
      <c r="B24" s="116" t="s">
        <v>281</v>
      </c>
      <c r="C24" s="114">
        <f>SUM(C25:C26)</f>
        <v>406715</v>
      </c>
      <c r="D24" s="129">
        <f>SUM(D25:D26)</f>
        <v>407215</v>
      </c>
      <c r="E24" s="115">
        <f>SUM(E25:E26)</f>
        <v>-500</v>
      </c>
    </row>
    <row r="25" spans="1:5" s="1072" customFormat="1" ht="25.35" customHeight="1">
      <c r="A25" s="131">
        <v>403789</v>
      </c>
      <c r="B25" s="118" t="s">
        <v>1061</v>
      </c>
      <c r="C25" s="862">
        <v>405289</v>
      </c>
      <c r="D25" s="127">
        <v>405789</v>
      </c>
      <c r="E25" s="120">
        <f>C25-D25</f>
        <v>-500</v>
      </c>
    </row>
    <row r="26" spans="1:5" s="1278" customFormat="1" ht="25.35" customHeight="1">
      <c r="A26" s="131">
        <v>1426</v>
      </c>
      <c r="B26" s="118" t="s">
        <v>1391</v>
      </c>
      <c r="C26" s="862">
        <v>1426</v>
      </c>
      <c r="D26" s="127">
        <v>1426</v>
      </c>
      <c r="E26" s="130">
        <f>C26-D26</f>
        <v>0</v>
      </c>
    </row>
    <row r="27" spans="1:5" s="1035" customFormat="1" ht="25.35" customHeight="1">
      <c r="A27" s="128">
        <f>SUM(A28:A29)</f>
        <v>37326493</v>
      </c>
      <c r="B27" s="121" t="s">
        <v>1060</v>
      </c>
      <c r="C27" s="114">
        <f>SUM(C28:C29)</f>
        <v>38871019</v>
      </c>
      <c r="D27" s="129">
        <f>SUM(D28:D29)</f>
        <v>37287718</v>
      </c>
      <c r="E27" s="115">
        <f>SUM(E28:E29)</f>
        <v>1583301</v>
      </c>
    </row>
    <row r="28" spans="1:5" s="1072" customFormat="1" ht="25.35" customHeight="1">
      <c r="A28" s="131">
        <v>37317607</v>
      </c>
      <c r="B28" s="118" t="s">
        <v>1059</v>
      </c>
      <c r="C28" s="862">
        <f>38854157+5799+2000</f>
        <v>38861956</v>
      </c>
      <c r="D28" s="127">
        <f>37275755+2000</f>
        <v>37277755</v>
      </c>
      <c r="E28" s="120">
        <f>C28-D28</f>
        <v>1584201</v>
      </c>
    </row>
    <row r="29" spans="1:5" s="1072" customFormat="1" ht="25.35" customHeight="1">
      <c r="A29" s="131">
        <v>8886</v>
      </c>
      <c r="B29" s="118" t="s">
        <v>1058</v>
      </c>
      <c r="C29" s="127">
        <v>9063</v>
      </c>
      <c r="D29" s="127">
        <v>9963</v>
      </c>
      <c r="E29" s="120">
        <f>C29-D29</f>
        <v>-900</v>
      </c>
    </row>
    <row r="30" spans="1:5" s="1035" customFormat="1" ht="25.35" customHeight="1">
      <c r="A30" s="128">
        <f>A31</f>
        <v>0</v>
      </c>
      <c r="B30" s="113" t="s">
        <v>274</v>
      </c>
      <c r="C30" s="129">
        <f t="shared" ref="C30:E31" si="0">C31</f>
        <v>0</v>
      </c>
      <c r="D30" s="129">
        <f t="shared" si="0"/>
        <v>0</v>
      </c>
      <c r="E30" s="130">
        <f t="shared" si="0"/>
        <v>0</v>
      </c>
    </row>
    <row r="31" spans="1:5" s="1035" customFormat="1" ht="25.35" customHeight="1">
      <c r="A31" s="128">
        <f>A32</f>
        <v>0</v>
      </c>
      <c r="B31" s="116" t="s">
        <v>326</v>
      </c>
      <c r="C31" s="129">
        <f t="shared" si="0"/>
        <v>0</v>
      </c>
      <c r="D31" s="129">
        <f t="shared" si="0"/>
        <v>0</v>
      </c>
      <c r="E31" s="130">
        <f t="shared" si="0"/>
        <v>0</v>
      </c>
    </row>
    <row r="32" spans="1:5" s="1072" customFormat="1" ht="30.75" customHeight="1">
      <c r="A32" s="131">
        <v>0</v>
      </c>
      <c r="B32" s="118" t="s">
        <v>277</v>
      </c>
      <c r="C32" s="127">
        <v>0</v>
      </c>
      <c r="D32" s="127">
        <v>0</v>
      </c>
      <c r="E32" s="122">
        <v>0</v>
      </c>
    </row>
    <row r="33" spans="1:5" s="1035" customFormat="1" ht="25.35" customHeight="1" thickBot="1">
      <c r="A33" s="1066">
        <f>A23+A30</f>
        <v>37731708</v>
      </c>
      <c r="B33" s="124" t="s">
        <v>265</v>
      </c>
      <c r="C33" s="125">
        <f>C23+C30</f>
        <v>39277734</v>
      </c>
      <c r="D33" s="1065">
        <f>D23+D30</f>
        <v>37694933</v>
      </c>
      <c r="E33" s="126">
        <f>E23+E30</f>
        <v>1582801</v>
      </c>
    </row>
    <row r="34" spans="1:5" s="199" customFormat="1" ht="14.25" customHeight="1">
      <c r="A34" s="1710" t="s">
        <v>1397</v>
      </c>
      <c r="B34" s="1711"/>
      <c r="C34" s="1711"/>
      <c r="D34" s="1711"/>
      <c r="E34" s="1711"/>
    </row>
  </sheetData>
  <mergeCells count="10">
    <mergeCell ref="A34:E34"/>
    <mergeCell ref="A1:E1"/>
    <mergeCell ref="A2:E2"/>
    <mergeCell ref="A3:E3"/>
    <mergeCell ref="A4:E4"/>
    <mergeCell ref="A5:A7"/>
    <mergeCell ref="B5:B7"/>
    <mergeCell ref="C5:C7"/>
    <mergeCell ref="D5:D7"/>
    <mergeCell ref="E5:E7"/>
  </mergeCells>
  <phoneticPr fontId="6" type="noConversion"/>
  <printOptions horizontalCentered="1"/>
  <pageMargins left="0.59055118110236227" right="0.59055118110236227" top="0.59055118110236227" bottom="0.78740157480314965" header="0.51181102362204722" footer="0.51181102362204722"/>
  <pageSetup paperSize="9" firstPageNumber="4" orientation="portrait" useFirstPageNumber="1" r:id="rId1"/>
  <headerFooter alignWithMargins="0">
    <oddFooter>&amp;C&amp;"細明體,標準"附&amp;"Times New Roman,標準"4-&amp;P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51</vt:i4>
      </vt:variant>
      <vt:variant>
        <vt:lpstr>具名範圍</vt:lpstr>
      </vt:variant>
      <vt:variant>
        <vt:i4>68</vt:i4>
      </vt:variant>
    </vt:vector>
  </HeadingPairs>
  <TitlesOfParts>
    <vt:vector size="119" baseType="lpstr">
      <vt:lpstr>業務計畫</vt:lpstr>
      <vt:lpstr>工作表1 (2)</vt:lpstr>
      <vt:lpstr>圖1</vt:lpstr>
      <vt:lpstr>圖2</vt:lpstr>
      <vt:lpstr>收支餘絀預計表-總</vt:lpstr>
      <vt:lpstr>收支餘絀預計表說明</vt:lpstr>
      <vt:lpstr>餘絀撥補預計表</vt:lpstr>
      <vt:lpstr>現金流量預計表-總</vt:lpstr>
      <vt:lpstr>租金及權利金收入明細表</vt:lpstr>
      <vt:lpstr>投融資業務收入明細表 </vt:lpstr>
      <vt:lpstr>保險收入明細表</vt:lpstr>
      <vt:lpstr>其他業務收入明細表</vt:lpstr>
      <vt:lpstr>業務外收入明細表</vt:lpstr>
      <vt:lpstr>出租資產成本明細表</vt:lpstr>
      <vt:lpstr>出租資產成本說明</vt:lpstr>
      <vt:lpstr>投融資業務成本明細表</vt:lpstr>
      <vt:lpstr>投融資業務成本說明</vt:lpstr>
      <vt:lpstr>保險成本明細表</vt:lpstr>
      <vt:lpstr>保險成本說明</vt:lpstr>
      <vt:lpstr>其他業務成本明細表</vt:lpstr>
      <vt:lpstr>其他業務成本說明</vt:lpstr>
      <vt:lpstr>業務外費用明細表</vt:lpstr>
      <vt:lpstr>業務外費用說明</vt:lpstr>
      <vt:lpstr>資產折舊明細表</vt:lpstr>
      <vt:lpstr>基金數額增減明細表</vt:lpstr>
      <vt:lpstr>無形資產明細表</vt:lpstr>
      <vt:lpstr>貸出款明細表 </vt:lpstr>
      <vt:lpstr>平衡表-總</vt:lpstr>
      <vt:lpstr>5年來主要營運項目分析表</vt:lpstr>
      <vt:lpstr>員工人數彙計表</vt:lpstr>
      <vt:lpstr>用人費用彙計表</vt:lpstr>
      <vt:lpstr>媒體政策及業務宣導費彙計表</vt:lpstr>
      <vt:lpstr>各項費用彙計表</vt:lpstr>
      <vt:lpstr>各項費用彙計表 (單位)</vt:lpstr>
      <vt:lpstr>不動產投資收入分析表</vt:lpstr>
      <vt:lpstr>保費收入分析表</vt:lpstr>
      <vt:lpstr>保費收入分析表(附表)</vt:lpstr>
      <vt:lpstr>保險給付分析表</vt:lpstr>
      <vt:lpstr>雜項業務成本分析-勞職保及保護</vt:lpstr>
      <vt:lpstr>收支餘絀預計表-勞</vt:lpstr>
      <vt:lpstr>現金流量預計表-勞</vt:lpstr>
      <vt:lpstr>預計平衡表-勞</vt:lpstr>
      <vt:lpstr>收支餘絀預計表-就</vt:lpstr>
      <vt:lpstr>現金流量預計表-就</vt:lpstr>
      <vt:lpstr>預計平衡表-就</vt:lpstr>
      <vt:lpstr>收支餘絀預計表-農</vt:lpstr>
      <vt:lpstr>現金流量預計表-農</vt:lpstr>
      <vt:lpstr>預計平衡表-農</vt:lpstr>
      <vt:lpstr>收支餘絀預計表-職</vt:lpstr>
      <vt:lpstr>現金流量預計表-職</vt:lpstr>
      <vt:lpstr>預計平衡表-職</vt:lpstr>
      <vt:lpstr>'5年來主要營運項目分析表'!Print_Area</vt:lpstr>
      <vt:lpstr>出租資產成本說明!Print_Area</vt:lpstr>
      <vt:lpstr>'平衡表-總'!Print_Area</vt:lpstr>
      <vt:lpstr>用人費用彙計表!Print_Area</vt:lpstr>
      <vt:lpstr>各項費用彙計表!Print_Area</vt:lpstr>
      <vt:lpstr>'收支餘絀預計表-就'!Print_Area</vt:lpstr>
      <vt:lpstr>'收支餘絀預計表-農'!Print_Area</vt:lpstr>
      <vt:lpstr>收支餘絀預計表說明!Print_Area</vt:lpstr>
      <vt:lpstr>'收支餘絀預計表-總'!Print_Area</vt:lpstr>
      <vt:lpstr>'收支餘絀預計表-職'!Print_Area</vt:lpstr>
      <vt:lpstr>投融資業務成本明細表!Print_Area</vt:lpstr>
      <vt:lpstr>'投融資業務收入明細表 '!Print_Area</vt:lpstr>
      <vt:lpstr>其他業務成本明細表!Print_Area</vt:lpstr>
      <vt:lpstr>其他業務成本說明!Print_Area</vt:lpstr>
      <vt:lpstr>其他業務收入明細表!Print_Area</vt:lpstr>
      <vt:lpstr>保費收入分析表!Print_Area</vt:lpstr>
      <vt:lpstr>'保費收入分析表(附表)'!Print_Area</vt:lpstr>
      <vt:lpstr>保險成本明細表!Print_Area</vt:lpstr>
      <vt:lpstr>保險成本說明!Print_Area</vt:lpstr>
      <vt:lpstr>保險收入明細表!Print_Area</vt:lpstr>
      <vt:lpstr>保險給付分析表!Print_Area</vt:lpstr>
      <vt:lpstr>員工人數彙計表!Print_Area</vt:lpstr>
      <vt:lpstr>'現金流量預計表-勞'!Print_Area</vt:lpstr>
      <vt:lpstr>'現金流量預計表-總'!Print_Area</vt:lpstr>
      <vt:lpstr>'現金流量預計表-職'!Print_Area</vt:lpstr>
      <vt:lpstr>媒體政策及業務宣導費彙計表!Print_Area</vt:lpstr>
      <vt:lpstr>無形資產明細表!Print_Area</vt:lpstr>
      <vt:lpstr>'貸出款明細表 '!Print_Area</vt:lpstr>
      <vt:lpstr>業務外收入明細表!Print_Area</vt:lpstr>
      <vt:lpstr>業務外費用明細表!Print_Area</vt:lpstr>
      <vt:lpstr>業務外費用說明!Print_Area</vt:lpstr>
      <vt:lpstr>資產折舊明細表!Print_Area</vt:lpstr>
      <vt:lpstr>'預計平衡表-勞'!Print_Area</vt:lpstr>
      <vt:lpstr>'預計平衡表-農'!Print_Area</vt:lpstr>
      <vt:lpstr>圖1!Print_Area</vt:lpstr>
      <vt:lpstr>圖2!Print_Area</vt:lpstr>
      <vt:lpstr>'雜項業務成本分析-勞職保及保護'!Print_Area</vt:lpstr>
      <vt:lpstr>出租資產成本明細表!Print_Titles</vt:lpstr>
      <vt:lpstr>出租資產成本說明!Print_Titles</vt:lpstr>
      <vt:lpstr>'平衡表-總'!Print_Titles</vt:lpstr>
      <vt:lpstr>各項費用彙計表!Print_Titles</vt:lpstr>
      <vt:lpstr>'各項費用彙計表 (單位)'!Print_Titles</vt:lpstr>
      <vt:lpstr>'收支餘絀預計表-勞'!Print_Titles</vt:lpstr>
      <vt:lpstr>'收支餘絀預計表-就'!Print_Titles</vt:lpstr>
      <vt:lpstr>'收支餘絀預計表-農'!Print_Titles</vt:lpstr>
      <vt:lpstr>'收支餘絀預計表-總'!Print_Titles</vt:lpstr>
      <vt:lpstr>'收支餘絀預計表-職'!Print_Titles</vt:lpstr>
      <vt:lpstr>投融資業務成本明細表!Print_Titles</vt:lpstr>
      <vt:lpstr>投融資業務成本說明!Print_Titles</vt:lpstr>
      <vt:lpstr>'投融資業務收入明細表 '!Print_Titles</vt:lpstr>
      <vt:lpstr>其他業務成本明細表!Print_Titles</vt:lpstr>
      <vt:lpstr>其他業務成本說明!Print_Titles</vt:lpstr>
      <vt:lpstr>保費收入分析表!Print_Titles</vt:lpstr>
      <vt:lpstr>'保費收入分析表(附表)'!Print_Titles</vt:lpstr>
      <vt:lpstr>保險成本明細表!Print_Titles</vt:lpstr>
      <vt:lpstr>保險成本說明!Print_Titles</vt:lpstr>
      <vt:lpstr>保險收入明細表!Print_Titles</vt:lpstr>
      <vt:lpstr>保險給付分析表!Print_Titles</vt:lpstr>
      <vt:lpstr>租金及權利金收入明細表!Print_Titles</vt:lpstr>
      <vt:lpstr>'現金流量預計表-總'!Print_Titles</vt:lpstr>
      <vt:lpstr>'現金流量預計表-職'!Print_Titles</vt:lpstr>
      <vt:lpstr>'貸出款明細表 '!Print_Titles</vt:lpstr>
      <vt:lpstr>業務外收入明細表!Print_Titles</vt:lpstr>
      <vt:lpstr>'預計平衡表-勞'!Print_Titles</vt:lpstr>
      <vt:lpstr>'預計平衡表-就'!Print_Titles</vt:lpstr>
      <vt:lpstr>'預計平衡表-農'!Print_Titles</vt:lpstr>
      <vt:lpstr>'預計平衡表-職'!Print_Titles</vt:lpstr>
      <vt:lpstr>'雜項業務成本分析-勞職保及保護'!Print_Titles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bli</dc:creator>
  <cp:lastModifiedBy>林敬諺</cp:lastModifiedBy>
  <cp:lastPrinted>2023-08-31T02:12:43Z</cp:lastPrinted>
  <dcterms:created xsi:type="dcterms:W3CDTF">2010-11-22T09:06:47Z</dcterms:created>
  <dcterms:modified xsi:type="dcterms:W3CDTF">2024-12-26T03:58:39Z</dcterms:modified>
</cp:coreProperties>
</file>